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ace\data\case3\NYISO_DCR_32249\EAS Revenues Model\R Model\Shared Inputs\"/>
    </mc:Choice>
  </mc:AlternateContent>
  <bookViews>
    <workbookView xWindow="0" yWindow="0" windowWidth="32910" windowHeight="13710" firstSheet="1" activeTab="1"/>
  </bookViews>
  <sheets>
    <sheet name="MODEL INPUTS -&gt;" sheetId="50" r:id="rId1"/>
    <sheet name="gen_params_CTs_reserves" sheetId="42" r:id="rId2"/>
    <sheet name="CTs_runtimes_scr" sheetId="64" r:id="rId3"/>
    <sheet name="nox_limits" sheetId="73" r:id="rId4"/>
    <sheet name="tech_params_aero" sheetId="25" r:id="rId5"/>
    <sheet name="tech_params_aero_noscr" sheetId="75" r:id="rId6"/>
    <sheet name="tech_params_f" sheetId="28" r:id="rId7"/>
    <sheet name="tech_params_f_noscr" sheetId="41" r:id="rId8"/>
    <sheet name="tech_params_j25" sheetId="33" r:id="rId9"/>
    <sheet name="tech_params_j25_noscr" sheetId="52" r:id="rId10"/>
    <sheet name="tech_params_j15_noscr" sheetId="71" r:id="rId11"/>
    <sheet name="tech_params_ccj" sheetId="35" r:id="rId12"/>
    <sheet name="FILTERED INPUTS -&gt;" sheetId="49" r:id="rId13"/>
    <sheet name="Aero_NoSCR_Filtered" sheetId="62" r:id="rId14"/>
    <sheet name="Aero_SCR_Filtered" sheetId="61" r:id="rId15"/>
    <sheet name="F-Class_NoSCR_Filtered" sheetId="60" r:id="rId16"/>
    <sheet name="F-Class_SCR_Filtered" sheetId="54" r:id="rId17"/>
    <sheet name="J-Class25ppm_NoSCR_Filtered" sheetId="51" r:id="rId18"/>
    <sheet name="J-Class25ppm_SCR_Filtered" sheetId="32" r:id="rId19"/>
    <sheet name="J-Class15ppm_NoSCR_Filtered" sheetId="68" r:id="rId20"/>
    <sheet name="J-Class_CC_Filtered" sheetId="63" r:id="rId21"/>
    <sheet name="B&amp;M DATA -&gt;" sheetId="48" r:id="rId22"/>
    <sheet name="Raw_Aeroderivative" sheetId="56" r:id="rId23"/>
    <sheet name="Raw_F-Class" sheetId="53" r:id="rId24"/>
    <sheet name="Raw_J-Class25ppm" sheetId="46" r:id="rId25"/>
    <sheet name="Raw_J-Class15ppm" sheetId="67" r:id="rId26"/>
    <sheet name="Raw_J-Class_CC" sheetId="57" r:id="rId27"/>
  </sheets>
  <externalReferences>
    <externalReference r:id="rId28"/>
  </externalReferences>
  <definedNames>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_xlnm.Print_Area" localSheetId="14">Aero_SCR_Filtered!$E$4:$L$39</definedName>
    <definedName name="_xlnm.Print_Area" localSheetId="15">'F-Class_NoSCR_Filtered'!$F$4:$M$38</definedName>
    <definedName name="_xlnm.Print_Area" localSheetId="16">'F-Class_SCR_Filtered'!$E$4:$L$38</definedName>
    <definedName name="_xlnm.Print_Area" localSheetId="20">'J-Class_CC_Filtered'!$E$4:$L$63</definedName>
    <definedName name="_xlnm.Print_Area" localSheetId="19">'J-Class15ppm_NoSCR_Filtered'!$F$4:$J$38</definedName>
    <definedName name="_xlnm.Print_Area" localSheetId="17">'J-Class25ppm_NoSCR_Filtered'!$F$4:$M$38</definedName>
    <definedName name="_xlnm.Print_Area" localSheetId="18">'J-Class25ppm_SCR_Filtered'!$E$4:$L$38</definedName>
  </definedNames>
  <calcPr calcId="162913"/>
</workbook>
</file>

<file path=xl/calcChain.xml><?xml version="1.0" encoding="utf-8"?>
<calcChain xmlns="http://schemas.openxmlformats.org/spreadsheetml/2006/main">
  <c r="H190" i="46" l="1"/>
  <c r="F190" i="46"/>
  <c r="E190" i="46"/>
  <c r="C190" i="56"/>
  <c r="H223" i="57" l="1"/>
  <c r="G223" i="57"/>
  <c r="F223" i="57"/>
  <c r="E223" i="57"/>
  <c r="D223" i="57"/>
  <c r="C223" i="57"/>
  <c r="H217" i="57"/>
  <c r="G217" i="57"/>
  <c r="F217" i="57"/>
  <c r="E217" i="57"/>
  <c r="D217" i="57"/>
  <c r="C217" i="57"/>
  <c r="H212" i="57"/>
  <c r="G212" i="57"/>
  <c r="F212" i="57"/>
  <c r="E212" i="57"/>
  <c r="D212" i="57"/>
  <c r="C212" i="57"/>
  <c r="E190" i="67"/>
  <c r="D190" i="67"/>
  <c r="C190" i="67"/>
  <c r="E184" i="67"/>
  <c r="D184" i="67"/>
  <c r="C184" i="67"/>
  <c r="G190" i="46"/>
  <c r="D190" i="46"/>
  <c r="C190" i="46"/>
  <c r="H184" i="46"/>
  <c r="G184" i="46"/>
  <c r="F184" i="46"/>
  <c r="E184" i="46"/>
  <c r="D184" i="46"/>
  <c r="C184" i="46" l="1"/>
  <c r="H190" i="53"/>
  <c r="G190" i="53"/>
  <c r="F190" i="53"/>
  <c r="E190" i="53"/>
  <c r="D190" i="53"/>
  <c r="C190" i="53"/>
  <c r="H184" i="53"/>
  <c r="G184" i="53"/>
  <c r="F184" i="53"/>
  <c r="E184" i="53"/>
  <c r="D184" i="53"/>
  <c r="C184" i="53"/>
  <c r="H190" i="56"/>
  <c r="G190" i="56"/>
  <c r="F190" i="56"/>
  <c r="E190" i="56"/>
  <c r="D190" i="56"/>
  <c r="H184" i="56" l="1"/>
  <c r="G184" i="56"/>
  <c r="F184" i="56"/>
  <c r="E184" i="56"/>
  <c r="D184" i="56"/>
  <c r="C184" i="56"/>
  <c r="J3" i="35" l="1"/>
  <c r="J4" i="35"/>
  <c r="J5" i="35"/>
  <c r="J6" i="35"/>
  <c r="J7" i="35"/>
  <c r="J2" i="35"/>
  <c r="J7" i="75" l="1"/>
  <c r="J6" i="75"/>
  <c r="J5" i="75"/>
  <c r="J4" i="75"/>
  <c r="J3" i="75"/>
  <c r="J2" i="75"/>
  <c r="I2" i="68" l="1"/>
  <c r="J2" i="68"/>
  <c r="J38" i="68"/>
  <c r="I8" i="68"/>
  <c r="J37" i="68"/>
  <c r="I9" i="68"/>
  <c r="I37" i="68"/>
  <c r="J8" i="68"/>
  <c r="I38" i="68"/>
  <c r="I13" i="68"/>
  <c r="I36" i="68"/>
  <c r="I34" i="68"/>
  <c r="J9" i="68"/>
  <c r="J13" i="68"/>
  <c r="J36" i="68"/>
  <c r="I12" i="68"/>
  <c r="I14" i="68"/>
  <c r="J34" i="68"/>
  <c r="J12" i="68"/>
  <c r="J14" i="68"/>
  <c r="J4" i="71" l="1"/>
  <c r="J3" i="71"/>
  <c r="F4" i="71"/>
  <c r="F3" i="71"/>
  <c r="E4" i="71"/>
  <c r="E3" i="71"/>
  <c r="W4" i="71"/>
  <c r="W3" i="71"/>
  <c r="I21" i="68"/>
  <c r="J18" i="68"/>
  <c r="I26" i="68"/>
  <c r="J29" i="68"/>
  <c r="J26" i="68"/>
  <c r="I30" i="68"/>
  <c r="I17" i="68"/>
  <c r="J21" i="68"/>
  <c r="J25" i="68"/>
  <c r="I24" i="68"/>
  <c r="I22" i="68"/>
  <c r="I28" i="68"/>
  <c r="I18" i="68"/>
  <c r="J24" i="68"/>
  <c r="J20" i="68"/>
  <c r="I29" i="68"/>
  <c r="I25" i="68"/>
  <c r="J22" i="68"/>
  <c r="J30" i="68"/>
  <c r="J28" i="68"/>
  <c r="J17" i="68"/>
  <c r="I20" i="68"/>
  <c r="J16" i="68"/>
  <c r="I16" i="68"/>
  <c r="I4" i="71" l="1"/>
  <c r="I3" i="71"/>
  <c r="I2" i="71"/>
  <c r="H2" i="68"/>
  <c r="H13" i="68"/>
  <c r="H14" i="68"/>
  <c r="H36" i="68"/>
  <c r="H8" i="68"/>
  <c r="H37" i="68"/>
  <c r="H12" i="68"/>
  <c r="H38" i="68"/>
  <c r="H34" i="68"/>
  <c r="H9" i="68"/>
  <c r="J2" i="71" l="1"/>
  <c r="F2" i="71"/>
  <c r="E2" i="71"/>
  <c r="W2" i="71"/>
  <c r="M4" i="71"/>
  <c r="Q4" i="71"/>
  <c r="H2" i="71"/>
  <c r="C3" i="71"/>
  <c r="M3" i="71"/>
  <c r="Q3" i="71"/>
  <c r="G2" i="71"/>
  <c r="H3" i="71"/>
  <c r="L3" i="71"/>
  <c r="H4" i="71"/>
  <c r="L4" i="71"/>
  <c r="G3" i="71"/>
  <c r="D2" i="71"/>
  <c r="K3" i="71"/>
  <c r="S3" i="71"/>
  <c r="C4" i="71"/>
  <c r="G4" i="71"/>
  <c r="K4" i="71"/>
  <c r="S4" i="71"/>
  <c r="C2" i="71"/>
  <c r="D3" i="71"/>
  <c r="R3" i="71"/>
  <c r="D4" i="71"/>
  <c r="R4" i="71"/>
  <c r="I3" i="52"/>
  <c r="I4" i="52"/>
  <c r="I5" i="52"/>
  <c r="I6" i="52"/>
  <c r="I7" i="52"/>
  <c r="I2" i="52"/>
  <c r="I3" i="33"/>
  <c r="I4" i="33"/>
  <c r="I5" i="33"/>
  <c r="I6" i="33"/>
  <c r="I7" i="33"/>
  <c r="I2" i="33"/>
  <c r="I3" i="41"/>
  <c r="I4" i="41"/>
  <c r="I5" i="41"/>
  <c r="I6" i="41"/>
  <c r="I7" i="41"/>
  <c r="I2" i="41"/>
  <c r="I3" i="28"/>
  <c r="I4" i="28"/>
  <c r="I5" i="28"/>
  <c r="I6" i="28"/>
  <c r="I7" i="28"/>
  <c r="I2" i="28"/>
  <c r="J3" i="25"/>
  <c r="J4" i="25"/>
  <c r="J5" i="25"/>
  <c r="J6" i="25"/>
  <c r="J7" i="25"/>
  <c r="J2" i="25"/>
  <c r="H28" i="68"/>
  <c r="H24" i="68"/>
  <c r="H17" i="68"/>
  <c r="H25" i="68"/>
  <c r="H21" i="68"/>
  <c r="H30" i="68"/>
  <c r="H29" i="68"/>
  <c r="H26" i="68"/>
  <c r="H22" i="68"/>
  <c r="H20" i="68"/>
  <c r="H16" i="68"/>
  <c r="H18" i="68"/>
  <c r="R2" i="71" l="1"/>
  <c r="S2" i="71"/>
  <c r="Q2" i="71"/>
  <c r="M2" i="71"/>
  <c r="K2" i="71"/>
  <c r="L2" i="71"/>
  <c r="O4" i="71"/>
  <c r="V3" i="71"/>
  <c r="T2" i="71"/>
  <c r="N4" i="71"/>
  <c r="O2" i="71"/>
  <c r="N2" i="71"/>
  <c r="V2" i="71"/>
  <c r="P3" i="71"/>
  <c r="U2" i="71"/>
  <c r="U3" i="71"/>
  <c r="U4" i="71"/>
  <c r="T3" i="71"/>
  <c r="V4" i="71"/>
  <c r="P4" i="71"/>
  <c r="O3" i="71"/>
  <c r="T4" i="71"/>
  <c r="N3" i="71"/>
  <c r="P2" i="71"/>
  <c r="L2" i="63" l="1"/>
  <c r="K2" i="63"/>
  <c r="J2" i="63"/>
  <c r="I2" i="63"/>
  <c r="H2" i="63"/>
  <c r="G2" i="63"/>
  <c r="J58" i="63"/>
  <c r="H20" i="63"/>
  <c r="J60" i="63"/>
  <c r="G20" i="63"/>
  <c r="L16" i="63"/>
  <c r="L20" i="63"/>
  <c r="H60" i="63"/>
  <c r="J62" i="63"/>
  <c r="J12" i="63"/>
  <c r="H12" i="63"/>
  <c r="G8" i="63"/>
  <c r="K21" i="63"/>
  <c r="L62" i="63"/>
  <c r="L21" i="63"/>
  <c r="K16" i="63"/>
  <c r="L13" i="63"/>
  <c r="H61" i="63"/>
  <c r="H9" i="63"/>
  <c r="H62" i="63"/>
  <c r="I20" i="63"/>
  <c r="K63" i="63"/>
  <c r="H18" i="63"/>
  <c r="G18" i="63"/>
  <c r="H63" i="63"/>
  <c r="J20" i="63"/>
  <c r="K20" i="63"/>
  <c r="J61" i="63"/>
  <c r="J21" i="63"/>
  <c r="J13" i="63"/>
  <c r="L8" i="63"/>
  <c r="H21" i="63"/>
  <c r="H58" i="63"/>
  <c r="L12" i="63"/>
  <c r="I17" i="63"/>
  <c r="L17" i="63"/>
  <c r="I62" i="63"/>
  <c r="K61" i="63"/>
  <c r="K17" i="63"/>
  <c r="G62" i="63"/>
  <c r="G63" i="63"/>
  <c r="I63" i="63"/>
  <c r="J8" i="63"/>
  <c r="G21" i="63"/>
  <c r="I18" i="63"/>
  <c r="J17" i="63"/>
  <c r="L18" i="63"/>
  <c r="I58" i="63"/>
  <c r="K62" i="63"/>
  <c r="G13" i="63"/>
  <c r="K13" i="63"/>
  <c r="G12" i="63"/>
  <c r="I60" i="63"/>
  <c r="J9" i="63"/>
  <c r="L61" i="63"/>
  <c r="G9" i="63"/>
  <c r="I61" i="63"/>
  <c r="I16" i="63"/>
  <c r="K58" i="63"/>
  <c r="H17" i="63"/>
  <c r="I12" i="63"/>
  <c r="K18" i="63"/>
  <c r="L58" i="63"/>
  <c r="G16" i="63"/>
  <c r="K9" i="63"/>
  <c r="K60" i="63"/>
  <c r="I8" i="63"/>
  <c r="H8" i="63"/>
  <c r="H13" i="63"/>
  <c r="I13" i="63"/>
  <c r="I21" i="63"/>
  <c r="K8" i="63"/>
  <c r="G58" i="63"/>
  <c r="J16" i="63"/>
  <c r="G60" i="63"/>
  <c r="H16" i="63"/>
  <c r="I9" i="63"/>
  <c r="K12" i="63"/>
  <c r="G17" i="63"/>
  <c r="J18" i="63"/>
  <c r="G61" i="63"/>
  <c r="J63" i="63"/>
  <c r="L9" i="63"/>
  <c r="L60" i="63"/>
  <c r="L63" i="63"/>
  <c r="K7" i="35" l="1"/>
  <c r="K4" i="35"/>
  <c r="K5" i="35"/>
  <c r="K6" i="35"/>
  <c r="K3" i="35"/>
  <c r="K2" i="35"/>
  <c r="X4" i="35"/>
  <c r="X5" i="35"/>
  <c r="X7" i="35"/>
  <c r="X6" i="35"/>
  <c r="X3" i="35"/>
  <c r="X2" i="35"/>
  <c r="F4" i="35"/>
  <c r="F6" i="35"/>
  <c r="F3" i="35"/>
  <c r="F5" i="35"/>
  <c r="F7" i="35"/>
  <c r="F2" i="35"/>
  <c r="E6" i="35"/>
  <c r="E4" i="35"/>
  <c r="E5" i="35"/>
  <c r="E3" i="35"/>
  <c r="E7" i="35"/>
  <c r="E2" i="35"/>
  <c r="I3" i="35"/>
  <c r="I4" i="35"/>
  <c r="I5" i="35"/>
  <c r="I6" i="35"/>
  <c r="I7" i="35"/>
  <c r="I2" i="35"/>
  <c r="AN5" i="35"/>
  <c r="AN7" i="35"/>
  <c r="AN4" i="35"/>
  <c r="AN6" i="35"/>
  <c r="AN3" i="35"/>
  <c r="AN2" i="35"/>
  <c r="AM4" i="35"/>
  <c r="AM6" i="35"/>
  <c r="AM7" i="35"/>
  <c r="AM3" i="35"/>
  <c r="AM5" i="35"/>
  <c r="AM2" i="35"/>
  <c r="Z7" i="35"/>
  <c r="Z3" i="35"/>
  <c r="Z5" i="35"/>
  <c r="Z4" i="35"/>
  <c r="Z6" i="35"/>
  <c r="Z2" i="35"/>
  <c r="Y7" i="35"/>
  <c r="Y5" i="35"/>
  <c r="Y6" i="35"/>
  <c r="Y3" i="35"/>
  <c r="Y4" i="35"/>
  <c r="Y2" i="35"/>
  <c r="D6" i="35"/>
  <c r="D7" i="35"/>
  <c r="D4" i="35"/>
  <c r="D3" i="35"/>
  <c r="D5" i="35"/>
  <c r="D2" i="35"/>
  <c r="C4" i="35"/>
  <c r="C6" i="35"/>
  <c r="C7" i="35"/>
  <c r="C5" i="35"/>
  <c r="C3" i="35"/>
  <c r="C2" i="35"/>
  <c r="G5" i="35"/>
  <c r="H3" i="35"/>
  <c r="H4" i="35"/>
  <c r="G3" i="35"/>
  <c r="H5" i="35"/>
  <c r="G4" i="35"/>
  <c r="H6" i="35"/>
  <c r="H7" i="35"/>
  <c r="G6" i="35"/>
  <c r="G7" i="35"/>
  <c r="H2" i="35"/>
  <c r="G2" i="35"/>
  <c r="I30" i="63"/>
  <c r="I42" i="63"/>
  <c r="K46" i="63"/>
  <c r="J37" i="63"/>
  <c r="L25" i="63"/>
  <c r="G30" i="63"/>
  <c r="I37" i="63"/>
  <c r="G26" i="63"/>
  <c r="G54" i="63"/>
  <c r="K33" i="63"/>
  <c r="I29" i="63"/>
  <c r="K38" i="63"/>
  <c r="K26" i="63"/>
  <c r="K30" i="63"/>
  <c r="L54" i="63"/>
  <c r="G53" i="63"/>
  <c r="H52" i="63"/>
  <c r="L49" i="63"/>
  <c r="K49" i="63"/>
  <c r="K32" i="63"/>
  <c r="K44" i="63"/>
  <c r="J30" i="63"/>
  <c r="H41" i="63"/>
  <c r="I40" i="63"/>
  <c r="G25" i="63"/>
  <c r="K48" i="63"/>
  <c r="H54" i="63"/>
  <c r="K50" i="63"/>
  <c r="L26" i="63"/>
  <c r="I49" i="63"/>
  <c r="J38" i="63"/>
  <c r="G44" i="63"/>
  <c r="L24" i="63"/>
  <c r="L37" i="63"/>
  <c r="G48" i="63"/>
  <c r="H38" i="63"/>
  <c r="H46" i="63"/>
  <c r="I41" i="63"/>
  <c r="J36" i="63"/>
  <c r="H30" i="63"/>
  <c r="K34" i="63"/>
  <c r="J32" i="63"/>
  <c r="H49" i="63"/>
  <c r="J48" i="63"/>
  <c r="L29" i="63"/>
  <c r="K52" i="63"/>
  <c r="H29" i="63"/>
  <c r="L28" i="63"/>
  <c r="H53" i="63"/>
  <c r="H36" i="63"/>
  <c r="L40" i="63"/>
  <c r="H28" i="63"/>
  <c r="L45" i="63"/>
  <c r="G40" i="63"/>
  <c r="H37" i="63"/>
  <c r="K53" i="63"/>
  <c r="J33" i="63"/>
  <c r="J52" i="63"/>
  <c r="J25" i="63"/>
  <c r="J49" i="63"/>
  <c r="G42" i="63"/>
  <c r="K29" i="63"/>
  <c r="H34" i="63"/>
  <c r="G50" i="63"/>
  <c r="G49" i="63"/>
  <c r="H44" i="63"/>
  <c r="K42" i="63"/>
  <c r="G34" i="63"/>
  <c r="J40" i="63"/>
  <c r="G41" i="63"/>
  <c r="K41" i="63"/>
  <c r="I44" i="63"/>
  <c r="G36" i="63"/>
  <c r="K36" i="63"/>
  <c r="J29" i="63"/>
  <c r="H48" i="63"/>
  <c r="I25" i="63"/>
  <c r="G37" i="63"/>
  <c r="I24" i="63"/>
  <c r="L44" i="63"/>
  <c r="J54" i="63"/>
  <c r="H40" i="63"/>
  <c r="J26" i="63"/>
  <c r="J28" i="63"/>
  <c r="L30" i="63"/>
  <c r="I38" i="63"/>
  <c r="L48" i="63"/>
  <c r="G32" i="63"/>
  <c r="I33" i="63"/>
  <c r="G24" i="63"/>
  <c r="I48" i="63"/>
  <c r="I28" i="63"/>
  <c r="J42" i="63"/>
  <c r="L42" i="63"/>
  <c r="K28" i="63"/>
  <c r="J45" i="63"/>
  <c r="G52" i="63"/>
  <c r="L41" i="63"/>
  <c r="K40" i="63"/>
  <c r="K24" i="63"/>
  <c r="I53" i="63"/>
  <c r="L36" i="63"/>
  <c r="H42" i="63"/>
  <c r="J41" i="63"/>
  <c r="J44" i="63"/>
  <c r="I50" i="63"/>
  <c r="J53" i="63"/>
  <c r="H24" i="63"/>
  <c r="L38" i="63"/>
  <c r="K37" i="63"/>
  <c r="H33" i="63"/>
  <c r="L33" i="63"/>
  <c r="L53" i="63"/>
  <c r="G33" i="63"/>
  <c r="I45" i="63"/>
  <c r="I54" i="63"/>
  <c r="H32" i="63"/>
  <c r="L52" i="63"/>
  <c r="L46" i="63"/>
  <c r="K45" i="63"/>
  <c r="G29" i="63"/>
  <c r="J46" i="63"/>
  <c r="G45" i="63"/>
  <c r="J24" i="63"/>
  <c r="I26" i="63"/>
  <c r="H25" i="63"/>
  <c r="H26" i="63"/>
  <c r="L34" i="63"/>
  <c r="G46" i="63"/>
  <c r="K54" i="63"/>
  <c r="I36" i="63"/>
  <c r="K25" i="63"/>
  <c r="J50" i="63"/>
  <c r="H45" i="63"/>
  <c r="L50" i="63"/>
  <c r="G28" i="63"/>
  <c r="I34" i="63"/>
  <c r="G38" i="63"/>
  <c r="I46" i="63"/>
  <c r="J34" i="63"/>
  <c r="I32" i="63"/>
  <c r="L32" i="63"/>
  <c r="I52" i="63"/>
  <c r="H50" i="63"/>
  <c r="AC4" i="35" l="1"/>
  <c r="AC6" i="35"/>
  <c r="AA4" i="35"/>
  <c r="AA7" i="35"/>
  <c r="AB4" i="35"/>
  <c r="AB7" i="35"/>
  <c r="AC3" i="35"/>
  <c r="AC7" i="35"/>
  <c r="AA6" i="35"/>
  <c r="AB3" i="35"/>
  <c r="AC5" i="35"/>
  <c r="AA3" i="35"/>
  <c r="AA5" i="35"/>
  <c r="AB6" i="35"/>
  <c r="AB5" i="35"/>
  <c r="AI4" i="35"/>
  <c r="AI6" i="35"/>
  <c r="AG6" i="35"/>
  <c r="AH4" i="35"/>
  <c r="AH7" i="35"/>
  <c r="AG4" i="35"/>
  <c r="AG7" i="35"/>
  <c r="AH3" i="35"/>
  <c r="AI7" i="35"/>
  <c r="AI3" i="35"/>
  <c r="AI5" i="35"/>
  <c r="AG3" i="35"/>
  <c r="AG5" i="35"/>
  <c r="AH6" i="35"/>
  <c r="AH5" i="35"/>
  <c r="AF6" i="35"/>
  <c r="AE3" i="35"/>
  <c r="AD6" i="35"/>
  <c r="AD3" i="35"/>
  <c r="AD5" i="35"/>
  <c r="AF5" i="35"/>
  <c r="AE7" i="35"/>
  <c r="AE5" i="35"/>
  <c r="AD7" i="35"/>
  <c r="AF4" i="35"/>
  <c r="AF7" i="35"/>
  <c r="AD4" i="35"/>
  <c r="AF3" i="35"/>
  <c r="AE6" i="35"/>
  <c r="AE4" i="35"/>
  <c r="AL6" i="35"/>
  <c r="AK3" i="35"/>
  <c r="AK6" i="35"/>
  <c r="AK5" i="35"/>
  <c r="AJ5" i="35"/>
  <c r="AK7" i="35"/>
  <c r="AL5" i="35"/>
  <c r="AJ7" i="35"/>
  <c r="AJ4" i="35"/>
  <c r="AL3" i="35"/>
  <c r="AL7" i="35"/>
  <c r="AL4" i="35"/>
  <c r="AJ3" i="35"/>
  <c r="AJ6" i="35"/>
  <c r="AK4" i="35"/>
  <c r="AL2" i="35"/>
  <c r="AK2" i="35"/>
  <c r="AJ2" i="35"/>
  <c r="AI2" i="35"/>
  <c r="AH2" i="35"/>
  <c r="AG2" i="35"/>
  <c r="AF2" i="35"/>
  <c r="AE2" i="35"/>
  <c r="AD2" i="35"/>
  <c r="AC2" i="35"/>
  <c r="AB2" i="35"/>
  <c r="AA2" i="35"/>
  <c r="N3" i="35"/>
  <c r="N6" i="35"/>
  <c r="M6" i="35"/>
  <c r="M7" i="35"/>
  <c r="N7" i="35"/>
  <c r="N5" i="35"/>
  <c r="N4" i="35"/>
  <c r="M3" i="35"/>
  <c r="M5" i="35"/>
  <c r="M4" i="35"/>
  <c r="L7" i="35"/>
  <c r="L5" i="35"/>
  <c r="L3" i="35"/>
  <c r="L6" i="35"/>
  <c r="L4" i="35"/>
  <c r="N2" i="35"/>
  <c r="M2" i="35"/>
  <c r="L2" i="35"/>
  <c r="W3" i="35"/>
  <c r="W6" i="35"/>
  <c r="W5" i="35"/>
  <c r="W4" i="35"/>
  <c r="W7" i="35"/>
  <c r="W2" i="35"/>
  <c r="V3" i="35"/>
  <c r="V5" i="35"/>
  <c r="V7" i="35"/>
  <c r="V6" i="35"/>
  <c r="V4" i="35"/>
  <c r="V2" i="35"/>
  <c r="U4" i="35"/>
  <c r="U5" i="35"/>
  <c r="U6" i="35"/>
  <c r="U3" i="35"/>
  <c r="U7" i="35"/>
  <c r="U2" i="35"/>
  <c r="T5" i="35"/>
  <c r="T6" i="35"/>
  <c r="T7" i="35"/>
  <c r="T4" i="35"/>
  <c r="T3" i="35"/>
  <c r="T2" i="35"/>
  <c r="S6" i="35"/>
  <c r="S5" i="35"/>
  <c r="S4" i="35"/>
  <c r="S3" i="35"/>
  <c r="S7" i="35"/>
  <c r="S2" i="35"/>
  <c r="R3" i="35"/>
  <c r="R7" i="35"/>
  <c r="R4" i="35"/>
  <c r="R5" i="35"/>
  <c r="R6" i="35"/>
  <c r="R2" i="35"/>
  <c r="Q4" i="35"/>
  <c r="Q3" i="35"/>
  <c r="Q7" i="35"/>
  <c r="Q5" i="35"/>
  <c r="Q6" i="35"/>
  <c r="Q2" i="35"/>
  <c r="P7" i="35"/>
  <c r="P4" i="35"/>
  <c r="P3" i="35"/>
  <c r="P5" i="35"/>
  <c r="P6" i="35"/>
  <c r="P2" i="35"/>
  <c r="O5" i="35"/>
  <c r="O6" i="35"/>
  <c r="O4" i="35"/>
  <c r="O3" i="35"/>
  <c r="O7" i="35"/>
  <c r="O2" i="35"/>
  <c r="M2" i="62" l="1"/>
  <c r="L2" i="62"/>
  <c r="K2" i="62"/>
  <c r="J2" i="62"/>
  <c r="I2" i="62"/>
  <c r="H2" i="62"/>
  <c r="L2" i="61"/>
  <c r="K2" i="61"/>
  <c r="J2" i="61"/>
  <c r="I2" i="61"/>
  <c r="H2" i="61"/>
  <c r="G2" i="61"/>
  <c r="M2" i="60"/>
  <c r="L2" i="60"/>
  <c r="K2" i="60"/>
  <c r="J2" i="60"/>
  <c r="I2" i="60"/>
  <c r="H2" i="60"/>
  <c r="L2" i="54"/>
  <c r="K2" i="54"/>
  <c r="J2" i="54"/>
  <c r="I2" i="54"/>
  <c r="H2" i="54"/>
  <c r="G2" i="54"/>
  <c r="M2" i="51"/>
  <c r="L2" i="51"/>
  <c r="K2" i="51"/>
  <c r="J2" i="51"/>
  <c r="I2" i="51"/>
  <c r="H2" i="51"/>
  <c r="H12" i="62"/>
  <c r="M9" i="62"/>
  <c r="J37" i="60"/>
  <c r="J34" i="62"/>
  <c r="G38" i="54"/>
  <c r="L38" i="51"/>
  <c r="I8" i="62"/>
  <c r="H12" i="51"/>
  <c r="J8" i="61"/>
  <c r="I37" i="51"/>
  <c r="H14" i="61"/>
  <c r="H13" i="60"/>
  <c r="I13" i="60"/>
  <c r="K12" i="60"/>
  <c r="H36" i="51"/>
  <c r="K39" i="61"/>
  <c r="I8" i="61"/>
  <c r="H8" i="61"/>
  <c r="H34" i="60"/>
  <c r="G14" i="54"/>
  <c r="G38" i="61"/>
  <c r="L37" i="51"/>
  <c r="K8" i="61"/>
  <c r="G37" i="61"/>
  <c r="K37" i="60"/>
  <c r="J37" i="54"/>
  <c r="M37" i="62"/>
  <c r="K12" i="62"/>
  <c r="I12" i="61"/>
  <c r="K36" i="54"/>
  <c r="L37" i="54"/>
  <c r="L9" i="60"/>
  <c r="L34" i="54"/>
  <c r="L14" i="51"/>
  <c r="I34" i="54"/>
  <c r="I39" i="61"/>
  <c r="L8" i="60"/>
  <c r="H8" i="62"/>
  <c r="M8" i="51"/>
  <c r="K36" i="60"/>
  <c r="L38" i="62"/>
  <c r="J37" i="51"/>
  <c r="H37" i="62"/>
  <c r="I12" i="54"/>
  <c r="L34" i="60"/>
  <c r="I14" i="60"/>
  <c r="J8" i="54"/>
  <c r="J13" i="61"/>
  <c r="L13" i="51"/>
  <c r="J9" i="51"/>
  <c r="I14" i="54"/>
  <c r="G9" i="61"/>
  <c r="H38" i="51"/>
  <c r="K13" i="61"/>
  <c r="K37" i="51"/>
  <c r="L34" i="62"/>
  <c r="K34" i="51"/>
  <c r="G39" i="61"/>
  <c r="M13" i="51"/>
  <c r="K12" i="54"/>
  <c r="L9" i="51"/>
  <c r="M9" i="51"/>
  <c r="I39" i="62"/>
  <c r="I9" i="62"/>
  <c r="I8" i="54"/>
  <c r="K8" i="60"/>
  <c r="I8" i="60"/>
  <c r="K38" i="62"/>
  <c r="M38" i="51"/>
  <c r="L39" i="62"/>
  <c r="H37" i="54"/>
  <c r="J9" i="54"/>
  <c r="L36" i="51"/>
  <c r="L9" i="54"/>
  <c r="L13" i="54"/>
  <c r="M36" i="51"/>
  <c r="J38" i="60"/>
  <c r="K9" i="51"/>
  <c r="K14" i="60"/>
  <c r="L37" i="60"/>
  <c r="L38" i="60"/>
  <c r="L37" i="61"/>
  <c r="H37" i="51"/>
  <c r="J36" i="54"/>
  <c r="I12" i="62"/>
  <c r="L9" i="62"/>
  <c r="K12" i="61"/>
  <c r="H34" i="51"/>
  <c r="J9" i="60"/>
  <c r="G34" i="54"/>
  <c r="M9" i="60"/>
  <c r="I34" i="61"/>
  <c r="I37" i="62"/>
  <c r="K14" i="54"/>
  <c r="K14" i="62"/>
  <c r="K13" i="60"/>
  <c r="H37" i="61"/>
  <c r="I34" i="62"/>
  <c r="G34" i="61"/>
  <c r="J38" i="51"/>
  <c r="G14" i="61"/>
  <c r="G36" i="61"/>
  <c r="K34" i="62"/>
  <c r="J12" i="60"/>
  <c r="L36" i="61"/>
  <c r="L9" i="61"/>
  <c r="K37" i="61"/>
  <c r="H39" i="62"/>
  <c r="H39" i="61"/>
  <c r="J8" i="62"/>
  <c r="K9" i="62"/>
  <c r="L14" i="60"/>
  <c r="J8" i="51"/>
  <c r="I13" i="61"/>
  <c r="K12" i="51"/>
  <c r="K39" i="62"/>
  <c r="H36" i="62"/>
  <c r="L34" i="51"/>
  <c r="J36" i="60"/>
  <c r="G8" i="61"/>
  <c r="J36" i="62"/>
  <c r="I38" i="54"/>
  <c r="K14" i="61"/>
  <c r="J34" i="54"/>
  <c r="J39" i="62"/>
  <c r="J12" i="51"/>
  <c r="M37" i="60"/>
  <c r="L39" i="61"/>
  <c r="M8" i="62"/>
  <c r="G13" i="61"/>
  <c r="H14" i="62"/>
  <c r="I37" i="54"/>
  <c r="I12" i="51"/>
  <c r="H9" i="61"/>
  <c r="H9" i="51"/>
  <c r="K9" i="60"/>
  <c r="H37" i="60"/>
  <c r="K36" i="61"/>
  <c r="J14" i="62"/>
  <c r="I9" i="54"/>
  <c r="J8" i="60"/>
  <c r="H34" i="62"/>
  <c r="J36" i="51"/>
  <c r="L14" i="54"/>
  <c r="M14" i="51"/>
  <c r="K34" i="60"/>
  <c r="J12" i="61"/>
  <c r="H36" i="61"/>
  <c r="H9" i="54"/>
  <c r="J12" i="54"/>
  <c r="H13" i="54"/>
  <c r="J12" i="62"/>
  <c r="G37" i="54"/>
  <c r="J38" i="62"/>
  <c r="H36" i="54"/>
  <c r="K38" i="54"/>
  <c r="L8" i="51"/>
  <c r="M8" i="60"/>
  <c r="M38" i="60"/>
  <c r="K13" i="62"/>
  <c r="H38" i="54"/>
  <c r="H12" i="60"/>
  <c r="M12" i="60"/>
  <c r="L12" i="51"/>
  <c r="M37" i="51"/>
  <c r="H14" i="54"/>
  <c r="M34" i="60"/>
  <c r="M38" i="62"/>
  <c r="K13" i="51"/>
  <c r="M12" i="51"/>
  <c r="I9" i="51"/>
  <c r="J14" i="61"/>
  <c r="J38" i="54"/>
  <c r="H14" i="51"/>
  <c r="H8" i="54"/>
  <c r="L13" i="61"/>
  <c r="H38" i="62"/>
  <c r="I38" i="51"/>
  <c r="I13" i="54"/>
  <c r="H38" i="60"/>
  <c r="L38" i="61"/>
  <c r="J37" i="61"/>
  <c r="L12" i="54"/>
  <c r="I38" i="60"/>
  <c r="J13" i="51"/>
  <c r="G12" i="61"/>
  <c r="L14" i="61"/>
  <c r="H8" i="51"/>
  <c r="J14" i="60"/>
  <c r="K14" i="51"/>
  <c r="K38" i="60"/>
  <c r="J34" i="61"/>
  <c r="L38" i="54"/>
  <c r="K9" i="61"/>
  <c r="L14" i="62"/>
  <c r="H38" i="61"/>
  <c r="J37" i="62"/>
  <c r="I13" i="62"/>
  <c r="K38" i="51"/>
  <c r="K8" i="51"/>
  <c r="H14" i="60"/>
  <c r="L13" i="62"/>
  <c r="M13" i="62"/>
  <c r="I38" i="61"/>
  <c r="J34" i="51"/>
  <c r="J14" i="51"/>
  <c r="M39" i="62"/>
  <c r="L8" i="54"/>
  <c r="G13" i="54"/>
  <c r="I12" i="60"/>
  <c r="K37" i="62"/>
  <c r="J39" i="61"/>
  <c r="I36" i="51"/>
  <c r="I14" i="61"/>
  <c r="J13" i="62"/>
  <c r="H13" i="61"/>
  <c r="K38" i="61"/>
  <c r="L12" i="60"/>
  <c r="L8" i="61"/>
  <c r="I13" i="51"/>
  <c r="I9" i="60"/>
  <c r="L36" i="60"/>
  <c r="L12" i="61"/>
  <c r="L34" i="61"/>
  <c r="I37" i="61"/>
  <c r="I36" i="62"/>
  <c r="M36" i="60"/>
  <c r="H12" i="61"/>
  <c r="M12" i="62"/>
  <c r="H9" i="60"/>
  <c r="K34" i="54"/>
  <c r="K36" i="62"/>
  <c r="I14" i="51"/>
  <c r="J36" i="61"/>
  <c r="G12" i="54"/>
  <c r="H13" i="51"/>
  <c r="M34" i="62"/>
  <c r="K37" i="54"/>
  <c r="J9" i="62"/>
  <c r="K13" i="54"/>
  <c r="I36" i="54"/>
  <c r="J13" i="54"/>
  <c r="H12" i="54"/>
  <c r="L8" i="62"/>
  <c r="K9" i="54"/>
  <c r="I36" i="60"/>
  <c r="I9" i="61"/>
  <c r="K8" i="54"/>
  <c r="L36" i="62"/>
  <c r="M14" i="60"/>
  <c r="M36" i="62"/>
  <c r="K34" i="61"/>
  <c r="I14" i="62"/>
  <c r="H9" i="62"/>
  <c r="I36" i="61"/>
  <c r="K36" i="51"/>
  <c r="J9" i="61"/>
  <c r="L37" i="62"/>
  <c r="L13" i="60"/>
  <c r="I38" i="62"/>
  <c r="I34" i="60"/>
  <c r="M14" i="62"/>
  <c r="L12" i="62"/>
  <c r="H13" i="62"/>
  <c r="I34" i="51"/>
  <c r="J34" i="60"/>
  <c r="J38" i="61"/>
  <c r="H8" i="60"/>
  <c r="G36" i="54"/>
  <c r="M13" i="60"/>
  <c r="J13" i="60"/>
  <c r="I8" i="51"/>
  <c r="M34" i="51"/>
  <c r="G9" i="54"/>
  <c r="J14" i="54"/>
  <c r="I37" i="60"/>
  <c r="H34" i="54"/>
  <c r="K8" i="62"/>
  <c r="G8" i="54"/>
  <c r="H34" i="61"/>
  <c r="L36" i="54"/>
  <c r="H36" i="60"/>
  <c r="K6" i="75" l="1"/>
  <c r="K3" i="75"/>
  <c r="K5" i="75"/>
  <c r="K7" i="75"/>
  <c r="K4" i="75"/>
  <c r="K2" i="75"/>
  <c r="F4" i="25"/>
  <c r="F6" i="25"/>
  <c r="F7" i="25"/>
  <c r="F3" i="25"/>
  <c r="F5" i="25"/>
  <c r="F2" i="25"/>
  <c r="E5" i="25"/>
  <c r="E3" i="25"/>
  <c r="E7" i="25"/>
  <c r="E6" i="25"/>
  <c r="E4" i="25"/>
  <c r="E2" i="25"/>
  <c r="K7" i="25"/>
  <c r="K6" i="25"/>
  <c r="K5" i="25"/>
  <c r="K4" i="25"/>
  <c r="K3" i="25"/>
  <c r="K2" i="25"/>
  <c r="I5" i="25"/>
  <c r="I7" i="25"/>
  <c r="I6" i="25"/>
  <c r="I3" i="25"/>
  <c r="I4" i="25"/>
  <c r="I2" i="25"/>
  <c r="I5" i="75"/>
  <c r="I6" i="75"/>
  <c r="I7" i="75"/>
  <c r="I3" i="75"/>
  <c r="I4" i="75"/>
  <c r="I2" i="75"/>
  <c r="F7" i="75"/>
  <c r="F4" i="75"/>
  <c r="F5" i="75"/>
  <c r="F6" i="75"/>
  <c r="F3" i="75"/>
  <c r="F2" i="75"/>
  <c r="E3" i="75"/>
  <c r="E7" i="75"/>
  <c r="E6" i="75"/>
  <c r="E5" i="75"/>
  <c r="E4" i="75"/>
  <c r="E2" i="75"/>
  <c r="C3" i="75"/>
  <c r="C4" i="75"/>
  <c r="C5" i="75"/>
  <c r="H5" i="75"/>
  <c r="H6" i="75"/>
  <c r="X3" i="75"/>
  <c r="G4" i="75"/>
  <c r="X2" i="75"/>
  <c r="D4" i="75"/>
  <c r="C6" i="75"/>
  <c r="C7" i="75"/>
  <c r="X4" i="75"/>
  <c r="H3" i="75"/>
  <c r="D7" i="75"/>
  <c r="D6" i="75"/>
  <c r="G7" i="75"/>
  <c r="H4" i="75"/>
  <c r="G2" i="75"/>
  <c r="D3" i="75"/>
  <c r="X7" i="75"/>
  <c r="G3" i="75"/>
  <c r="X6" i="75"/>
  <c r="G5" i="75"/>
  <c r="G6" i="75"/>
  <c r="X5" i="75"/>
  <c r="H2" i="75"/>
  <c r="H7" i="75"/>
  <c r="D5" i="75"/>
  <c r="D2" i="75"/>
  <c r="C2" i="75"/>
  <c r="J3" i="52"/>
  <c r="J6" i="52"/>
  <c r="J2" i="52"/>
  <c r="J7" i="52"/>
  <c r="J4" i="52"/>
  <c r="J5" i="52"/>
  <c r="F5" i="52"/>
  <c r="F7" i="52"/>
  <c r="F3" i="52"/>
  <c r="F6" i="52"/>
  <c r="F4" i="52"/>
  <c r="F2" i="52"/>
  <c r="E5" i="52"/>
  <c r="E7" i="52"/>
  <c r="E4" i="52"/>
  <c r="E2" i="52"/>
  <c r="E3" i="52"/>
  <c r="E6" i="52"/>
  <c r="W6" i="52"/>
  <c r="W2" i="52"/>
  <c r="W5" i="52"/>
  <c r="W4" i="52"/>
  <c r="W3" i="52"/>
  <c r="W7" i="52"/>
  <c r="F3" i="28"/>
  <c r="F6" i="28"/>
  <c r="F4" i="28"/>
  <c r="F5" i="28"/>
  <c r="F7" i="28"/>
  <c r="F2" i="28"/>
  <c r="E6" i="28"/>
  <c r="E5" i="28"/>
  <c r="E7" i="28"/>
  <c r="E4" i="28"/>
  <c r="E3" i="28"/>
  <c r="E2" i="28"/>
  <c r="J3" i="41"/>
  <c r="J4" i="41"/>
  <c r="J2" i="41"/>
  <c r="J7" i="41"/>
  <c r="J5" i="41"/>
  <c r="J6" i="41"/>
  <c r="F6" i="41"/>
  <c r="F3" i="41"/>
  <c r="F2" i="41"/>
  <c r="F4" i="41"/>
  <c r="F5" i="41"/>
  <c r="F7" i="41"/>
  <c r="E2" i="41"/>
  <c r="E6" i="41"/>
  <c r="E5" i="41"/>
  <c r="E3" i="41"/>
  <c r="E4" i="41"/>
  <c r="E7" i="41"/>
  <c r="W4" i="41"/>
  <c r="W3" i="41"/>
  <c r="W2" i="41"/>
  <c r="W7" i="41"/>
  <c r="W6" i="41"/>
  <c r="W5" i="41"/>
  <c r="X5" i="25"/>
  <c r="X3" i="25"/>
  <c r="X4" i="25"/>
  <c r="X6" i="25"/>
  <c r="X7" i="25"/>
  <c r="X2" i="25"/>
  <c r="W4" i="28"/>
  <c r="W3" i="28"/>
  <c r="W5" i="28"/>
  <c r="W6" i="28"/>
  <c r="W7" i="28"/>
  <c r="W2" i="28"/>
  <c r="J4" i="28"/>
  <c r="J5" i="28"/>
  <c r="J3" i="28"/>
  <c r="J7" i="28"/>
  <c r="J6" i="28"/>
  <c r="J2" i="28"/>
  <c r="G6" i="41"/>
  <c r="G7" i="41"/>
  <c r="C4" i="41"/>
  <c r="G4" i="41"/>
  <c r="D7" i="41"/>
  <c r="C5" i="41"/>
  <c r="H3" i="41"/>
  <c r="D6" i="41"/>
  <c r="D5" i="41"/>
  <c r="C3" i="41"/>
  <c r="H6" i="41"/>
  <c r="D4" i="41"/>
  <c r="C6" i="41"/>
  <c r="H4" i="41"/>
  <c r="G5" i="41"/>
  <c r="H7" i="41"/>
  <c r="G3" i="41"/>
  <c r="D3" i="41"/>
  <c r="H5" i="41"/>
  <c r="C7" i="41"/>
  <c r="D2" i="41"/>
  <c r="H2" i="41"/>
  <c r="G2" i="41"/>
  <c r="C2" i="41"/>
  <c r="H5" i="52"/>
  <c r="G4" i="52"/>
  <c r="H6" i="52"/>
  <c r="D2" i="52"/>
  <c r="G3" i="52"/>
  <c r="H7" i="52"/>
  <c r="G6" i="52"/>
  <c r="C2" i="52"/>
  <c r="D4" i="52"/>
  <c r="C7" i="52"/>
  <c r="G5" i="52"/>
  <c r="D3" i="52"/>
  <c r="G7" i="52"/>
  <c r="C3" i="52"/>
  <c r="D5" i="52"/>
  <c r="C4" i="52"/>
  <c r="H3" i="52"/>
  <c r="C5" i="52"/>
  <c r="D7" i="52"/>
  <c r="H2" i="52"/>
  <c r="D6" i="52"/>
  <c r="G2" i="52"/>
  <c r="H4" i="52"/>
  <c r="C6" i="52"/>
  <c r="D3" i="28"/>
  <c r="C3" i="28"/>
  <c r="H3" i="28"/>
  <c r="G3" i="28"/>
  <c r="G4" i="28"/>
  <c r="H6" i="28"/>
  <c r="D2" i="28"/>
  <c r="H2" i="28"/>
  <c r="C4" i="28"/>
  <c r="D6" i="28"/>
  <c r="H7" i="28"/>
  <c r="C2" i="28"/>
  <c r="C5" i="28"/>
  <c r="D7" i="28"/>
  <c r="G6" i="28"/>
  <c r="G7" i="28"/>
  <c r="H4" i="28"/>
  <c r="C6" i="28"/>
  <c r="G5" i="28"/>
  <c r="D5" i="28"/>
  <c r="G2" i="28"/>
  <c r="H5" i="28"/>
  <c r="C7" i="28"/>
  <c r="D4" i="28"/>
  <c r="H3" i="25"/>
  <c r="H4" i="25"/>
  <c r="H6" i="25"/>
  <c r="H7" i="25"/>
  <c r="H5" i="25"/>
  <c r="H2" i="25"/>
  <c r="G3" i="25"/>
  <c r="G5" i="25"/>
  <c r="G6" i="25"/>
  <c r="G4" i="25"/>
  <c r="G7" i="25"/>
  <c r="G2" i="25"/>
  <c r="D7" i="25"/>
  <c r="D3" i="25"/>
  <c r="D6" i="25"/>
  <c r="D4" i="25"/>
  <c r="D5" i="25"/>
  <c r="D2" i="25"/>
  <c r="C4" i="25"/>
  <c r="C5" i="25"/>
  <c r="C6" i="25"/>
  <c r="C7" i="25"/>
  <c r="C3" i="25"/>
  <c r="C2" i="25"/>
  <c r="H2" i="32"/>
  <c r="I2" i="32"/>
  <c r="J2" i="32"/>
  <c r="K2" i="32"/>
  <c r="L2" i="32"/>
  <c r="G2" i="32"/>
  <c r="K20" i="60"/>
  <c r="I17" i="61"/>
  <c r="K21" i="60"/>
  <c r="I29" i="54"/>
  <c r="J21" i="51"/>
  <c r="G9" i="32"/>
  <c r="J24" i="62"/>
  <c r="L30" i="62"/>
  <c r="H21" i="61"/>
  <c r="L13" i="32"/>
  <c r="J28" i="62"/>
  <c r="J17" i="60"/>
  <c r="H28" i="51"/>
  <c r="J22" i="60"/>
  <c r="H16" i="54"/>
  <c r="M28" i="62"/>
  <c r="K34" i="32"/>
  <c r="G22" i="54"/>
  <c r="H18" i="54"/>
  <c r="M17" i="62"/>
  <c r="L34" i="32"/>
  <c r="K20" i="62"/>
  <c r="J36" i="32"/>
  <c r="L26" i="61"/>
  <c r="J16" i="60"/>
  <c r="H29" i="51"/>
  <c r="J21" i="60"/>
  <c r="J17" i="62"/>
  <c r="I30" i="62"/>
  <c r="J18" i="54"/>
  <c r="H20" i="54"/>
  <c r="J29" i="60"/>
  <c r="L28" i="62"/>
  <c r="J28" i="61"/>
  <c r="M24" i="62"/>
  <c r="L21" i="51"/>
  <c r="I30" i="54"/>
  <c r="I9" i="32"/>
  <c r="K29" i="60"/>
  <c r="J9" i="32"/>
  <c r="H16" i="51"/>
  <c r="J26" i="60"/>
  <c r="K29" i="61"/>
  <c r="J16" i="51"/>
  <c r="I16" i="51"/>
  <c r="J37" i="32"/>
  <c r="H13" i="32"/>
  <c r="H34" i="32"/>
  <c r="K18" i="62"/>
  <c r="H8" i="32"/>
  <c r="L21" i="60"/>
  <c r="I26" i="54"/>
  <c r="L29" i="61"/>
  <c r="L38" i="32"/>
  <c r="H17" i="51"/>
  <c r="G18" i="54"/>
  <c r="K12" i="32"/>
  <c r="I20" i="62"/>
  <c r="G17" i="61"/>
  <c r="H20" i="60"/>
  <c r="J29" i="61"/>
  <c r="H22" i="60"/>
  <c r="L22" i="61"/>
  <c r="H25" i="61"/>
  <c r="K17" i="60"/>
  <c r="K25" i="54"/>
  <c r="L30" i="61"/>
  <c r="L28" i="54"/>
  <c r="H25" i="54"/>
  <c r="H17" i="54"/>
  <c r="I16" i="54"/>
  <c r="H30" i="62"/>
  <c r="L28" i="51"/>
  <c r="I22" i="54"/>
  <c r="I18" i="51"/>
  <c r="I22" i="51"/>
  <c r="I18" i="54"/>
  <c r="H29" i="60"/>
  <c r="I20" i="61"/>
  <c r="H25" i="51"/>
  <c r="I24" i="60"/>
  <c r="I26" i="62"/>
  <c r="K22" i="60"/>
  <c r="L25" i="62"/>
  <c r="M29" i="62"/>
  <c r="K25" i="62"/>
  <c r="H28" i="60"/>
  <c r="G37" i="32"/>
  <c r="L18" i="62"/>
  <c r="J17" i="51"/>
  <c r="L26" i="51"/>
  <c r="J30" i="51"/>
  <c r="H36" i="32"/>
  <c r="I12" i="32"/>
  <c r="M20" i="51"/>
  <c r="I25" i="54"/>
  <c r="J21" i="54"/>
  <c r="M26" i="60"/>
  <c r="K29" i="62"/>
  <c r="G17" i="54"/>
  <c r="H21" i="51"/>
  <c r="G16" i="54"/>
  <c r="L18" i="51"/>
  <c r="G28" i="61"/>
  <c r="H16" i="62"/>
  <c r="H16" i="60"/>
  <c r="I24" i="61"/>
  <c r="J28" i="51"/>
  <c r="K24" i="54"/>
  <c r="J28" i="60"/>
  <c r="L30" i="51"/>
  <c r="K16" i="62"/>
  <c r="J18" i="62"/>
  <c r="H28" i="61"/>
  <c r="I21" i="62"/>
  <c r="I21" i="61"/>
  <c r="M29" i="51"/>
  <c r="J30" i="54"/>
  <c r="L26" i="54"/>
  <c r="M17" i="60"/>
  <c r="I20" i="60"/>
  <c r="L24" i="61"/>
  <c r="H22" i="62"/>
  <c r="J30" i="62"/>
  <c r="K28" i="62"/>
  <c r="J20" i="61"/>
  <c r="G24" i="54"/>
  <c r="M16" i="51"/>
  <c r="K24" i="62"/>
  <c r="K13" i="32"/>
  <c r="M16" i="60"/>
  <c r="J29" i="51"/>
  <c r="I17" i="60"/>
  <c r="K24" i="61"/>
  <c r="I17" i="62"/>
  <c r="J29" i="62"/>
  <c r="G18" i="61"/>
  <c r="I22" i="61"/>
  <c r="G21" i="61"/>
  <c r="J16" i="54"/>
  <c r="J24" i="51"/>
  <c r="I22" i="60"/>
  <c r="J8" i="32"/>
  <c r="L25" i="60"/>
  <c r="H18" i="51"/>
  <c r="H30" i="61"/>
  <c r="K25" i="60"/>
  <c r="I28" i="51"/>
  <c r="J17" i="54"/>
  <c r="I16" i="62"/>
  <c r="I26" i="61"/>
  <c r="G14" i="32"/>
  <c r="L18" i="60"/>
  <c r="L16" i="54"/>
  <c r="H26" i="62"/>
  <c r="L20" i="61"/>
  <c r="G13" i="32"/>
  <c r="K17" i="54"/>
  <c r="H26" i="60"/>
  <c r="K22" i="51"/>
  <c r="J17" i="61"/>
  <c r="J22" i="61"/>
  <c r="H26" i="61"/>
  <c r="M18" i="51"/>
  <c r="J25" i="51"/>
  <c r="J21" i="61"/>
  <c r="H25" i="62"/>
  <c r="L12" i="32"/>
  <c r="J30" i="61"/>
  <c r="I29" i="62"/>
  <c r="K17" i="61"/>
  <c r="L16" i="51"/>
  <c r="L17" i="51"/>
  <c r="K36" i="32"/>
  <c r="K24" i="51"/>
  <c r="L22" i="51"/>
  <c r="I13" i="32"/>
  <c r="G21" i="54"/>
  <c r="G29" i="61"/>
  <c r="J22" i="62"/>
  <c r="L25" i="61"/>
  <c r="L20" i="51"/>
  <c r="M18" i="60"/>
  <c r="L29" i="62"/>
  <c r="M26" i="51"/>
  <c r="L21" i="54"/>
  <c r="M30" i="60"/>
  <c r="H29" i="61"/>
  <c r="H30" i="54"/>
  <c r="J26" i="62"/>
  <c r="L9" i="32"/>
  <c r="I22" i="62"/>
  <c r="K26" i="54"/>
  <c r="G20" i="54"/>
  <c r="J38" i="32"/>
  <c r="K26" i="60"/>
  <c r="L21" i="62"/>
  <c r="H30" i="51"/>
  <c r="K20" i="54"/>
  <c r="K30" i="54"/>
  <c r="K37" i="32"/>
  <c r="H22" i="54"/>
  <c r="J24" i="54"/>
  <c r="I16" i="60"/>
  <c r="L21" i="61"/>
  <c r="J29" i="54"/>
  <c r="I30" i="60"/>
  <c r="L37" i="32"/>
  <c r="I34" i="32"/>
  <c r="M18" i="62"/>
  <c r="K16" i="54"/>
  <c r="M24" i="51"/>
  <c r="I36" i="32"/>
  <c r="M28" i="60"/>
  <c r="K17" i="62"/>
  <c r="K20" i="61"/>
  <c r="H20" i="51"/>
  <c r="L26" i="62"/>
  <c r="K18" i="61"/>
  <c r="J20" i="62"/>
  <c r="K30" i="61"/>
  <c r="K28" i="60"/>
  <c r="H21" i="54"/>
  <c r="K14" i="32"/>
  <c r="K28" i="61"/>
  <c r="J26" i="61"/>
  <c r="L8" i="32"/>
  <c r="L14" i="32"/>
  <c r="H37" i="32"/>
  <c r="J18" i="51"/>
  <c r="K28" i="51"/>
  <c r="K16" i="60"/>
  <c r="M17" i="51"/>
  <c r="M20" i="60"/>
  <c r="I21" i="54"/>
  <c r="M22" i="51"/>
  <c r="I25" i="61"/>
  <c r="I18" i="61"/>
  <c r="M24" i="60"/>
  <c r="M30" i="62"/>
  <c r="H20" i="62"/>
  <c r="I21" i="51"/>
  <c r="H18" i="60"/>
  <c r="M25" i="51"/>
  <c r="G30" i="54"/>
  <c r="L25" i="54"/>
  <c r="H38" i="32"/>
  <c r="H17" i="62"/>
  <c r="K9" i="32"/>
  <c r="I29" i="61"/>
  <c r="I25" i="62"/>
  <c r="L28" i="61"/>
  <c r="I24" i="51"/>
  <c r="K26" i="51"/>
  <c r="K22" i="62"/>
  <c r="I18" i="62"/>
  <c r="K26" i="61"/>
  <c r="K18" i="51"/>
  <c r="M30" i="51"/>
  <c r="M21" i="60"/>
  <c r="K21" i="54"/>
  <c r="I18" i="60"/>
  <c r="I16" i="61"/>
  <c r="J30" i="60"/>
  <c r="J20" i="54"/>
  <c r="J25" i="61"/>
  <c r="I14" i="32"/>
  <c r="G28" i="54"/>
  <c r="H24" i="60"/>
  <c r="H22" i="61"/>
  <c r="L29" i="51"/>
  <c r="I29" i="60"/>
  <c r="L16" i="62"/>
  <c r="K30" i="51"/>
  <c r="L36" i="32"/>
  <c r="J16" i="61"/>
  <c r="I30" i="51"/>
  <c r="J21" i="62"/>
  <c r="L17" i="60"/>
  <c r="G26" i="61"/>
  <c r="M29" i="60"/>
  <c r="L22" i="54"/>
  <c r="K30" i="60"/>
  <c r="M28" i="51"/>
  <c r="J16" i="62"/>
  <c r="J20" i="51"/>
  <c r="H28" i="54"/>
  <c r="K18" i="60"/>
  <c r="G16" i="61"/>
  <c r="J18" i="61"/>
  <c r="I20" i="54"/>
  <c r="H30" i="60"/>
  <c r="J12" i="32"/>
  <c r="K26" i="62"/>
  <c r="J24" i="61"/>
  <c r="H21" i="62"/>
  <c r="K8" i="32"/>
  <c r="G38" i="32"/>
  <c r="G24" i="61"/>
  <c r="L17" i="54"/>
  <c r="I25" i="60"/>
  <c r="I38" i="32"/>
  <c r="L24" i="62"/>
  <c r="J14" i="32"/>
  <c r="H21" i="60"/>
  <c r="K18" i="54"/>
  <c r="H26" i="54"/>
  <c r="J34" i="32"/>
  <c r="H17" i="61"/>
  <c r="J25" i="62"/>
  <c r="H29" i="54"/>
  <c r="I17" i="51"/>
  <c r="H14" i="32"/>
  <c r="J22" i="54"/>
  <c r="I24" i="62"/>
  <c r="L18" i="54"/>
  <c r="K17" i="51"/>
  <c r="L16" i="61"/>
  <c r="I26" i="51"/>
  <c r="H20" i="61"/>
  <c r="M21" i="51"/>
  <c r="G25" i="54"/>
  <c r="K16" i="51"/>
  <c r="J20" i="60"/>
  <c r="K29" i="54"/>
  <c r="H17" i="60"/>
  <c r="I20" i="51"/>
  <c r="G22" i="61"/>
  <c r="K20" i="51"/>
  <c r="M21" i="62"/>
  <c r="L17" i="62"/>
  <c r="H24" i="62"/>
  <c r="L20" i="62"/>
  <c r="H18" i="61"/>
  <c r="L17" i="61"/>
  <c r="K24" i="60"/>
  <c r="L22" i="60"/>
  <c r="K38" i="32"/>
  <c r="H26" i="51"/>
  <c r="M22" i="62"/>
  <c r="G25" i="61"/>
  <c r="H9" i="32"/>
  <c r="I21" i="60"/>
  <c r="I29" i="51"/>
  <c r="L25" i="51"/>
  <c r="J25" i="54"/>
  <c r="I30" i="61"/>
  <c r="J22" i="51"/>
  <c r="K25" i="61"/>
  <c r="M20" i="62"/>
  <c r="L29" i="54"/>
  <c r="H24" i="51"/>
  <c r="K22" i="54"/>
  <c r="G8" i="32"/>
  <c r="G20" i="61"/>
  <c r="K29" i="51"/>
  <c r="L26" i="60"/>
  <c r="I26" i="60"/>
  <c r="H12" i="32"/>
  <c r="G26" i="54"/>
  <c r="L18" i="61"/>
  <c r="J26" i="54"/>
  <c r="H18" i="62"/>
  <c r="G36" i="32"/>
  <c r="I17" i="54"/>
  <c r="J25" i="60"/>
  <c r="J18" i="60"/>
  <c r="K22" i="61"/>
  <c r="M26" i="62"/>
  <c r="H25" i="60"/>
  <c r="I37" i="32"/>
  <c r="L20" i="54"/>
  <c r="G29" i="54"/>
  <c r="H29" i="62"/>
  <c r="J13" i="32"/>
  <c r="I25" i="51"/>
  <c r="H22" i="51"/>
  <c r="G12" i="32"/>
  <c r="L30" i="54"/>
  <c r="H28" i="62"/>
  <c r="L30" i="60"/>
  <c r="K16" i="61"/>
  <c r="I28" i="60"/>
  <c r="K28" i="54"/>
  <c r="J24" i="60"/>
  <c r="I28" i="62"/>
  <c r="H16" i="61"/>
  <c r="H24" i="61"/>
  <c r="K25" i="51"/>
  <c r="L24" i="60"/>
  <c r="L29" i="60"/>
  <c r="L20" i="60"/>
  <c r="M25" i="60"/>
  <c r="L16" i="60"/>
  <c r="I28" i="54"/>
  <c r="K21" i="51"/>
  <c r="G30" i="61"/>
  <c r="I24" i="54"/>
  <c r="K21" i="61"/>
  <c r="K30" i="62"/>
  <c r="I8" i="32"/>
  <c r="I28" i="61"/>
  <c r="L24" i="51"/>
  <c r="M25" i="62"/>
  <c r="G34" i="32"/>
  <c r="L28" i="60"/>
  <c r="J28" i="54"/>
  <c r="L22" i="62"/>
  <c r="J26" i="51"/>
  <c r="K21" i="62"/>
  <c r="H24" i="54"/>
  <c r="M16" i="62"/>
  <c r="L24" i="54"/>
  <c r="M22" i="60"/>
  <c r="R6" i="75" l="1"/>
  <c r="S3" i="75"/>
  <c r="S4" i="75"/>
  <c r="R4" i="75"/>
  <c r="R3" i="75"/>
  <c r="S7" i="75"/>
  <c r="T3" i="75"/>
  <c r="T7" i="75"/>
  <c r="R2" i="75"/>
  <c r="R7" i="75"/>
  <c r="S2" i="75"/>
  <c r="S5" i="75"/>
  <c r="T6" i="75"/>
  <c r="T2" i="75"/>
  <c r="R5" i="75"/>
  <c r="S6" i="75"/>
  <c r="T4" i="75"/>
  <c r="T5" i="75"/>
  <c r="K6" i="52"/>
  <c r="M7" i="52"/>
  <c r="K7" i="52"/>
  <c r="L7" i="52"/>
  <c r="K5" i="52"/>
  <c r="M6" i="52"/>
  <c r="L5" i="52"/>
  <c r="L6" i="52"/>
  <c r="M5" i="52"/>
  <c r="L3" i="52"/>
  <c r="M4" i="52"/>
  <c r="K4" i="52"/>
  <c r="L2" i="52"/>
  <c r="L4" i="52"/>
  <c r="K2" i="52"/>
  <c r="M3" i="52"/>
  <c r="M2" i="52"/>
  <c r="K3" i="52"/>
  <c r="K6" i="28"/>
  <c r="L6" i="28"/>
  <c r="K5" i="28"/>
  <c r="M6" i="28"/>
  <c r="L5" i="28"/>
  <c r="M5" i="28"/>
  <c r="K7" i="28"/>
  <c r="L7" i="28"/>
  <c r="M7" i="28"/>
  <c r="K3" i="28"/>
  <c r="M4" i="28"/>
  <c r="K4" i="28"/>
  <c r="L4" i="28"/>
  <c r="L2" i="28"/>
  <c r="L3" i="28"/>
  <c r="K2" i="28"/>
  <c r="M3" i="28"/>
  <c r="M2" i="28"/>
  <c r="N5" i="25"/>
  <c r="N7" i="25"/>
  <c r="L7" i="25"/>
  <c r="L6" i="25"/>
  <c r="M7" i="25"/>
  <c r="M6" i="25"/>
  <c r="M5" i="25"/>
  <c r="N6" i="25"/>
  <c r="L5" i="25"/>
  <c r="L5" i="41"/>
  <c r="K5" i="41"/>
  <c r="M6" i="41"/>
  <c r="L6" i="41"/>
  <c r="M7" i="41"/>
  <c r="K6" i="41"/>
  <c r="K7" i="41"/>
  <c r="L7" i="41"/>
  <c r="M5" i="41"/>
  <c r="M4" i="41"/>
  <c r="L2" i="41"/>
  <c r="L4" i="41"/>
  <c r="M2" i="41"/>
  <c r="K2" i="41"/>
  <c r="L3" i="41"/>
  <c r="K3" i="41"/>
  <c r="K4" i="41"/>
  <c r="M3" i="41"/>
  <c r="N2" i="25"/>
  <c r="L4" i="25"/>
  <c r="N4" i="25"/>
  <c r="N3" i="25"/>
  <c r="M4" i="25"/>
  <c r="L3" i="25"/>
  <c r="M3" i="25"/>
  <c r="L2" i="25"/>
  <c r="M2" i="25"/>
  <c r="L6" i="75"/>
  <c r="L4" i="75"/>
  <c r="N6" i="75"/>
  <c r="M4" i="75"/>
  <c r="N3" i="75"/>
  <c r="M7" i="75"/>
  <c r="M3" i="75"/>
  <c r="L7" i="75"/>
  <c r="L3" i="75"/>
  <c r="N7" i="75"/>
  <c r="M2" i="75"/>
  <c r="N5" i="75"/>
  <c r="N2" i="75"/>
  <c r="L5" i="75"/>
  <c r="M6" i="75"/>
  <c r="N4" i="75"/>
  <c r="M5" i="75"/>
  <c r="L2" i="75"/>
  <c r="Q6" i="75"/>
  <c r="W5" i="75"/>
  <c r="P5" i="75"/>
  <c r="W6" i="75"/>
  <c r="W3" i="75"/>
  <c r="P7" i="75"/>
  <c r="U2" i="75"/>
  <c r="O6" i="75"/>
  <c r="V5" i="75"/>
  <c r="O2" i="75"/>
  <c r="P6" i="75"/>
  <c r="V6" i="75"/>
  <c r="U3" i="75"/>
  <c r="Q3" i="75"/>
  <c r="O7" i="75"/>
  <c r="V7" i="75"/>
  <c r="O3" i="75"/>
  <c r="P4" i="75"/>
  <c r="Q5" i="75"/>
  <c r="Q2" i="75"/>
  <c r="V4" i="75"/>
  <c r="Q7" i="75"/>
  <c r="W7" i="75"/>
  <c r="V3" i="75"/>
  <c r="O5" i="75"/>
  <c r="P3" i="75"/>
  <c r="Q4" i="75"/>
  <c r="W2" i="75"/>
  <c r="U6" i="75"/>
  <c r="P2" i="75"/>
  <c r="U7" i="75"/>
  <c r="W4" i="75"/>
  <c r="V2" i="75"/>
  <c r="U4" i="75"/>
  <c r="U5" i="75"/>
  <c r="O4" i="75"/>
  <c r="J7" i="33"/>
  <c r="J6" i="33"/>
  <c r="J5" i="33"/>
  <c r="J4" i="33"/>
  <c r="J3" i="33"/>
  <c r="J2" i="33"/>
  <c r="F5" i="33"/>
  <c r="F3" i="33"/>
  <c r="F2" i="33"/>
  <c r="F7" i="33"/>
  <c r="F6" i="33"/>
  <c r="F4" i="33"/>
  <c r="E4" i="33"/>
  <c r="E5" i="33"/>
  <c r="E7" i="33"/>
  <c r="E3" i="33"/>
  <c r="E2" i="33"/>
  <c r="E6" i="33"/>
  <c r="W7" i="33"/>
  <c r="W5" i="33"/>
  <c r="W3" i="33"/>
  <c r="W4" i="33"/>
  <c r="W6" i="33"/>
  <c r="W2" i="33"/>
  <c r="V6" i="52"/>
  <c r="V3" i="52"/>
  <c r="V4" i="52"/>
  <c r="V5" i="52"/>
  <c r="V7" i="52"/>
  <c r="V2" i="52"/>
  <c r="U6" i="52"/>
  <c r="U4" i="52"/>
  <c r="U3" i="52"/>
  <c r="U5" i="52"/>
  <c r="U7" i="52"/>
  <c r="U2" i="52"/>
  <c r="T7" i="52"/>
  <c r="T3" i="52"/>
  <c r="T6" i="52"/>
  <c r="T4" i="52"/>
  <c r="T5" i="52"/>
  <c r="T2" i="52"/>
  <c r="V4" i="41"/>
  <c r="V3" i="41"/>
  <c r="V7" i="41"/>
  <c r="V5" i="41"/>
  <c r="V6" i="41"/>
  <c r="V2" i="41"/>
  <c r="U3" i="41"/>
  <c r="U4" i="41"/>
  <c r="U6" i="41"/>
  <c r="U7" i="41"/>
  <c r="U5" i="41"/>
  <c r="U2" i="41"/>
  <c r="T7" i="41"/>
  <c r="T6" i="41"/>
  <c r="T3" i="41"/>
  <c r="T4" i="41"/>
  <c r="T5" i="41"/>
  <c r="T2" i="41"/>
  <c r="V6" i="28"/>
  <c r="V5" i="28"/>
  <c r="V4" i="28"/>
  <c r="V7" i="28"/>
  <c r="V3" i="28"/>
  <c r="V2" i="28"/>
  <c r="U7" i="28"/>
  <c r="U5" i="28"/>
  <c r="U4" i="28"/>
  <c r="U3" i="28"/>
  <c r="U6" i="28"/>
  <c r="U2" i="28"/>
  <c r="T6" i="28"/>
  <c r="T7" i="28"/>
  <c r="T5" i="28"/>
  <c r="T4" i="28"/>
  <c r="T3" i="28"/>
  <c r="T2" i="28"/>
  <c r="W3" i="25"/>
  <c r="W5" i="25"/>
  <c r="W6" i="25"/>
  <c r="W4" i="25"/>
  <c r="W7" i="25"/>
  <c r="W2" i="25"/>
  <c r="V3" i="25"/>
  <c r="V7" i="25"/>
  <c r="V5" i="25"/>
  <c r="V6" i="25"/>
  <c r="V4" i="25"/>
  <c r="V2" i="25"/>
  <c r="U7" i="25"/>
  <c r="U6" i="25"/>
  <c r="U5" i="25"/>
  <c r="U4" i="25"/>
  <c r="U3" i="25"/>
  <c r="U2" i="25"/>
  <c r="S3" i="41"/>
  <c r="Q4" i="41"/>
  <c r="S5" i="41"/>
  <c r="N4" i="41"/>
  <c r="P6" i="41"/>
  <c r="R7" i="41"/>
  <c r="O3" i="41"/>
  <c r="Q6" i="41"/>
  <c r="P7" i="41"/>
  <c r="N3" i="41"/>
  <c r="R5" i="41"/>
  <c r="O6" i="41"/>
  <c r="Q7" i="41"/>
  <c r="R4" i="41"/>
  <c r="N7" i="41"/>
  <c r="S4" i="41"/>
  <c r="S7" i="41"/>
  <c r="R6" i="41"/>
  <c r="Q5" i="41"/>
  <c r="N6" i="41"/>
  <c r="P3" i="41"/>
  <c r="R3" i="41"/>
  <c r="N5" i="41"/>
  <c r="S6" i="41"/>
  <c r="P5" i="41"/>
  <c r="O4" i="41"/>
  <c r="O5" i="41"/>
  <c r="P4" i="41"/>
  <c r="Q3" i="41"/>
  <c r="O7" i="41"/>
  <c r="P2" i="41"/>
  <c r="S2" i="41"/>
  <c r="O2" i="41"/>
  <c r="N2" i="41"/>
  <c r="R2" i="41"/>
  <c r="Q2" i="41"/>
  <c r="S2" i="52"/>
  <c r="S5" i="52"/>
  <c r="R6" i="52"/>
  <c r="Q3" i="52"/>
  <c r="P5" i="52"/>
  <c r="N3" i="52"/>
  <c r="Q4" i="52"/>
  <c r="R7" i="52"/>
  <c r="Q6" i="52"/>
  <c r="S3" i="52"/>
  <c r="R3" i="52"/>
  <c r="R4" i="52"/>
  <c r="Q7" i="52"/>
  <c r="N2" i="52"/>
  <c r="P7" i="52"/>
  <c r="N4" i="52"/>
  <c r="O7" i="52"/>
  <c r="P6" i="52"/>
  <c r="R5" i="52"/>
  <c r="P3" i="52"/>
  <c r="R2" i="52"/>
  <c r="O4" i="52"/>
  <c r="Q2" i="52"/>
  <c r="N6" i="52"/>
  <c r="O5" i="52"/>
  <c r="O6" i="52"/>
  <c r="S7" i="52"/>
  <c r="Q5" i="52"/>
  <c r="S6" i="52"/>
  <c r="S4" i="52"/>
  <c r="N7" i="52"/>
  <c r="N5" i="52"/>
  <c r="P2" i="52"/>
  <c r="O3" i="52"/>
  <c r="P4" i="52"/>
  <c r="O2" i="52"/>
  <c r="D7" i="33"/>
  <c r="C7" i="33"/>
  <c r="H7" i="33"/>
  <c r="G7" i="33"/>
  <c r="C4" i="33"/>
  <c r="D4" i="33"/>
  <c r="G4" i="33"/>
  <c r="H4" i="33"/>
  <c r="C3" i="33"/>
  <c r="D3" i="33"/>
  <c r="G3" i="33"/>
  <c r="H3" i="33"/>
  <c r="D6" i="33"/>
  <c r="C6" i="33"/>
  <c r="H6" i="33"/>
  <c r="G6" i="33"/>
  <c r="D5" i="33"/>
  <c r="C5" i="33"/>
  <c r="H5" i="33"/>
  <c r="G5" i="33"/>
  <c r="D2" i="33"/>
  <c r="C2" i="33"/>
  <c r="H2" i="33"/>
  <c r="G2" i="33"/>
  <c r="P3" i="28"/>
  <c r="N3" i="28"/>
  <c r="O3" i="28"/>
  <c r="S3" i="28"/>
  <c r="Q3" i="28"/>
  <c r="R3" i="28"/>
  <c r="S4" i="28"/>
  <c r="O7" i="28"/>
  <c r="O6" i="28"/>
  <c r="P7" i="28"/>
  <c r="O5" i="28"/>
  <c r="S6" i="28"/>
  <c r="N5" i="28"/>
  <c r="N6" i="28"/>
  <c r="O2" i="28"/>
  <c r="S7" i="28"/>
  <c r="S2" i="28"/>
  <c r="P6" i="28"/>
  <c r="P5" i="28"/>
  <c r="O4" i="28"/>
  <c r="R6" i="28"/>
  <c r="N2" i="28"/>
  <c r="P2" i="28"/>
  <c r="Q5" i="28"/>
  <c r="R4" i="28"/>
  <c r="R2" i="28"/>
  <c r="Q7" i="28"/>
  <c r="R5" i="28"/>
  <c r="Q4" i="28"/>
  <c r="Q6" i="28"/>
  <c r="S5" i="28"/>
  <c r="Q2" i="28"/>
  <c r="N7" i="28"/>
  <c r="N4" i="28"/>
  <c r="R7" i="28"/>
  <c r="P4" i="28"/>
  <c r="T4" i="25"/>
  <c r="T6" i="25"/>
  <c r="T7" i="25"/>
  <c r="T3" i="25"/>
  <c r="T5" i="25"/>
  <c r="T2" i="25"/>
  <c r="S5" i="25"/>
  <c r="S7" i="25"/>
  <c r="S3" i="25"/>
  <c r="S6" i="25"/>
  <c r="S4" i="25"/>
  <c r="S2" i="25"/>
  <c r="R7" i="25"/>
  <c r="R3" i="25"/>
  <c r="R5" i="25"/>
  <c r="R4" i="25"/>
  <c r="R6" i="25"/>
  <c r="R2" i="25"/>
  <c r="Q3" i="25"/>
  <c r="Q7" i="25"/>
  <c r="Q6" i="25"/>
  <c r="Q4" i="25"/>
  <c r="Q5" i="25"/>
  <c r="Q2" i="25"/>
  <c r="P6" i="25"/>
  <c r="P4" i="25"/>
  <c r="P5" i="25"/>
  <c r="P3" i="25"/>
  <c r="P7" i="25"/>
  <c r="P2" i="25"/>
  <c r="O6" i="25"/>
  <c r="O4" i="25"/>
  <c r="O3" i="25"/>
  <c r="O7" i="25"/>
  <c r="O5" i="25"/>
  <c r="O2" i="25"/>
  <c r="K20" i="32"/>
  <c r="L22" i="32"/>
  <c r="K24" i="32"/>
  <c r="J18" i="32"/>
  <c r="H25" i="32"/>
  <c r="G16" i="32"/>
  <c r="I25" i="32"/>
  <c r="L29" i="32"/>
  <c r="H22" i="32"/>
  <c r="H24" i="32"/>
  <c r="I20" i="32"/>
  <c r="K29" i="32"/>
  <c r="H29" i="32"/>
  <c r="H17" i="32"/>
  <c r="G18" i="32"/>
  <c r="I22" i="32"/>
  <c r="H26" i="32"/>
  <c r="L30" i="32"/>
  <c r="L25" i="32"/>
  <c r="K18" i="32"/>
  <c r="J17" i="32"/>
  <c r="G29" i="32"/>
  <c r="K22" i="32"/>
  <c r="I29" i="32"/>
  <c r="K30" i="32"/>
  <c r="G28" i="32"/>
  <c r="K21" i="32"/>
  <c r="I18" i="32"/>
  <c r="H18" i="32"/>
  <c r="L26" i="32"/>
  <c r="G21" i="32"/>
  <c r="L17" i="32"/>
  <c r="J20" i="32"/>
  <c r="L18" i="32"/>
  <c r="J16" i="32"/>
  <c r="J21" i="32"/>
  <c r="I16" i="32"/>
  <c r="G25" i="32"/>
  <c r="L21" i="32"/>
  <c r="L28" i="32"/>
  <c r="G30" i="32"/>
  <c r="K16" i="32"/>
  <c r="J30" i="32"/>
  <c r="L24" i="32"/>
  <c r="H28" i="32"/>
  <c r="L20" i="32"/>
  <c r="I24" i="32"/>
  <c r="G20" i="32"/>
  <c r="J22" i="32"/>
  <c r="G24" i="32"/>
  <c r="G17" i="32"/>
  <c r="J25" i="32"/>
  <c r="I28" i="32"/>
  <c r="H30" i="32"/>
  <c r="J29" i="32"/>
  <c r="G26" i="32"/>
  <c r="K28" i="32"/>
  <c r="I26" i="32"/>
  <c r="G22" i="32"/>
  <c r="K26" i="32"/>
  <c r="I21" i="32"/>
  <c r="L16" i="32"/>
  <c r="K25" i="32"/>
  <c r="H20" i="32"/>
  <c r="J28" i="32"/>
  <c r="K17" i="32"/>
  <c r="J24" i="32"/>
  <c r="I30" i="32"/>
  <c r="J26" i="32"/>
  <c r="I17" i="32"/>
  <c r="H16" i="32"/>
  <c r="H21" i="32"/>
  <c r="L5" i="33" l="1"/>
  <c r="L7" i="33"/>
  <c r="K6" i="33"/>
  <c r="M7" i="33"/>
  <c r="L6" i="33"/>
  <c r="M6" i="33"/>
  <c r="K5" i="33"/>
  <c r="K7" i="33"/>
  <c r="M5" i="33"/>
  <c r="M2" i="33"/>
  <c r="K2" i="33"/>
  <c r="L3" i="33"/>
  <c r="L2" i="33"/>
  <c r="M3" i="33"/>
  <c r="L4" i="33"/>
  <c r="K3" i="33"/>
  <c r="M4" i="33"/>
  <c r="K4" i="33"/>
  <c r="V7" i="33"/>
  <c r="V3" i="33"/>
  <c r="V6" i="33"/>
  <c r="V5" i="33"/>
  <c r="V4" i="33"/>
  <c r="V2" i="33"/>
  <c r="U6" i="33"/>
  <c r="U7" i="33"/>
  <c r="U3" i="33"/>
  <c r="U5" i="33"/>
  <c r="U4" i="33"/>
  <c r="U2" i="33"/>
  <c r="T7" i="33"/>
  <c r="T5" i="33"/>
  <c r="T3" i="33"/>
  <c r="T6" i="33"/>
  <c r="T4" i="33"/>
  <c r="T2" i="33"/>
  <c r="O6" i="33"/>
  <c r="R3" i="33"/>
  <c r="P2" i="33"/>
  <c r="O5" i="33"/>
  <c r="Q6" i="33"/>
  <c r="O3" i="33"/>
  <c r="O2" i="33"/>
  <c r="R5" i="33"/>
  <c r="O7" i="33"/>
  <c r="S3" i="33"/>
  <c r="Q2" i="33"/>
  <c r="S4" i="33"/>
  <c r="R7" i="33"/>
  <c r="P3" i="33"/>
  <c r="S2" i="33"/>
  <c r="O4" i="33"/>
  <c r="R6" i="33"/>
  <c r="S7" i="33"/>
  <c r="Q3" i="33"/>
  <c r="S5" i="33"/>
  <c r="Q4" i="33"/>
  <c r="P6" i="33"/>
  <c r="Q7" i="33"/>
  <c r="N3" i="33"/>
  <c r="P5" i="33"/>
  <c r="P4" i="33"/>
  <c r="N6" i="33"/>
  <c r="P7" i="33"/>
  <c r="N2" i="33"/>
  <c r="Q5" i="33"/>
  <c r="R4" i="33"/>
  <c r="S6" i="33"/>
  <c r="N7" i="33"/>
  <c r="R2" i="33"/>
  <c r="N5" i="33"/>
  <c r="N4" i="33"/>
</calcChain>
</file>

<file path=xl/sharedStrings.xml><?xml version="1.0" encoding="utf-8"?>
<sst xmlns="http://schemas.openxmlformats.org/spreadsheetml/2006/main" count="2429" uniqueCount="440">
  <si>
    <t>Item</t>
  </si>
  <si>
    <t>Units</t>
  </si>
  <si>
    <t>MW</t>
  </si>
  <si>
    <t>K - Long Island</t>
  </si>
  <si>
    <t>F - Capital</t>
  </si>
  <si>
    <t>C - Central</t>
  </si>
  <si>
    <t>EFORd outage rate</t>
  </si>
  <si>
    <t>MMBtu/Start</t>
  </si>
  <si>
    <t>$/Start</t>
  </si>
  <si>
    <t>$/MWh</t>
  </si>
  <si>
    <t>Btu/kWh</t>
  </si>
  <si>
    <t>%</t>
  </si>
  <si>
    <t>Performance Values (per unit)</t>
  </si>
  <si>
    <t>Net Plant Heat Rate - Summer</t>
  </si>
  <si>
    <t>Net Plant Heat Rate - Winter</t>
  </si>
  <si>
    <t>lb/hr</t>
  </si>
  <si>
    <t>ULSD Emission Rates - Winter</t>
  </si>
  <si>
    <t>Natural Gas Emission Rates - Summer</t>
  </si>
  <si>
    <t>Natural Gas Emission Rates - Winter</t>
  </si>
  <si>
    <t>Other Performance Values (per unit)</t>
  </si>
  <si>
    <t>G - LHV (Dutchess)</t>
  </si>
  <si>
    <t>G - LHV (Rockland)</t>
  </si>
  <si>
    <t>Variable Cost per Hour - NG Firing</t>
  </si>
  <si>
    <t>Variable Cost per Hour - ULSD Firing</t>
  </si>
  <si>
    <t>Yes</t>
  </si>
  <si>
    <r>
      <t>NO</t>
    </r>
    <r>
      <rPr>
        <vertAlign val="subscript"/>
        <sz val="10"/>
        <color theme="1"/>
        <rFont val="Times New Roman"/>
        <family val="1"/>
      </rPr>
      <t>X</t>
    </r>
    <r>
      <rPr>
        <sz val="10"/>
        <color theme="1"/>
        <rFont val="Times New Roman"/>
        <family val="1"/>
      </rPr>
      <t xml:space="preserve"> Emissions Rate</t>
    </r>
  </si>
  <si>
    <r>
      <t>SO</t>
    </r>
    <r>
      <rPr>
        <vertAlign val="subscript"/>
        <sz val="10"/>
        <color theme="1"/>
        <rFont val="Times New Roman"/>
        <family val="1"/>
      </rPr>
      <t xml:space="preserve">2 </t>
    </r>
    <r>
      <rPr>
        <sz val="10"/>
        <color theme="1"/>
        <rFont val="Times New Roman"/>
        <family val="1"/>
      </rPr>
      <t>Emissions Rate</t>
    </r>
  </si>
  <si>
    <r>
      <t>CO</t>
    </r>
    <r>
      <rPr>
        <vertAlign val="subscript"/>
        <sz val="10"/>
        <color theme="1"/>
        <rFont val="Times New Roman"/>
        <family val="1"/>
      </rPr>
      <t>2</t>
    </r>
    <r>
      <rPr>
        <sz val="10"/>
        <color theme="1"/>
        <rFont val="Times New Roman"/>
        <family val="1"/>
      </rPr>
      <t xml:space="preserve"> Emissions Rate</t>
    </r>
  </si>
  <si>
    <t>J - NYC</t>
  </si>
  <si>
    <t>C</t>
  </si>
  <si>
    <t>F</t>
  </si>
  <si>
    <t>J</t>
  </si>
  <si>
    <t>K</t>
  </si>
  <si>
    <t>STARTUP_FUEL_F</t>
  </si>
  <si>
    <t>EFORd_F</t>
  </si>
  <si>
    <t>AREA</t>
  </si>
  <si>
    <t>G2</t>
  </si>
  <si>
    <t>HR_SUM_F</t>
  </si>
  <si>
    <t>HR_WIN_F</t>
  </si>
  <si>
    <t>VOC_NG_F</t>
  </si>
  <si>
    <t>VOC_OIL_F</t>
  </si>
  <si>
    <t>NOX_NG_SUM_F</t>
  </si>
  <si>
    <t>SO2_NG_SUM_F</t>
  </si>
  <si>
    <t>CO2_NG_SUM_F</t>
  </si>
  <si>
    <t>NOX_NG_WIN_F</t>
  </si>
  <si>
    <t>SO2_NG_WIN_F</t>
  </si>
  <si>
    <t>CO2_NG_WIN_F</t>
  </si>
  <si>
    <t>NOX_OIL_SUM_F</t>
  </si>
  <si>
    <t>SO2_OIL_SUM_F</t>
  </si>
  <si>
    <t>CO2_OIL_SUM_F</t>
  </si>
  <si>
    <t>NOX_OIL_WIN_F</t>
  </si>
  <si>
    <t>SO2_OIL_WIN_F</t>
  </si>
  <si>
    <t>CO2_OIL_WIN_F</t>
  </si>
  <si>
    <t>TECH_PARAMS</t>
  </si>
  <si>
    <t>G1</t>
  </si>
  <si>
    <r>
      <t>Fuel Required per Start (regular start -</t>
    </r>
    <r>
      <rPr>
        <b/>
        <sz val="10"/>
        <color rgb="FFFF0000"/>
        <rFont val="Times New Roman"/>
        <family val="1"/>
      </rPr>
      <t xml:space="preserve"> </t>
    </r>
    <r>
      <rPr>
        <sz val="10"/>
        <rFont val="Times New Roman"/>
        <family val="1"/>
      </rPr>
      <t>21</t>
    </r>
    <r>
      <rPr>
        <b/>
        <sz val="10"/>
        <color rgb="FFFF0000"/>
        <rFont val="Times New Roman"/>
        <family val="1"/>
      </rPr>
      <t xml:space="preserve"> </t>
    </r>
    <r>
      <rPr>
        <sz val="10"/>
        <color theme="1"/>
        <rFont val="Times New Roman"/>
        <family val="1"/>
      </rPr>
      <t>min. to full load)</t>
    </r>
  </si>
  <si>
    <t>ns10min_f</t>
  </si>
  <si>
    <t>rt_limit_f_scr</t>
  </si>
  <si>
    <t>ZONE K</t>
  </si>
  <si>
    <t>ZONE J</t>
  </si>
  <si>
    <t>ZONE G - Dutchess</t>
  </si>
  <si>
    <t>ZONE G - Rockland</t>
  </si>
  <si>
    <t>ZONE F</t>
  </si>
  <si>
    <t>ZONE C</t>
  </si>
  <si>
    <t>Net Plant Output</t>
  </si>
  <si>
    <t xml:space="preserve">  Net Plant Output, kW</t>
  </si>
  <si>
    <t>Net Plant Heat Rate, Btu/kWh (HHV)</t>
  </si>
  <si>
    <t>Summer</t>
  </si>
  <si>
    <t>Winter</t>
  </si>
  <si>
    <t xml:space="preserve">  Net Plant Heat Rate, Btu/kWh (HHV)</t>
  </si>
  <si>
    <t xml:space="preserve">NOX </t>
  </si>
  <si>
    <t>SO2</t>
  </si>
  <si>
    <t>CO2</t>
  </si>
  <si>
    <t>Sheet</t>
  </si>
  <si>
    <t>NYISO DCR TECHNOLOGY ASSESSMENT</t>
  </si>
  <si>
    <t>SIMPLE CYCLE FRAME J-CLASS (GE HA.02)</t>
  </si>
  <si>
    <t>PRELIMINARY AND CONFIDENTIAL - NOT FOR CONSTRUCTION</t>
  </si>
  <si>
    <t>PROJECT TYPE</t>
  </si>
  <si>
    <t>BASE PLANT DESCRIPTION</t>
  </si>
  <si>
    <t>Number of Gas Turbines</t>
  </si>
  <si>
    <t>Representative Class Gas Turbine</t>
  </si>
  <si>
    <t>GE 7HA.02</t>
  </si>
  <si>
    <t>Startup Time to Base Load, min</t>
  </si>
  <si>
    <t>10 fast / 30 conventional</t>
  </si>
  <si>
    <t>Startup Time to MECL, min</t>
  </si>
  <si>
    <t>8 fast / 24 conventional</t>
  </si>
  <si>
    <t>Cold Startup Time to SCR Compliance, min</t>
  </si>
  <si>
    <t xml:space="preserve">Equivalent Forced Outage Rate Demand, % </t>
  </si>
  <si>
    <t>Assumed Land Use During Operation, Acres (Not Construction Land Use)</t>
  </si>
  <si>
    <t>Fuel Design</t>
  </si>
  <si>
    <t>Dual Fuel (Natural Gas and Fuel Oil)</t>
  </si>
  <si>
    <t>Inlet Conditioning</t>
  </si>
  <si>
    <t>Evaporative Cooler</t>
  </si>
  <si>
    <t>Heat Rejection</t>
  </si>
  <si>
    <t>Fin Fan Heat Exchanger</t>
  </si>
  <si>
    <t>NOx Control</t>
  </si>
  <si>
    <t>Water Injection and SCR</t>
  </si>
  <si>
    <t>CO Control</t>
  </si>
  <si>
    <t>CO Catalyst</t>
  </si>
  <si>
    <t>Particulate Control</t>
  </si>
  <si>
    <t>Good Combustion Practice</t>
  </si>
  <si>
    <t>Interconnection Voltage, kV</t>
  </si>
  <si>
    <t>Technology Rating</t>
  </si>
  <si>
    <t>Mature</t>
  </si>
  <si>
    <t>Permitting &amp; Construction Schedule (Years from FNTP)</t>
  </si>
  <si>
    <t>ESTIMATED PERFORMANCE (All BASED ON NATURAL GAS OPERATION)</t>
  </si>
  <si>
    <t xml:space="preserve">Summer Performance </t>
  </si>
  <si>
    <t xml:space="preserve">  Ambient Temperature, °F</t>
  </si>
  <si>
    <t xml:space="preserve">  Relative Humidity, %</t>
  </si>
  <si>
    <t xml:space="preserve">  Heat Input, MMBtu/h (HHV)</t>
  </si>
  <si>
    <t xml:space="preserve">  Min Load Plant Output, kW</t>
  </si>
  <si>
    <t xml:space="preserve">  Min Load Net Plant Heat Rate, Btu/kWh (HHV)</t>
  </si>
  <si>
    <t xml:space="preserve">  Min LoadHeat Input, MMBtu/h (HHV)</t>
  </si>
  <si>
    <t xml:space="preserve">Winter Performance </t>
  </si>
  <si>
    <t xml:space="preserve">Spring-Fall (ISO) Performance </t>
  </si>
  <si>
    <t xml:space="preserve">Summer DMNC Performance </t>
  </si>
  <si>
    <t>Winter DMNC Performance</t>
  </si>
  <si>
    <t xml:space="preserve">ICAP Performance </t>
  </si>
  <si>
    <t>ESTIMATED STARTUP FUEL USAGE</t>
  </si>
  <si>
    <t>Start to Base Load, MMBtu</t>
  </si>
  <si>
    <t>240 (fast) / 490 (typ)</t>
  </si>
  <si>
    <t>ESTIMATED CAPITAL AND O&amp;M COSTS</t>
  </si>
  <si>
    <t>EPC Project Capital Costs, 2020 MM$ (w/o Owner's Costs)</t>
  </si>
  <si>
    <t xml:space="preserve">Labor </t>
  </si>
  <si>
    <t>Materials</t>
  </si>
  <si>
    <t>Turbines or Batteries</t>
  </si>
  <si>
    <t>Other</t>
  </si>
  <si>
    <t>Owner's Cost Allowances, 2020 MM$</t>
  </si>
  <si>
    <t>Owner's Project Development</t>
  </si>
  <si>
    <t>Owner's Operational Personnel Prior to COD</t>
  </si>
  <si>
    <t>Owner's Engineer</t>
  </si>
  <si>
    <t>Owner's Project Management</t>
  </si>
  <si>
    <t>Owner's Legal Costs</t>
  </si>
  <si>
    <t>Owner's Start-up Engineering and Commissioning</t>
  </si>
  <si>
    <t>Sales Tax</t>
  </si>
  <si>
    <t>Construction Power and Water</t>
  </si>
  <si>
    <t>Permitting and Licensing Fees</t>
  </si>
  <si>
    <t>Switchyard</t>
  </si>
  <si>
    <t>Electrical Interconnection and Deliverability</t>
  </si>
  <si>
    <t>Gas Interconnection and Reinforcement</t>
  </si>
  <si>
    <t>System Deliverability Upgrade Costs</t>
  </si>
  <si>
    <t>Emission Reduction Credits</t>
  </si>
  <si>
    <t>Startup/Testing (Fuel &amp; Consumables)</t>
  </si>
  <si>
    <t>Initial Fuel Inventory</t>
  </si>
  <si>
    <t>Site Security</t>
  </si>
  <si>
    <t>Operating Spare Parts</t>
  </si>
  <si>
    <t>Builders Risk Insurance (0.45% of Construction Costs)</t>
  </si>
  <si>
    <t>Owner's Contingency (5% for Screening Purposes)</t>
  </si>
  <si>
    <t>EPC Portion</t>
  </si>
  <si>
    <t>Non-EPC Portion</t>
  </si>
  <si>
    <t>Total Project Costs, 2020 MM$</t>
  </si>
  <si>
    <t>EPC Cost Per kW, 2020 $/kW (Based on ICAP kW)</t>
  </si>
  <si>
    <t>Total Cost Per kW, 2020 $/kW (Based on ICAP kW)</t>
  </si>
  <si>
    <t xml:space="preserve">FIXED O&amp;M COSTS </t>
  </si>
  <si>
    <t>Fixed O&amp;M Cost - LABOR, 2020$MM/Yr</t>
  </si>
  <si>
    <t>Fixed O&amp;M Cost - OTHER, 2020$MM/Yr</t>
  </si>
  <si>
    <t>Site Leasing Allowance, 2020$/MM/Yr</t>
  </si>
  <si>
    <t>Property Insurance Allowance, 2020$MM/Yr</t>
  </si>
  <si>
    <t>LEVELIZED MAJOR MAINTENANCE COSTS</t>
  </si>
  <si>
    <t>Major Maintenance Cost, 2020$/GT-hr or $/engine-hr</t>
  </si>
  <si>
    <t>Major Maintenance Cost, 2020$/GT-start</t>
  </si>
  <si>
    <t>Major Maintenance Cost, 2020$/MWh</t>
  </si>
  <si>
    <t>NON-FUEL VARIABLE O&amp;M COSTS (EXCLUDES MAJOR MAINTENANCE) - GAS OPERATION</t>
  </si>
  <si>
    <t>Total Variable O&amp;M Cost, 2020$/MWh</t>
  </si>
  <si>
    <t>Water Related O&amp;M, $/MWh</t>
  </si>
  <si>
    <t>SCR Related Costs, $/MWh</t>
  </si>
  <si>
    <t>Other Consumables and Variable O&amp;M, $/MWh</t>
  </si>
  <si>
    <t>NON-FUEL VARIABLE O&amp;M COSTS (EXCLUDES MAJOR MAINTENANCE) - FUEL OIL OPERATION</t>
  </si>
  <si>
    <t>Capital Costs, 2020 MM$</t>
  </si>
  <si>
    <t>Owner's Costs, 2020 MM$</t>
  </si>
  <si>
    <t>ESTIMATED BASE LOAD OPERATING EMISSIONS: NATURAL GAS</t>
  </si>
  <si>
    <t>All GTs Operating, NO SCR / CO Catalyst (lb/hr, HHV)</t>
  </si>
  <si>
    <r>
      <t>NO</t>
    </r>
    <r>
      <rPr>
        <vertAlign val="subscript"/>
        <sz val="10"/>
        <rFont val="Arial"/>
        <family val="2"/>
      </rPr>
      <t xml:space="preserve">X </t>
    </r>
  </si>
  <si>
    <r>
      <t>SO</t>
    </r>
    <r>
      <rPr>
        <vertAlign val="subscript"/>
        <sz val="10"/>
        <rFont val="Arial"/>
        <family val="2"/>
      </rPr>
      <t>2</t>
    </r>
  </si>
  <si>
    <t>CO</t>
  </si>
  <si>
    <r>
      <t>CO</t>
    </r>
    <r>
      <rPr>
        <vertAlign val="subscript"/>
        <sz val="10"/>
        <rFont val="Arial"/>
        <family val="2"/>
      </rPr>
      <t>2</t>
    </r>
  </si>
  <si>
    <t>All GTs with SCR and CO Catalyst (lb/hr, HHV)</t>
  </si>
  <si>
    <t xml:space="preserve">ESTIMATED BASE LOAD OPERATING EMISSIONS: ULTRA-LOW SULFUR FUEL OIL </t>
  </si>
  <si>
    <t>Notes</t>
  </si>
  <si>
    <t xml:space="preserve">Note 2:  Simple cycle GT starts are not affected by hot, warm or cold conditions.  Simple cycle starts assume purge credits are available.  </t>
  </si>
  <si>
    <t>Note 3:  MECL start time assumes the min load at which the GT achieves the steady state NOx emissions ppm rate.  The SCR compliance start time assumes a cold start, ending at the time when the catalysts are heated and the NOx levels meet the desired SCR emissions.</t>
  </si>
  <si>
    <t xml:space="preserve">Note 4:  Outage and availability statistics are collected using the NERC Generating Availability Data System.  Simple cycle data is based on North American units that came online in 2010 or later.  Reporting period is 2012-2019.  </t>
  </si>
  <si>
    <t>Note 5:  Degraded performance assumed for all scenarios.  For frame units, 3% average degradation is assumed.  All performance ratings based on NATURAL GAS operation.  Minimum loads are based on OEM information at requested ambient conditions.</t>
  </si>
  <si>
    <t>Note 6:  Assumes incoming gas pressure of 250 psig.  Compression included in EPC scope. Owner's costs include 5 miles pipeline for all zones except Zone J, which assumes 1 mile.  12" pipeline for aero and F class.  16" pipeline for J class.</t>
  </si>
  <si>
    <t xml:space="preserve">Note 7:  Capital and fixed O&amp;M costs are presented in 2020 USD $MM.  </t>
  </si>
  <si>
    <t xml:space="preserve">Note 8: FOM costs assume 7 full time personnel.  FOM costs do not include engine lease fees that may be available with LTSA, depending on OEM.  </t>
  </si>
  <si>
    <t xml:space="preserve">Note 9:  Major maintenance $/hr holds for all aero gas turbines.  Major maintenance $/hr holds for frame gas turbines where hours per start is &gt;27.  </t>
  </si>
  <si>
    <t>Note 10: VOM assumes the use of temporarily trailers for demineralized water treatment.</t>
  </si>
  <si>
    <t xml:space="preserve">Note 12: Fuel Oil emissions based on ultra low sulfur diesel.  Per the US EPA, this fuel must meet 15 ppm sulfur.  </t>
  </si>
  <si>
    <t>Note 13:  Estimated Costs exclude decommisioning costs and salvage values.</t>
  </si>
  <si>
    <t>Section Row # Start</t>
  </si>
  <si>
    <t>Section Row # End</t>
  </si>
  <si>
    <t>Variable</t>
  </si>
  <si>
    <t>SIMPLE CYCLE FRAME F-CLASS</t>
  </si>
  <si>
    <t>GE 7F.05</t>
  </si>
  <si>
    <t>140 (fast) / 325 (typ)</t>
  </si>
  <si>
    <t>Raw_F-Class</t>
  </si>
  <si>
    <t>SIMPLE CYCLE AERODERIVATIVE SIEMENS SGT-A65</t>
  </si>
  <si>
    <t>Siemens SGT-A65 WLE</t>
  </si>
  <si>
    <t>Start to Base Load, MMBtu (includes all GTs)</t>
  </si>
  <si>
    <t>Site Leasing Allowance, 2020$MM/Yr</t>
  </si>
  <si>
    <t>N/A</t>
  </si>
  <si>
    <t>Note 5:  Degraded performance assumed for all scenarios.  For Siemens A65, 2.5% average degradation is assumed.  All performance ratings based on NATURAL GAS operation.  Minimum loads are based on OEM information at requested ambient conditions.</t>
  </si>
  <si>
    <t>COMBINED CYCLE 1x1 GE HA.02</t>
  </si>
  <si>
    <t>PROJECT ZONE:</t>
  </si>
  <si>
    <t>1x1 GE HA.02</t>
  </si>
  <si>
    <t>Number of Steam Turbines</t>
  </si>
  <si>
    <t>Steam Conditions (Main Steam / Reheat)</t>
  </si>
  <si>
    <t>1,085°F / 1,085°F</t>
  </si>
  <si>
    <t>Main Steam Pressure</t>
  </si>
  <si>
    <t>Steam Cycle Type</t>
  </si>
  <si>
    <t>Subcritical</t>
  </si>
  <si>
    <t>Startup Time, Minutes (Cold Start to Unfired Base Load)</t>
  </si>
  <si>
    <t>Startup Time, Minutes (Warm Start to Unfired Base Load)</t>
  </si>
  <si>
    <t>Startup Time, Minutes (Hot Start to Unfired Base Load)</t>
  </si>
  <si>
    <t xml:space="preserve">Startup Time, Minutes (Cold Start to Stack Emissions Compliance) </t>
  </si>
  <si>
    <t>Air Cooled Condenser (ACC)</t>
  </si>
  <si>
    <r>
      <t>NO</t>
    </r>
    <r>
      <rPr>
        <vertAlign val="subscript"/>
        <sz val="12"/>
        <rFont val="Arial"/>
        <family val="2"/>
      </rPr>
      <t>x</t>
    </r>
    <r>
      <rPr>
        <sz val="12"/>
        <rFont val="Arial"/>
        <family val="2"/>
      </rPr>
      <t xml:space="preserve"> Control</t>
    </r>
  </si>
  <si>
    <t>DLN/SCR</t>
  </si>
  <si>
    <t>Oxidation Catalyst</t>
  </si>
  <si>
    <t xml:space="preserve">ESTIMATED PERFORMANCE </t>
  </si>
  <si>
    <t>Base Load Performance @ ICAP: 90 °F | 70% RH (Nominal)</t>
  </si>
  <si>
    <t>Incremental Duct Fired Performance @ ICAP: 90 °F | 70% RH (Nominal)</t>
  </si>
  <si>
    <t xml:space="preserve">  Incremental Duct Fired Output, kW</t>
  </si>
  <si>
    <t xml:space="preserve">  Incremental Heat Rate, Btu/kWh (HHV)</t>
  </si>
  <si>
    <t xml:space="preserve">  Incremental Heat Input, MMBtu/h (HHV)</t>
  </si>
  <si>
    <t>Minimum Load (Single Turbine at MECL) @ ICAP: 90 °F | 70% RH (Nominal)</t>
  </si>
  <si>
    <t>Base Load Performance @ Winter DMNC</t>
  </si>
  <si>
    <t>Incremental Duct Fired Performance @ Winter DMNC</t>
  </si>
  <si>
    <t>Minimum Load (Single Turbine at MECL) @ Winter DMNC</t>
  </si>
  <si>
    <t>Base Load Performance @ Winter</t>
  </si>
  <si>
    <t>Incremental Duct Fired Performance @ Winter</t>
  </si>
  <si>
    <t>Minimum Load (Single Turbine at MECL) @ Winter</t>
  </si>
  <si>
    <t>Base Load Performance @ Spring / Fall</t>
  </si>
  <si>
    <t xml:space="preserve">Incremental Unfired Performance with Evaporative Coolers @ Spring / Fall </t>
  </si>
  <si>
    <t xml:space="preserve">  Incremental Output with Evap Coolers, kW</t>
  </si>
  <si>
    <t xml:space="preserve">  Net Plant Heat Rate with Evap Coolers, Btu/kWh (HHV)</t>
  </si>
  <si>
    <t>Incremental Duct Fired Performance with Evaporative Coolers @ Spring / Fall</t>
  </si>
  <si>
    <t>Minimum Load (Single Turbine at MECL) @ Spring / Fall</t>
  </si>
  <si>
    <t>Base Load Performance @ Summer</t>
  </si>
  <si>
    <t>Incremental Duct Fired Performance @ Summer</t>
  </si>
  <si>
    <t>Minimum Load (Single Turbine at MECL) @ Summer</t>
  </si>
  <si>
    <t>Base Load Performance @ Summer DMNC</t>
  </si>
  <si>
    <t xml:space="preserve">Incremental Unfired Performance with Evaporative Coolers @ Summer DMNC </t>
  </si>
  <si>
    <t xml:space="preserve">  Incremental Heat Rate with Evap Coolers, Btu/kWh (HHV)</t>
  </si>
  <si>
    <t xml:space="preserve">Incremental Fired Performance with Evaporative Coolers @ Summer DMNC </t>
  </si>
  <si>
    <t>Minimum Load (Single Turbine at MECL) @ Summer DMNC</t>
  </si>
  <si>
    <t>Start to Unfired Base Load, MMBtu (WARM Start)</t>
  </si>
  <si>
    <t>FIXED O&amp;M COSTS</t>
  </si>
  <si>
    <t>LEVELIZED CAPITAL MAINTENANCE COSTS</t>
  </si>
  <si>
    <t>Water Related O&amp;M ($/MWh)</t>
  </si>
  <si>
    <t>Other Consumables and Variable O&amp;M ($/MWh)</t>
  </si>
  <si>
    <t>SCR Reagent, $/MWh</t>
  </si>
  <si>
    <t>ESTIMATED BASE LOAD OPERATING EMISSIONS,  lb/MMBtu (HHV)</t>
  </si>
  <si>
    <r>
      <t>NO</t>
    </r>
    <r>
      <rPr>
        <vertAlign val="subscript"/>
        <sz val="10"/>
        <rFont val="Arial"/>
        <family val="2"/>
      </rPr>
      <t>X</t>
    </r>
  </si>
  <si>
    <t>Note 2: Performance ratings were determined using heat balance modeling software.  Performance is based on 1.8% average degradation for capacity and 1.1% average degradation for heat rate.  All performance is based on NATURAL GAS operation.  Min load ratings are based on OEM performance information at specified ambient conditions.</t>
  </si>
  <si>
    <t xml:space="preserve">Note 4: Capital and fixed O&amp;M costs are presented in 2020 USD $MM.  </t>
  </si>
  <si>
    <t xml:space="preserve">Note 5: Major maintenance $/hr holds for frame gas turbines where hours per start is &gt;27.  </t>
  </si>
  <si>
    <t>Note 6: The duct firing incremental values note incremental performance output. The incremental heat rate reflects the effective heat rate of the additional output due to the duct burners.</t>
  </si>
  <si>
    <t>Note 7: Startup time to stack emissions compliance is not the same as the start time for gas turbine MECL.  Stack emissions compliance is expected to be limited by the temperature of the CO catalyst, which impacts VOC emissions.</t>
  </si>
  <si>
    <t>Note 8: Outage and availability statistics are collected using the NERC Generating Availability Data System.  Combined cycle data is based on North American units that came online in 2010 or later.  Reporting period is 2012-2019.</t>
  </si>
  <si>
    <t>Note 9: Cold start is &gt;72 hours after shutdown.  Hot start is &lt;8 hours after shutdown.</t>
  </si>
  <si>
    <t xml:space="preserve">Note 10: Startup times reflect unrestricted, conventional starts for all gas turbines. These start times assume the inclusion of terminal point desuperheaters, full bypass, and associated controls.  Fast start packages are not included in CCGT plants.  </t>
  </si>
  <si>
    <t xml:space="preserve">Note 14: Fixed O&amp;M assumes 22 FTE for a 1x1 configuration.  </t>
  </si>
  <si>
    <t>Note 15: Variable O&amp;M costs assume onsite demineralized water treatment system (included in EPC cost).</t>
  </si>
  <si>
    <t>Note 17:  Estimated costs exclude decommisioning costs and salvage values.</t>
  </si>
  <si>
    <t>Raw_Aeroderivative</t>
  </si>
  <si>
    <r>
      <t>Fuel Required per Start (regular start -</t>
    </r>
    <r>
      <rPr>
        <b/>
        <sz val="10"/>
        <color rgb="FFFF0000"/>
        <rFont val="Times New Roman"/>
        <family val="1"/>
      </rPr>
      <t xml:space="preserve"> </t>
    </r>
    <r>
      <rPr>
        <sz val="10"/>
        <rFont val="Times New Roman"/>
        <family val="1"/>
      </rPr>
      <t>30</t>
    </r>
    <r>
      <rPr>
        <b/>
        <sz val="10"/>
        <color rgb="FFFF0000"/>
        <rFont val="Times New Roman"/>
        <family val="1"/>
      </rPr>
      <t xml:space="preserve"> </t>
    </r>
    <r>
      <rPr>
        <sz val="10"/>
        <color theme="1"/>
        <rFont val="Times New Roman"/>
        <family val="1"/>
      </rPr>
      <t>min. to full load)</t>
    </r>
  </si>
  <si>
    <t>Variable 1</t>
  </si>
  <si>
    <t>Variable 2</t>
  </si>
  <si>
    <t>Raw_J-Class_CC</t>
  </si>
  <si>
    <t>NOX</t>
  </si>
  <si>
    <t>Net Plant Output (MECL)</t>
  </si>
  <si>
    <t>Net Plant Heat Rate (HHV) (MECL)</t>
  </si>
  <si>
    <t>Net Plant Heat Rate (HHV)</t>
  </si>
  <si>
    <t>HR_SUM_AERO</t>
  </si>
  <si>
    <t>HR_WIN_AERO</t>
  </si>
  <si>
    <t>VOC_NG_AERO</t>
  </si>
  <si>
    <t>VOC_OIL_AERO</t>
  </si>
  <si>
    <t>STARTUP_FUEL_AERO</t>
  </si>
  <si>
    <t>NOX_NG_SUM_AERO</t>
  </si>
  <si>
    <t>SO2_NG_SUM_AERO</t>
  </si>
  <si>
    <t>CO2_NG_SUM_AERO</t>
  </si>
  <si>
    <t>NOX_NG_WIN_AERO</t>
  </si>
  <si>
    <t>SO2_NG_WIN_AERO</t>
  </si>
  <si>
    <t>CO2_NG_WIN_AERO</t>
  </si>
  <si>
    <t>NOX_OIL_SUM_AERO</t>
  </si>
  <si>
    <t>SO2_OIL_SUM_AERO</t>
  </si>
  <si>
    <t>CO2_OIL_SUM_AERO</t>
  </si>
  <si>
    <t>NOX_OIL_WIN_AERO</t>
  </si>
  <si>
    <t>SO2_OIL_WIN_AERO</t>
  </si>
  <si>
    <t>CO2_OIL_WIN_AERO</t>
  </si>
  <si>
    <t>EFORd_AERO</t>
  </si>
  <si>
    <t>HR_SUM_CCJ</t>
  </si>
  <si>
    <t>HR_WIN_CCJ</t>
  </si>
  <si>
    <t>VOC_NG_CCJ</t>
  </si>
  <si>
    <t>VOC_OIL_CCJ</t>
  </si>
  <si>
    <t>STARTUP_FUEL_CCJ</t>
  </si>
  <si>
    <t>NOX_NG_SUM_CCJ</t>
  </si>
  <si>
    <t>SO2_NG_SUM_CCJ</t>
  </si>
  <si>
    <t>CO2_NG_SUM_CCJ</t>
  </si>
  <si>
    <t>NOX_NG_WIN_CCJ</t>
  </si>
  <si>
    <t>SO2_NG_WIN_CCJ</t>
  </si>
  <si>
    <t>CO2_NG_WIN_CCJ</t>
  </si>
  <si>
    <t>NOX_OIL_SUM_CCJ</t>
  </si>
  <si>
    <t>SO2_OIL_SUM_CCJ</t>
  </si>
  <si>
    <t>CO2_OIL_SUM_CCJ</t>
  </si>
  <si>
    <t>NOX_OIL_WIN_CCJ</t>
  </si>
  <si>
    <t>SO2_OIL_WIN_CCJ</t>
  </si>
  <si>
    <t>CO2_OIL_WIN_CCJ</t>
  </si>
  <si>
    <t>EFORd_CCJ</t>
  </si>
  <si>
    <t>HR_SUM_MIN_CCJ</t>
  </si>
  <si>
    <t>HR_WIN_MIN_CCJ</t>
  </si>
  <si>
    <t>ns10min_aero</t>
  </si>
  <si>
    <t>rt_limit_aero_scr</t>
  </si>
  <si>
    <t>ULSD Emission Rates - Summer</t>
  </si>
  <si>
    <t>Raw_J-Class25ppm</t>
  </si>
  <si>
    <t>HR_SUM_J25</t>
  </si>
  <si>
    <t>HR_WIN_J25</t>
  </si>
  <si>
    <t>VOC_NG_J25</t>
  </si>
  <si>
    <t>VOC_OIL_J25</t>
  </si>
  <si>
    <t>STARTUP_FUEL_J25</t>
  </si>
  <si>
    <t>NOX_NG_SUM_J25</t>
  </si>
  <si>
    <t>SO2_NG_SUM_J25</t>
  </si>
  <si>
    <t>CO2_NG_SUM_J25</t>
  </si>
  <si>
    <t>NOX_NG_WIN_J25</t>
  </si>
  <si>
    <t>SO2_NG_WIN_J25</t>
  </si>
  <si>
    <t>CO2_NG_WIN_J25</t>
  </si>
  <si>
    <t>NOX_OIL_SUM_J25</t>
  </si>
  <si>
    <t>SO2_OIL_SUM_J25</t>
  </si>
  <si>
    <t>CO2_OIL_SUM_J25</t>
  </si>
  <si>
    <t>NOX_OIL_WIN_J25</t>
  </si>
  <si>
    <t>SO2_OIL_WIN_J25</t>
  </si>
  <si>
    <t>CO2_OIL_WIN_J25</t>
  </si>
  <si>
    <t>EFORd_J25</t>
  </si>
  <si>
    <t>Raw_J-Class15ppm</t>
  </si>
  <si>
    <t>rt_limit_j25_scr</t>
  </si>
  <si>
    <t>ns10min_j25</t>
  </si>
  <si>
    <t>ns10min_j15</t>
  </si>
  <si>
    <t>rt_limit_j15_scr</t>
  </si>
  <si>
    <t>AFUDC, 2020 MM$</t>
  </si>
  <si>
    <t>FIXED O&amp;M COSTS - NATURAL GAS ONLY</t>
  </si>
  <si>
    <t>FIXED O&amp;M COSTS - DUAL FUEL</t>
  </si>
  <si>
    <t>MANUAL UPDATE --&gt;</t>
  </si>
  <si>
    <t>DLN (Gas), Water Injection (Fuel Oil), SCR</t>
  </si>
  <si>
    <t>Simple Cycle Frame F-Class: GE 1x 7F.05</t>
  </si>
  <si>
    <t>Simple Cycle Aeroderivative Siemens 3x SGT-A65 (No SCR)</t>
  </si>
  <si>
    <t>Simple Cycle Frame F-Class: GE 1x 7F.05 (No SCR)</t>
  </si>
  <si>
    <t>Simple Cycle Frame J-Class GE 1x HA.02 (25ppm) (No SCR)</t>
  </si>
  <si>
    <t>DLN (Gas), Water Injection (Fuel Oil)</t>
  </si>
  <si>
    <t>Simple Cycle Frame J-Class GE 1x HA.02 (15 ppm) (No SCR)</t>
  </si>
  <si>
    <t>Simple Cycle Frame J-Class GE 1x HA.02 (25 ppm)</t>
  </si>
  <si>
    <t>EPC Cost Per UNFIRED kW, 2020 $/kW (Based on ICAP kW)</t>
  </si>
  <si>
    <t>Total Cost Per UNFIRED kW, 2020 $/kW (Based on ICAP kW)</t>
  </si>
  <si>
    <t>EPC Cost Per FIRED kW, 2020 $/kW  (Based on ICAP kW)</t>
  </si>
  <si>
    <t>Total Cost Per FIRED kW, 2020 $/kW  (Based on ICAP kW)</t>
  </si>
  <si>
    <t>Major Maintenance Cost, 2020 $/GT-hr</t>
  </si>
  <si>
    <t>Major Maintenance Cost, 2020 $/MWh</t>
  </si>
  <si>
    <t>Total Variable O&amp;M Cost, 2020 $/MWh</t>
  </si>
  <si>
    <t>Incremental Duct Fired Variable O&amp;M, 2020 $/MWh (excl. GT major maint.)</t>
  </si>
  <si>
    <t>Combined Cycle J-Class Frame 1x1 GE HA.02</t>
  </si>
  <si>
    <t>No</t>
  </si>
  <si>
    <t>Simple Cycle Aeroderivative Siemens 3x SGT-A65 (with SCR)</t>
  </si>
  <si>
    <t>rt_limit_ccj_scr</t>
  </si>
  <si>
    <t>Area</t>
  </si>
  <si>
    <t>NOx.Limit</t>
  </si>
  <si>
    <t>HR_SUM_J15</t>
  </si>
  <si>
    <t>HR_WIN_J15</t>
  </si>
  <si>
    <t>VOC_NG_J15</t>
  </si>
  <si>
    <t>VOC_OIL_J15</t>
  </si>
  <si>
    <t>STARTUP_FUEL_J15</t>
  </si>
  <si>
    <t>NOX_NG_SUM_J15</t>
  </si>
  <si>
    <t>SO2_NG_SUM_J15</t>
  </si>
  <si>
    <t>CO2_NG_SUM_J15</t>
  </si>
  <si>
    <t>NOX_NG_WIN_J15</t>
  </si>
  <si>
    <t>SO2_NG_WIN_J15</t>
  </si>
  <si>
    <t>CO2_NG_WIN_J15</t>
  </si>
  <si>
    <t>NOX_OIL_SUM_J15</t>
  </si>
  <si>
    <t>SO2_OIL_SUM_J15</t>
  </si>
  <si>
    <t>CO2_OIL_SUM_J15</t>
  </si>
  <si>
    <t>NOX_OIL_WIN_J15</t>
  </si>
  <si>
    <t>SO2_OIL_WIN_J15</t>
  </si>
  <si>
    <t>CO2_OIL_WIN_J15</t>
  </si>
  <si>
    <t>EFORd_J15</t>
  </si>
  <si>
    <t>CAP_SUM_AERO</t>
  </si>
  <si>
    <t>CAP_WIN_AERO</t>
  </si>
  <si>
    <t>CAP_SUM_F</t>
  </si>
  <si>
    <t>CAP_WIN_F</t>
  </si>
  <si>
    <t>CAP_SUM_J25</t>
  </si>
  <si>
    <t>CAP_WIN_J25</t>
  </si>
  <si>
    <t>CAP_SUM_J15</t>
  </si>
  <si>
    <t>CAP_WIN_J15</t>
  </si>
  <si>
    <t>CAP_SUM_CCJ</t>
  </si>
  <si>
    <t>CAP_WIN_CCJ</t>
  </si>
  <si>
    <t>CAP_SUM_MIN_CCJ</t>
  </si>
  <si>
    <t>CAP_WIN_MIN_CCJ</t>
  </si>
  <si>
    <t>STARTUP_MM_AERO</t>
  </si>
  <si>
    <t>STARTUP_MM_F</t>
  </si>
  <si>
    <t>STARTUP_MM_J25</t>
  </si>
  <si>
    <t>STARTUP_MM_J15</t>
  </si>
  <si>
    <t>STARTUP_MM_CCJ</t>
  </si>
  <si>
    <t>MM_COST_AERO</t>
  </si>
  <si>
    <t>$/hr</t>
  </si>
  <si>
    <t>Variable O&amp;M &amp; Maj. Maintenance Costs (per unit)</t>
  </si>
  <si>
    <t>Maj. Maintenance per Start</t>
  </si>
  <si>
    <t>Net Heat Rate - ISO Conditions</t>
  </si>
  <si>
    <t>&lt;- Used to scale emissions rates for winter/summer values</t>
  </si>
  <si>
    <t>ISO Conditions</t>
  </si>
  <si>
    <t>Natural Gas Only</t>
  </si>
  <si>
    <t>Political Concessions &amp; Area Development</t>
  </si>
  <si>
    <t>CAPITAL COST ADD / DEDUCT FOR GAS ONLY</t>
  </si>
  <si>
    <t xml:space="preserve">CAPITAL COST ADD / DEDUCT TO REMOVE SCR/CO </t>
  </si>
  <si>
    <t xml:space="preserve">Note 1:  Capital cost assumes EPC full wrap methodology.  Electrical scope ends at the high side of the GSU.  </t>
  </si>
  <si>
    <t xml:space="preserve">Note 11: Emissions estimates are shown for steady state operation at ISO conditions.  </t>
  </si>
  <si>
    <t>11 fast / 30 conventional</t>
  </si>
  <si>
    <t>DLN (Gas)</t>
  </si>
  <si>
    <t>Note 1:  Capital cost assumes EPC full wrap methodology.  Electrical scope ends at the high side of the GSU.  CCGT unit includes duct firing capability.</t>
  </si>
  <si>
    <t>Note 3: Variable O&amp;M costs are based on performance at ISO conditions.</t>
  </si>
  <si>
    <t>Note 16: Emissions estimates are shown for steady state operation at ISO conditions.  Estimates account for the impacts of SCR and CO catalysts.</t>
  </si>
  <si>
    <t>Updated 5/27/2020</t>
  </si>
  <si>
    <t>Maj. Maintenance per Hour</t>
  </si>
  <si>
    <t>$/GT-hr</t>
  </si>
  <si>
    <t>MM_COST_CCJ</t>
  </si>
  <si>
    <t>NOX_NG_SUM_MIN_CCJ</t>
  </si>
  <si>
    <t>Natural Gas Emission Rates - Summer (MECL)</t>
  </si>
  <si>
    <t>Natural Gas Emission Rates - Winter (MECL)</t>
  </si>
  <si>
    <t>ULSD Emission Rates - Summer (MECL)</t>
  </si>
  <si>
    <t>ULSD Emission Rates - Winter (MECL)</t>
  </si>
  <si>
    <t>SO2_NG_SUM_MIN_CCJ</t>
  </si>
  <si>
    <t>CO2_NG_SUM_MIN_CCJ</t>
  </si>
  <si>
    <t>NOX_NG_WIN_MIN_CCJ</t>
  </si>
  <si>
    <t>SO2_NG_WIN_MIN_CCJ</t>
  </si>
  <si>
    <t>CO2_NG_WIN_MIN_CCJ</t>
  </si>
  <si>
    <t>NOX_OIL_SUM_MIN_CCJ</t>
  </si>
  <si>
    <t>SO2_OIL_SUM_MIN_CCJ</t>
  </si>
  <si>
    <t>CO2_OIL_SUM_MIN_CCJ</t>
  </si>
  <si>
    <t>NOX_OIL_WIN_MIN_CCJ</t>
  </si>
  <si>
    <t>SO2_OIL_WIN_MIN_CCJ</t>
  </si>
  <si>
    <t>CO2_OIL_WIN_MIN_CCJ</t>
  </si>
  <si>
    <r>
      <t xml:space="preserve">May 2020 - DRAFT REV 4.1 </t>
    </r>
    <r>
      <rPr>
        <b/>
        <i/>
        <sz val="12"/>
        <rFont val="Arial"/>
        <family val="2"/>
      </rPr>
      <t>[AG UPDATED 7.27.2020]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</si>
</sst>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7" formatCode="&quot;$&quot;#,##0.00_);\(&quot;$&quot;#,##0.00\)"/>
    <numFmt numFmtId="43" formatCode="_(* #,##0.00_);_(* \(#,##0.00\);_(* &quot;-&quot;??_);_(@_)"/>
    <numFmt numFmtId="164" formatCode="0.0%"/>
    <numFmt numFmtId="165" formatCode="0.0"/>
    <numFmt numFmtId="166" formatCode="&quot;$&quot;#,##0.00"/>
    <numFmt numFmtId="167" formatCode="&quot;$&quot;#,##0.0"/>
    <numFmt numFmtId="168" formatCode="&quot;$&quot;#,##0"/>
    <numFmt numFmtId="169" formatCode="0.0000"/>
    <numFmt numFmtId="170" formatCode="#,##0.0"/>
    <numFmt numFmtId="171" formatCode="#,##0.0000"/>
    <numFmt numFmtId="172" formatCode="&quot;$&quot;#,##0.0_);\(&quot;$&quot;#,##0.0\)"/>
    <numFmt numFmtId="173" formatCode="0.000"/>
    <numFmt numFmtId="174" formatCode="&quot;$&quot;#,##0.000"/>
    <numFmt numFmtId="175" formatCode="#,##0.000"/>
  </numFmts>
  <fonts count="29" x14ac:knownFonts="1">
    <font>
      <sz val="10"/>
      <color theme="1"/>
      <name val="Times New Roman"/>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0"/>
      <color theme="1"/>
      <name val="Times New Roman"/>
      <family val="1"/>
    </font>
    <font>
      <sz val="12"/>
      <name val="Times New Roman"/>
      <family val="1"/>
    </font>
    <font>
      <sz val="10"/>
      <name val="Arial"/>
      <family val="2"/>
    </font>
    <font>
      <vertAlign val="subscript"/>
      <sz val="10"/>
      <color theme="1"/>
      <name val="Times New Roman"/>
      <family val="1"/>
    </font>
    <font>
      <u/>
      <sz val="10"/>
      <color theme="1"/>
      <name val="Times New Roman"/>
      <family val="1"/>
    </font>
    <font>
      <sz val="10"/>
      <color theme="1"/>
      <name val="Times New Roman"/>
      <family val="1"/>
    </font>
    <font>
      <b/>
      <sz val="10"/>
      <name val="Times New Roman"/>
      <family val="1"/>
    </font>
    <font>
      <sz val="10"/>
      <name val="Times New Roman"/>
      <family val="1"/>
    </font>
    <font>
      <b/>
      <sz val="11"/>
      <color theme="1"/>
      <name val="Times New Roman"/>
      <family val="1"/>
    </font>
    <font>
      <b/>
      <sz val="10"/>
      <color rgb="FFFF0000"/>
      <name val="Arial"/>
      <family val="2"/>
    </font>
    <font>
      <sz val="10"/>
      <color rgb="FFFF0000"/>
      <name val="Times New Roman"/>
      <family val="2"/>
    </font>
    <font>
      <b/>
      <sz val="10"/>
      <color rgb="FFFF0000"/>
      <name val="Times New Roman"/>
      <family val="1"/>
    </font>
    <font>
      <sz val="10"/>
      <color theme="1"/>
      <name val="Times New Roman"/>
      <family val="2"/>
    </font>
    <font>
      <i/>
      <sz val="10"/>
      <color theme="1"/>
      <name val="Times New Roman"/>
      <family val="1"/>
    </font>
    <font>
      <sz val="12"/>
      <name val="Arial"/>
      <family val="2"/>
    </font>
    <font>
      <b/>
      <sz val="12"/>
      <name val="Arial"/>
      <family val="2"/>
    </font>
    <font>
      <b/>
      <sz val="12"/>
      <color rgb="FFFF0000"/>
      <name val="Arial"/>
      <family val="2"/>
    </font>
    <font>
      <sz val="12"/>
      <color indexed="10"/>
      <name val="Arial"/>
      <family val="2"/>
    </font>
    <font>
      <sz val="12"/>
      <color rgb="FFFF0000"/>
      <name val="Arial"/>
      <family val="2"/>
    </font>
    <font>
      <vertAlign val="subscript"/>
      <sz val="10"/>
      <name val="Arial"/>
      <family val="2"/>
    </font>
    <font>
      <b/>
      <u/>
      <sz val="12"/>
      <name val="Arial"/>
      <family val="2"/>
    </font>
    <font>
      <vertAlign val="subscript"/>
      <sz val="12"/>
      <name val="Arial"/>
      <family val="2"/>
    </font>
    <font>
      <i/>
      <sz val="10"/>
      <color rgb="FFFF0000"/>
      <name val="Times New Roman"/>
      <family val="1"/>
    </font>
    <font>
      <b/>
      <i/>
      <sz val="12"/>
      <name val="Arial"/>
      <family val="2"/>
    </font>
  </fonts>
  <fills count="4">
    <fill>
      <patternFill patternType="none"/>
    </fill>
    <fill>
      <patternFill patternType="gray125"/>
    </fill>
    <fill>
      <patternFill patternType="solid">
        <fgColor theme="2"/>
        <bgColor indexed="64"/>
      </patternFill>
    </fill>
    <fill>
      <patternFill patternType="solid">
        <fgColor theme="0"/>
        <bgColor indexed="64"/>
      </patternFill>
    </fill>
  </fills>
  <borders count="44">
    <border>
      <left/>
      <right/>
      <top/>
      <bottom/>
      <diagonal/>
    </border>
    <border>
      <left/>
      <right/>
      <top/>
      <bottom style="thin">
        <color indexed="64"/>
      </bottom>
      <diagonal/>
    </border>
    <border>
      <left style="medium">
        <color auto="1"/>
      </left>
      <right/>
      <top style="medium">
        <color auto="1"/>
      </top>
      <bottom/>
      <diagonal/>
    </border>
    <border>
      <left style="thin">
        <color indexed="64"/>
      </left>
      <right/>
      <top style="medium">
        <color auto="1"/>
      </top>
      <bottom style="thin">
        <color indexed="64"/>
      </bottom>
      <diagonal/>
    </border>
    <border>
      <left/>
      <right/>
      <top style="medium">
        <color auto="1"/>
      </top>
      <bottom style="thin">
        <color indexed="64"/>
      </bottom>
      <diagonal/>
    </border>
    <border>
      <left/>
      <right style="medium">
        <color auto="1"/>
      </right>
      <top style="medium">
        <color auto="1"/>
      </top>
      <bottom style="thin">
        <color indexed="64"/>
      </bottom>
      <diagonal/>
    </border>
    <border>
      <left style="medium">
        <color auto="1"/>
      </left>
      <right/>
      <top/>
      <bottom style="medium">
        <color auto="1"/>
      </bottom>
      <diagonal/>
    </border>
    <border>
      <left style="thin">
        <color indexed="64"/>
      </left>
      <right style="thin">
        <color indexed="64"/>
      </right>
      <top style="thin">
        <color indexed="64"/>
      </top>
      <bottom style="medium">
        <color auto="1"/>
      </bottom>
      <diagonal/>
    </border>
    <border>
      <left style="thin">
        <color indexed="64"/>
      </left>
      <right style="medium">
        <color auto="1"/>
      </right>
      <top style="thin">
        <color indexed="64"/>
      </top>
      <bottom style="medium">
        <color auto="1"/>
      </bottom>
      <diagonal/>
    </border>
    <border>
      <left/>
      <right/>
      <top style="medium">
        <color auto="1"/>
      </top>
      <bottom/>
      <diagonal/>
    </border>
    <border>
      <left/>
      <right/>
      <top/>
      <bottom style="medium">
        <color auto="1"/>
      </bottom>
      <diagonal/>
    </border>
    <border>
      <left style="medium">
        <color auto="1"/>
      </left>
      <right/>
      <top/>
      <bottom/>
      <diagonal/>
    </border>
    <border>
      <left/>
      <right style="medium">
        <color auto="1"/>
      </right>
      <top/>
      <bottom/>
      <diagonal/>
    </border>
    <border>
      <left/>
      <right style="medium">
        <color auto="1"/>
      </right>
      <top/>
      <bottom style="medium">
        <color auto="1"/>
      </bottom>
      <diagonal/>
    </border>
    <border>
      <left style="thin">
        <color auto="1"/>
      </left>
      <right/>
      <top/>
      <bottom/>
      <diagonal/>
    </border>
    <border>
      <left style="thin">
        <color auto="1"/>
      </left>
      <right/>
      <top/>
      <bottom style="medium">
        <color auto="1"/>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thin">
        <color indexed="64"/>
      </right>
      <top/>
      <bottom/>
      <diagonal/>
    </border>
    <border>
      <left style="thin">
        <color indexed="64"/>
      </left>
      <right style="double">
        <color indexed="64"/>
      </right>
      <top/>
      <bottom/>
      <diagonal/>
    </border>
    <border>
      <left style="double">
        <color indexed="64"/>
      </left>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top style="double">
        <color indexed="64"/>
      </top>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style="thin">
        <color indexed="64"/>
      </right>
      <top style="double">
        <color indexed="64"/>
      </top>
      <bottom/>
      <diagonal/>
    </border>
    <border>
      <left style="double">
        <color indexed="64"/>
      </left>
      <right style="thin">
        <color indexed="64"/>
      </right>
      <top/>
      <bottom/>
      <diagonal/>
    </border>
    <border>
      <left style="double">
        <color indexed="64"/>
      </left>
      <right style="thin">
        <color indexed="64"/>
      </right>
      <top/>
      <bottom style="double">
        <color indexed="64"/>
      </bottom>
      <diagonal/>
    </border>
    <border>
      <left style="thin">
        <color indexed="64"/>
      </left>
      <right/>
      <top style="medium">
        <color auto="1"/>
      </top>
      <bottom/>
      <diagonal/>
    </border>
    <border>
      <left/>
      <right style="medium">
        <color auto="1"/>
      </right>
      <top style="medium">
        <color auto="1"/>
      </top>
      <bottom/>
      <diagonal/>
    </border>
  </borders>
  <cellStyleXfs count="12">
    <xf numFmtId="0" fontId="0" fillId="0" borderId="0"/>
    <xf numFmtId="0" fontId="6" fillId="0" borderId="0"/>
    <xf numFmtId="43" fontId="6" fillId="0" borderId="0" applyFont="0" applyFill="0" applyBorder="0" applyAlignment="0" applyProtection="0"/>
    <xf numFmtId="0" fontId="4" fillId="0" borderId="0"/>
    <xf numFmtId="0" fontId="7" fillId="0" borderId="0"/>
    <xf numFmtId="0" fontId="7" fillId="0" borderId="0" applyNumberFormat="0" applyFill="0" applyBorder="0" applyAlignment="0" applyProtection="0"/>
    <xf numFmtId="0" fontId="3" fillId="0" borderId="0"/>
    <xf numFmtId="0" fontId="2" fillId="0" borderId="0"/>
    <xf numFmtId="0" fontId="1" fillId="0" borderId="0"/>
    <xf numFmtId="43" fontId="17" fillId="0" borderId="0" applyFont="0" applyFill="0" applyBorder="0" applyAlignment="0" applyProtection="0"/>
    <xf numFmtId="0" fontId="7" fillId="0" borderId="0"/>
    <xf numFmtId="9" fontId="7" fillId="0" borderId="0" applyFont="0" applyFill="0" applyBorder="0" applyAlignment="0" applyProtection="0"/>
  </cellStyleXfs>
  <cellXfs count="328">
    <xf numFmtId="0" fontId="0" fillId="0" borderId="0" xfId="0"/>
    <xf numFmtId="0" fontId="5" fillId="0" borderId="0" xfId="0" applyFont="1" applyBorder="1" applyAlignment="1">
      <alignment horizontal="center"/>
    </xf>
    <xf numFmtId="0" fontId="5" fillId="0" borderId="10" xfId="0" applyFont="1" applyBorder="1" applyAlignment="1">
      <alignment horizontal="center"/>
    </xf>
    <xf numFmtId="0" fontId="5" fillId="0" borderId="6" xfId="0" applyFont="1" applyBorder="1" applyAlignment="1">
      <alignment horizontal="center"/>
    </xf>
    <xf numFmtId="0" fontId="5" fillId="0" borderId="11" xfId="0" applyFont="1" applyBorder="1" applyAlignment="1">
      <alignment horizontal="left"/>
    </xf>
    <xf numFmtId="0" fontId="9" fillId="0" borderId="11" xfId="0" applyFont="1" applyBorder="1" applyAlignment="1">
      <alignment horizontal="left"/>
    </xf>
    <xf numFmtId="0" fontId="5" fillId="0" borderId="11" xfId="0" applyFont="1" applyBorder="1"/>
    <xf numFmtId="0" fontId="10" fillId="0" borderId="14" xfId="0" applyFont="1" applyBorder="1" applyAlignment="1">
      <alignment horizontal="center"/>
    </xf>
    <xf numFmtId="0" fontId="10" fillId="0" borderId="0" xfId="0" applyFont="1" applyBorder="1" applyAlignment="1">
      <alignment horizontal="center"/>
    </xf>
    <xf numFmtId="0" fontId="10" fillId="0" borderId="12" xfId="0" applyFont="1" applyBorder="1" applyAlignment="1">
      <alignment horizontal="center"/>
    </xf>
    <xf numFmtId="0" fontId="10" fillId="0" borderId="0" xfId="0" applyFont="1"/>
    <xf numFmtId="0" fontId="10" fillId="0" borderId="2" xfId="0" applyFont="1" applyBorder="1"/>
    <xf numFmtId="0" fontId="10" fillId="0" borderId="9" xfId="0" applyFont="1" applyBorder="1"/>
    <xf numFmtId="0" fontId="11" fillId="0" borderId="7" xfId="4" applyFont="1" applyBorder="1" applyAlignment="1">
      <alignment horizontal="center" vertical="center" wrapText="1"/>
    </xf>
    <xf numFmtId="0" fontId="11" fillId="0" borderId="7" xfId="4" applyFont="1" applyFill="1" applyBorder="1" applyAlignment="1">
      <alignment horizontal="center" vertical="center" wrapText="1"/>
    </xf>
    <xf numFmtId="0" fontId="11" fillId="0" borderId="8" xfId="4" applyFont="1" applyBorder="1" applyAlignment="1">
      <alignment horizontal="center" vertical="center" wrapText="1"/>
    </xf>
    <xf numFmtId="0" fontId="11" fillId="0" borderId="14" xfId="4" applyFont="1" applyBorder="1" applyAlignment="1">
      <alignment horizontal="center" vertical="center" wrapText="1"/>
    </xf>
    <xf numFmtId="0" fontId="11" fillId="0" borderId="0" xfId="4" applyFont="1" applyBorder="1" applyAlignment="1">
      <alignment horizontal="center" vertical="center" wrapText="1"/>
    </xf>
    <xf numFmtId="0" fontId="11" fillId="0" borderId="0" xfId="4" applyFont="1" applyFill="1" applyBorder="1" applyAlignment="1">
      <alignment horizontal="center" vertical="center" wrapText="1"/>
    </xf>
    <xf numFmtId="0" fontId="11" fillId="0" borderId="12" xfId="4" applyFont="1" applyBorder="1" applyAlignment="1">
      <alignment horizontal="center" vertical="center" wrapText="1"/>
    </xf>
    <xf numFmtId="0" fontId="10" fillId="0" borderId="11" xfId="0" applyFont="1" applyBorder="1" applyAlignment="1">
      <alignment horizontal="left" vertical="center" indent="2"/>
    </xf>
    <xf numFmtId="3" fontId="10" fillId="0" borderId="14" xfId="0" applyNumberFormat="1" applyFont="1" applyBorder="1" applyAlignment="1">
      <alignment horizontal="center"/>
    </xf>
    <xf numFmtId="3" fontId="10" fillId="0" borderId="0" xfId="0" applyNumberFormat="1" applyFont="1" applyBorder="1" applyAlignment="1">
      <alignment horizontal="center"/>
    </xf>
    <xf numFmtId="3" fontId="10" fillId="0" borderId="12" xfId="0" applyNumberFormat="1" applyFont="1" applyBorder="1" applyAlignment="1">
      <alignment horizontal="center"/>
    </xf>
    <xf numFmtId="0" fontId="10" fillId="0" borderId="0" xfId="0" applyFont="1" applyBorder="1"/>
    <xf numFmtId="0" fontId="10" fillId="0" borderId="0" xfId="0" applyFont="1" applyBorder="1" applyAlignment="1">
      <alignment horizontal="center" wrapText="1"/>
    </xf>
    <xf numFmtId="165" fontId="10" fillId="0" borderId="14" xfId="0" applyNumberFormat="1" applyFont="1" applyBorder="1" applyAlignment="1">
      <alignment horizontal="center"/>
    </xf>
    <xf numFmtId="165" fontId="10" fillId="0" borderId="0" xfId="0" applyNumberFormat="1" applyFont="1" applyBorder="1" applyAlignment="1">
      <alignment horizontal="center"/>
    </xf>
    <xf numFmtId="165" fontId="10" fillId="0" borderId="12" xfId="0" applyNumberFormat="1" applyFont="1" applyBorder="1" applyAlignment="1">
      <alignment horizontal="center"/>
    </xf>
    <xf numFmtId="0" fontId="10" fillId="0" borderId="14" xfId="0" applyFont="1" applyBorder="1"/>
    <xf numFmtId="0" fontId="10" fillId="0" borderId="12" xfId="0" applyFont="1" applyBorder="1"/>
    <xf numFmtId="0" fontId="10" fillId="0" borderId="11" xfId="0" applyFont="1" applyBorder="1" applyAlignment="1">
      <alignment horizontal="left" vertical="center" wrapText="1" indent="2"/>
    </xf>
    <xf numFmtId="0" fontId="10" fillId="0" borderId="6" xfId="0" applyFont="1" applyBorder="1" applyAlignment="1">
      <alignment horizontal="left" vertical="center" indent="2"/>
    </xf>
    <xf numFmtId="0" fontId="10" fillId="0" borderId="10" xfId="0" applyFont="1" applyBorder="1" applyAlignment="1">
      <alignment horizontal="center"/>
    </xf>
    <xf numFmtId="0" fontId="10" fillId="0" borderId="14" xfId="0" applyFont="1" applyFill="1" applyBorder="1"/>
    <xf numFmtId="0" fontId="10" fillId="0" borderId="0" xfId="0" applyFont="1" applyFill="1" applyBorder="1"/>
    <xf numFmtId="0" fontId="10" fillId="0" borderId="12" xfId="0" applyFont="1" applyFill="1" applyBorder="1"/>
    <xf numFmtId="1" fontId="12" fillId="0" borderId="14" xfId="4" applyNumberFormat="1" applyFont="1" applyBorder="1" applyAlignment="1">
      <alignment horizontal="center" vertical="center" wrapText="1"/>
    </xf>
    <xf numFmtId="1" fontId="12" fillId="0" borderId="0" xfId="4" applyNumberFormat="1" applyFont="1" applyBorder="1" applyAlignment="1">
      <alignment horizontal="center" vertical="center" wrapText="1"/>
    </xf>
    <xf numFmtId="1" fontId="12" fillId="0" borderId="12" xfId="4" applyNumberFormat="1" applyFont="1" applyBorder="1" applyAlignment="1">
      <alignment horizontal="center" vertical="center" wrapText="1"/>
    </xf>
    <xf numFmtId="166" fontId="10" fillId="0" borderId="14" xfId="0" applyNumberFormat="1" applyFont="1" applyFill="1" applyBorder="1" applyAlignment="1">
      <alignment horizontal="center"/>
    </xf>
    <xf numFmtId="166" fontId="10" fillId="0" borderId="0" xfId="0" applyNumberFormat="1" applyFont="1" applyFill="1" applyBorder="1" applyAlignment="1">
      <alignment horizontal="center"/>
    </xf>
    <xf numFmtId="166" fontId="10" fillId="0" borderId="12" xfId="0" applyNumberFormat="1" applyFont="1" applyFill="1" applyBorder="1" applyAlignment="1">
      <alignment horizontal="center"/>
    </xf>
    <xf numFmtId="168" fontId="10" fillId="0" borderId="15" xfId="0" applyNumberFormat="1" applyFont="1" applyFill="1" applyBorder="1" applyAlignment="1">
      <alignment horizontal="center"/>
    </xf>
    <xf numFmtId="168" fontId="10" fillId="0" borderId="10" xfId="0" applyNumberFormat="1" applyFont="1" applyFill="1" applyBorder="1" applyAlignment="1">
      <alignment horizontal="center"/>
    </xf>
    <xf numFmtId="168" fontId="10" fillId="0" borderId="13" xfId="0" applyNumberFormat="1" applyFont="1" applyFill="1" applyBorder="1" applyAlignment="1">
      <alignment horizontal="center"/>
    </xf>
    <xf numFmtId="0" fontId="12" fillId="0" borderId="0" xfId="4" applyFont="1" applyBorder="1" applyAlignment="1">
      <alignment horizontal="center" vertical="center" wrapText="1"/>
    </xf>
    <xf numFmtId="0" fontId="12" fillId="0" borderId="1" xfId="4" applyFont="1" applyBorder="1" applyAlignment="1">
      <alignment horizontal="center" vertical="center" wrapText="1"/>
    </xf>
    <xf numFmtId="0" fontId="10" fillId="0" borderId="1" xfId="0" applyFont="1" applyBorder="1" applyAlignment="1">
      <alignment horizontal="center"/>
    </xf>
    <xf numFmtId="0" fontId="10" fillId="0" borderId="1" xfId="0" applyFont="1" applyBorder="1"/>
    <xf numFmtId="1" fontId="10" fillId="0" borderId="0" xfId="0" applyNumberFormat="1" applyFont="1"/>
    <xf numFmtId="3" fontId="10" fillId="0" borderId="0" xfId="0" applyNumberFormat="1" applyFont="1"/>
    <xf numFmtId="0" fontId="10" fillId="0" borderId="10" xfId="0" applyFont="1" applyBorder="1" applyAlignment="1">
      <alignment horizontal="center" wrapText="1"/>
    </xf>
    <xf numFmtId="0" fontId="12" fillId="0" borderId="14" xfId="0" applyFont="1" applyFill="1" applyBorder="1" applyAlignment="1">
      <alignment horizontal="center"/>
    </xf>
    <xf numFmtId="0" fontId="12" fillId="0" borderId="0" xfId="0" applyFont="1" applyFill="1" applyBorder="1" applyAlignment="1">
      <alignment horizontal="center"/>
    </xf>
    <xf numFmtId="0" fontId="12" fillId="0" borderId="12" xfId="0" applyFont="1" applyFill="1" applyBorder="1" applyAlignment="1">
      <alignment horizontal="center"/>
    </xf>
    <xf numFmtId="164" fontId="12" fillId="0" borderId="15" xfId="0" applyNumberFormat="1" applyFont="1" applyFill="1" applyBorder="1" applyAlignment="1">
      <alignment horizontal="center"/>
    </xf>
    <xf numFmtId="164" fontId="12" fillId="0" borderId="10" xfId="0" applyNumberFormat="1" applyFont="1" applyFill="1" applyBorder="1" applyAlignment="1">
      <alignment horizontal="center"/>
    </xf>
    <xf numFmtId="164" fontId="12" fillId="0" borderId="13" xfId="0" applyNumberFormat="1" applyFont="1" applyFill="1" applyBorder="1" applyAlignment="1">
      <alignment horizontal="center"/>
    </xf>
    <xf numFmtId="0" fontId="10" fillId="2" borderId="0" xfId="0" applyFont="1" applyFill="1"/>
    <xf numFmtId="0" fontId="18" fillId="2" borderId="0" xfId="0" applyFont="1" applyFill="1"/>
    <xf numFmtId="2" fontId="19" fillId="0" borderId="0" xfId="10" applyNumberFormat="1" applyFont="1" applyFill="1" applyAlignment="1" applyProtection="1">
      <alignment vertical="top"/>
      <protection locked="0"/>
    </xf>
    <xf numFmtId="2" fontId="20" fillId="0" borderId="0" xfId="10" applyNumberFormat="1" applyFont="1" applyFill="1" applyAlignment="1" applyProtection="1">
      <alignment horizontal="centerContinuous" vertical="top"/>
      <protection locked="0"/>
    </xf>
    <xf numFmtId="2" fontId="19" fillId="0" borderId="0" xfId="10" applyNumberFormat="1" applyFont="1" applyFill="1" applyAlignment="1" applyProtection="1">
      <alignment horizontal="centerContinuous" vertical="top"/>
      <protection locked="0"/>
    </xf>
    <xf numFmtId="169" fontId="19" fillId="0" borderId="0" xfId="10" applyNumberFormat="1" applyFont="1" applyFill="1" applyAlignment="1" applyProtection="1">
      <alignment horizontal="centerContinuous" vertical="top"/>
      <protection locked="0"/>
    </xf>
    <xf numFmtId="2" fontId="20" fillId="0" borderId="24" xfId="10" applyNumberFormat="1" applyFont="1" applyFill="1" applyBorder="1" applyAlignment="1" applyProtection="1">
      <alignment vertical="center"/>
      <protection locked="0"/>
    </xf>
    <xf numFmtId="2" fontId="20" fillId="0" borderId="25" xfId="10" quotePrefix="1" applyNumberFormat="1" applyFont="1" applyFill="1" applyBorder="1" applyAlignment="1" applyProtection="1">
      <alignment horizontal="center" vertical="center" wrapText="1"/>
      <protection locked="0"/>
    </xf>
    <xf numFmtId="2" fontId="20" fillId="0" borderId="26" xfId="10" quotePrefix="1" applyNumberFormat="1" applyFont="1" applyFill="1" applyBorder="1" applyAlignment="1" applyProtection="1">
      <alignment horizontal="center" vertical="center" wrapText="1"/>
      <protection locked="0"/>
    </xf>
    <xf numFmtId="2" fontId="20" fillId="0" borderId="24" xfId="10" applyNumberFormat="1" applyFont="1" applyFill="1" applyBorder="1" applyAlignment="1" applyProtection="1">
      <alignment horizontal="left" vertical="top"/>
      <protection locked="0"/>
    </xf>
    <xf numFmtId="2" fontId="19" fillId="0" borderId="27" xfId="10" applyNumberFormat="1" applyFont="1" applyFill="1" applyBorder="1" applyAlignment="1" applyProtection="1">
      <alignment horizontal="center" vertical="center" wrapText="1"/>
      <protection locked="0"/>
    </xf>
    <xf numFmtId="2" fontId="19" fillId="0" borderId="28" xfId="10" applyNumberFormat="1" applyFont="1" applyFill="1" applyBorder="1" applyAlignment="1" applyProtection="1">
      <alignment horizontal="center" vertical="center" wrapText="1"/>
      <protection locked="0"/>
    </xf>
    <xf numFmtId="2" fontId="19" fillId="0" borderId="29" xfId="10" applyNumberFormat="1" applyFont="1" applyFill="1" applyBorder="1" applyAlignment="1" applyProtection="1">
      <alignment horizontal="center" vertical="center" wrapText="1"/>
      <protection locked="0"/>
    </xf>
    <xf numFmtId="2" fontId="19" fillId="0" borderId="16" xfId="0" applyNumberFormat="1" applyFont="1" applyFill="1" applyBorder="1" applyAlignment="1" applyProtection="1">
      <alignment vertical="center"/>
      <protection locked="0"/>
    </xf>
    <xf numFmtId="1" fontId="19" fillId="0" borderId="30" xfId="10" applyNumberFormat="1" applyFont="1" applyFill="1" applyBorder="1" applyAlignment="1" applyProtection="1">
      <alignment horizontal="center" vertical="center"/>
      <protection locked="0"/>
    </xf>
    <xf numFmtId="1" fontId="19" fillId="0" borderId="31" xfId="10" applyNumberFormat="1" applyFont="1" applyFill="1" applyBorder="1" applyAlignment="1" applyProtection="1">
      <alignment horizontal="center" vertical="center"/>
      <protection locked="0"/>
    </xf>
    <xf numFmtId="2" fontId="19" fillId="0" borderId="19" xfId="0" applyNumberFormat="1" applyFont="1" applyFill="1" applyBorder="1" applyAlignment="1" applyProtection="1">
      <alignment vertical="center"/>
      <protection locked="0"/>
    </xf>
    <xf numFmtId="1" fontId="19" fillId="0" borderId="32" xfId="10" applyNumberFormat="1" applyFont="1" applyFill="1" applyBorder="1" applyAlignment="1" applyProtection="1">
      <alignment horizontal="center" vertical="center"/>
      <protection locked="0"/>
    </xf>
    <xf numFmtId="1" fontId="19" fillId="0" borderId="33" xfId="10" applyNumberFormat="1" applyFont="1" applyFill="1" applyBorder="1" applyAlignment="1" applyProtection="1">
      <alignment horizontal="center" vertical="center"/>
      <protection locked="0"/>
    </xf>
    <xf numFmtId="2" fontId="19" fillId="0" borderId="19" xfId="0" quotePrefix="1" applyNumberFormat="1" applyFont="1" applyFill="1" applyBorder="1" applyAlignment="1" applyProtection="1">
      <alignment horizontal="left" vertical="center"/>
      <protection locked="0"/>
    </xf>
    <xf numFmtId="1" fontId="19" fillId="0" borderId="32" xfId="10" applyNumberFormat="1" applyFont="1" applyFill="1" applyBorder="1" applyAlignment="1" applyProtection="1">
      <alignment horizontal="center" vertical="center" wrapText="1"/>
      <protection locked="0"/>
    </xf>
    <xf numFmtId="1" fontId="19" fillId="0" borderId="33" xfId="10" applyNumberFormat="1" applyFont="1" applyFill="1" applyBorder="1" applyAlignment="1" applyProtection="1">
      <alignment horizontal="center" vertical="center" wrapText="1"/>
      <protection locked="0"/>
    </xf>
    <xf numFmtId="3" fontId="19" fillId="0" borderId="32" xfId="10" applyNumberFormat="1" applyFont="1" applyFill="1" applyBorder="1" applyAlignment="1" applyProtection="1">
      <alignment horizontal="center" vertical="center" wrapText="1"/>
      <protection locked="0"/>
    </xf>
    <xf numFmtId="3" fontId="19" fillId="0" borderId="33" xfId="10" applyNumberFormat="1" applyFont="1" applyFill="1" applyBorder="1" applyAlignment="1" applyProtection="1">
      <alignment horizontal="center" vertical="center" wrapText="1"/>
      <protection locked="0"/>
    </xf>
    <xf numFmtId="164" fontId="19" fillId="0" borderId="32" xfId="10" applyNumberFormat="1" applyFont="1" applyFill="1" applyBorder="1" applyAlignment="1" applyProtection="1">
      <alignment horizontal="center" vertical="center"/>
      <protection locked="0"/>
    </xf>
    <xf numFmtId="164" fontId="19" fillId="0" borderId="33" xfId="10" applyNumberFormat="1" applyFont="1" applyFill="1" applyBorder="1" applyAlignment="1" applyProtection="1">
      <alignment horizontal="center" vertical="center"/>
      <protection locked="0"/>
    </xf>
    <xf numFmtId="2" fontId="19" fillId="0" borderId="19" xfId="0" applyNumberFormat="1" applyFont="1" applyFill="1" applyBorder="1" applyAlignment="1" applyProtection="1">
      <alignment horizontal="left" vertical="center"/>
      <protection locked="0"/>
    </xf>
    <xf numFmtId="0" fontId="19" fillId="0" borderId="32" xfId="10" applyFont="1" applyFill="1" applyBorder="1" applyAlignment="1" applyProtection="1">
      <alignment horizontal="center" vertical="center"/>
      <protection locked="0"/>
    </xf>
    <xf numFmtId="0" fontId="19" fillId="0" borderId="33" xfId="10" applyFont="1" applyFill="1" applyBorder="1" applyAlignment="1" applyProtection="1">
      <alignment horizontal="center" vertical="center"/>
      <protection locked="0"/>
    </xf>
    <xf numFmtId="2" fontId="19" fillId="0" borderId="32" xfId="10" quotePrefix="1" applyNumberFormat="1" applyFont="1" applyFill="1" applyBorder="1" applyAlignment="1" applyProtection="1">
      <alignment horizontal="center" vertical="center" wrapText="1"/>
      <protection locked="0"/>
    </xf>
    <xf numFmtId="2" fontId="19" fillId="0" borderId="33" xfId="10" quotePrefix="1" applyNumberFormat="1" applyFont="1" applyFill="1" applyBorder="1" applyAlignment="1" applyProtection="1">
      <alignment horizontal="center" vertical="center" wrapText="1"/>
      <protection locked="0"/>
    </xf>
    <xf numFmtId="2" fontId="19" fillId="0" borderId="32" xfId="10" applyNumberFormat="1" applyFont="1" applyFill="1" applyBorder="1" applyAlignment="1" applyProtection="1">
      <alignment horizontal="center" vertical="center" wrapText="1"/>
      <protection locked="0"/>
    </xf>
    <xf numFmtId="2" fontId="19" fillId="0" borderId="33" xfId="10" applyNumberFormat="1" applyFont="1" applyFill="1" applyBorder="1" applyAlignment="1" applyProtection="1">
      <alignment horizontal="center" vertical="center" wrapText="1"/>
      <protection locked="0"/>
    </xf>
    <xf numFmtId="0" fontId="19" fillId="0" borderId="32" xfId="10" applyNumberFormat="1" applyFont="1" applyFill="1" applyBorder="1" applyAlignment="1" applyProtection="1">
      <alignment horizontal="center" vertical="center" wrapText="1"/>
      <protection locked="0"/>
    </xf>
    <xf numFmtId="0" fontId="19" fillId="0" borderId="33" xfId="10" applyNumberFormat="1" applyFont="1" applyFill="1" applyBorder="1" applyAlignment="1" applyProtection="1">
      <alignment horizontal="center" vertical="center" wrapText="1"/>
      <protection locked="0"/>
    </xf>
    <xf numFmtId="2" fontId="19" fillId="0" borderId="19" xfId="10" applyNumberFormat="1" applyFont="1" applyFill="1" applyBorder="1" applyAlignment="1" applyProtection="1">
      <alignment vertical="center"/>
      <protection locked="0"/>
    </xf>
    <xf numFmtId="2" fontId="20" fillId="0" borderId="34" xfId="10" applyNumberFormat="1" applyFont="1" applyFill="1" applyBorder="1" applyAlignment="1" applyProtection="1">
      <alignment horizontal="left" vertical="center"/>
      <protection locked="0"/>
    </xf>
    <xf numFmtId="2" fontId="19" fillId="0" borderId="19" xfId="10" quotePrefix="1" applyNumberFormat="1" applyFont="1" applyFill="1" applyBorder="1" applyAlignment="1" applyProtection="1">
      <alignment horizontal="left" vertical="center"/>
      <protection locked="0"/>
    </xf>
    <xf numFmtId="3" fontId="19" fillId="0" borderId="30" xfId="10" applyNumberFormat="1" applyFont="1" applyFill="1" applyBorder="1" applyAlignment="1" applyProtection="1">
      <alignment horizontal="center" vertical="center"/>
      <protection locked="0"/>
    </xf>
    <xf numFmtId="3" fontId="19" fillId="0" borderId="31" xfId="10" applyNumberFormat="1" applyFont="1" applyFill="1" applyBorder="1" applyAlignment="1" applyProtection="1">
      <alignment horizontal="center" vertical="center"/>
      <protection locked="0"/>
    </xf>
    <xf numFmtId="3" fontId="19" fillId="0" borderId="32" xfId="10" applyNumberFormat="1" applyFont="1" applyFill="1" applyBorder="1" applyAlignment="1" applyProtection="1">
      <alignment horizontal="center" vertical="center"/>
      <protection locked="0"/>
    </xf>
    <xf numFmtId="3" fontId="19" fillId="0" borderId="33" xfId="10" applyNumberFormat="1" applyFont="1" applyFill="1" applyBorder="1" applyAlignment="1" applyProtection="1">
      <alignment horizontal="center" vertical="center"/>
      <protection locked="0"/>
    </xf>
    <xf numFmtId="2" fontId="19" fillId="0" borderId="19" xfId="0" quotePrefix="1" applyNumberFormat="1" applyFont="1" applyFill="1" applyBorder="1" applyAlignment="1" applyProtection="1">
      <alignment horizontal="left" vertical="center" indent="1"/>
      <protection locked="0"/>
    </xf>
    <xf numFmtId="170" fontId="19" fillId="0" borderId="32" xfId="10" applyNumberFormat="1" applyFont="1" applyFill="1" applyBorder="1" applyAlignment="1" applyProtection="1">
      <alignment horizontal="center" vertical="center"/>
      <protection locked="0"/>
    </xf>
    <xf numFmtId="170" fontId="19" fillId="0" borderId="33" xfId="10" applyNumberFormat="1" applyFont="1" applyFill="1" applyBorder="1" applyAlignment="1" applyProtection="1">
      <alignment horizontal="center" vertical="center"/>
      <protection locked="0"/>
    </xf>
    <xf numFmtId="9" fontId="19" fillId="0" borderId="32" xfId="11" applyFont="1" applyFill="1" applyBorder="1" applyAlignment="1" applyProtection="1">
      <alignment horizontal="center" vertical="center"/>
      <protection locked="0"/>
    </xf>
    <xf numFmtId="9" fontId="19" fillId="0" borderId="33" xfId="11" applyFont="1" applyFill="1" applyBorder="1" applyAlignment="1" applyProtection="1">
      <alignment horizontal="center" vertical="center"/>
      <protection locked="0"/>
    </xf>
    <xf numFmtId="171" fontId="19" fillId="0" borderId="33" xfId="10" applyNumberFormat="1" applyFont="1" applyFill="1" applyBorder="1" applyAlignment="1" applyProtection="1">
      <alignment horizontal="center" vertical="center"/>
      <protection locked="0"/>
    </xf>
    <xf numFmtId="2" fontId="20" fillId="0" borderId="19" xfId="0" applyNumberFormat="1" applyFont="1" applyFill="1" applyBorder="1" applyAlignment="1" applyProtection="1">
      <alignment horizontal="left" vertical="center"/>
      <protection locked="0"/>
    </xf>
    <xf numFmtId="3" fontId="19" fillId="0" borderId="32" xfId="0" applyNumberFormat="1" applyFont="1" applyFill="1" applyBorder="1" applyAlignment="1" applyProtection="1">
      <alignment horizontal="center" vertical="center"/>
      <protection locked="0"/>
    </xf>
    <xf numFmtId="3" fontId="19" fillId="0" borderId="33" xfId="0" applyNumberFormat="1" applyFont="1" applyFill="1" applyBorder="1" applyAlignment="1" applyProtection="1">
      <alignment horizontal="center" vertical="center"/>
      <protection locked="0"/>
    </xf>
    <xf numFmtId="2" fontId="19" fillId="0" borderId="21" xfId="10" quotePrefix="1" applyNumberFormat="1" applyFont="1" applyFill="1" applyBorder="1" applyAlignment="1" applyProtection="1">
      <alignment horizontal="left" vertical="center"/>
      <protection locked="0"/>
    </xf>
    <xf numFmtId="3" fontId="19" fillId="0" borderId="28" xfId="10" applyNumberFormat="1" applyFont="1" applyFill="1" applyBorder="1" applyAlignment="1" applyProtection="1">
      <alignment horizontal="center" vertical="center"/>
      <protection locked="0"/>
    </xf>
    <xf numFmtId="3" fontId="19" fillId="0" borderId="29" xfId="10" applyNumberFormat="1" applyFont="1" applyFill="1" applyBorder="1" applyAlignment="1" applyProtection="1">
      <alignment horizontal="center" vertical="center"/>
      <protection locked="0"/>
    </xf>
    <xf numFmtId="2" fontId="20" fillId="0" borderId="21" xfId="10" applyNumberFormat="1" applyFont="1" applyFill="1" applyBorder="1" applyAlignment="1" applyProtection="1">
      <alignment horizontal="left" vertical="center"/>
      <protection locked="0"/>
    </xf>
    <xf numFmtId="2" fontId="22" fillId="0" borderId="28" xfId="10" applyNumberFormat="1" applyFont="1" applyFill="1" applyBorder="1" applyAlignment="1" applyProtection="1">
      <alignment horizontal="center" vertical="center"/>
      <protection locked="0"/>
    </xf>
    <xf numFmtId="2" fontId="22" fillId="0" borderId="29" xfId="10" applyNumberFormat="1" applyFont="1" applyFill="1" applyBorder="1" applyAlignment="1" applyProtection="1">
      <alignment horizontal="center" vertical="center"/>
      <protection locked="0"/>
    </xf>
    <xf numFmtId="164" fontId="23" fillId="0" borderId="30" xfId="11" applyNumberFormat="1" applyFont="1" applyFill="1" applyBorder="1" applyAlignment="1" applyProtection="1">
      <alignment horizontal="center" vertical="center"/>
      <protection locked="0"/>
    </xf>
    <xf numFmtId="164" fontId="23" fillId="0" borderId="31" xfId="11" applyNumberFormat="1" applyFont="1" applyFill="1" applyBorder="1" applyAlignment="1" applyProtection="1">
      <alignment horizontal="center" vertical="center"/>
      <protection locked="0"/>
    </xf>
    <xf numFmtId="2" fontId="20" fillId="0" borderId="0" xfId="10" applyNumberFormat="1" applyFont="1" applyFill="1" applyAlignment="1" applyProtection="1">
      <alignment vertical="top"/>
      <protection locked="0"/>
    </xf>
    <xf numFmtId="2" fontId="20" fillId="0" borderId="19" xfId="0" quotePrefix="1" applyNumberFormat="1" applyFont="1" applyFill="1" applyBorder="1" applyAlignment="1" applyProtection="1">
      <alignment horizontal="left" vertical="center"/>
      <protection locked="0"/>
    </xf>
    <xf numFmtId="168" fontId="20" fillId="0" borderId="32" xfId="10" applyNumberFormat="1" applyFont="1" applyFill="1" applyBorder="1" applyAlignment="1" applyProtection="1">
      <alignment horizontal="center" vertical="center"/>
      <protection locked="0"/>
    </xf>
    <xf numFmtId="168" fontId="20" fillId="0" borderId="33" xfId="10" applyNumberFormat="1" applyFont="1" applyFill="1" applyBorder="1" applyAlignment="1" applyProtection="1">
      <alignment horizontal="center" vertical="center"/>
      <protection locked="0"/>
    </xf>
    <xf numFmtId="2" fontId="19" fillId="0" borderId="19" xfId="0" quotePrefix="1" applyNumberFormat="1" applyFont="1" applyFill="1" applyBorder="1" applyAlignment="1" applyProtection="1">
      <alignment horizontal="left" vertical="center" indent="2"/>
      <protection locked="0"/>
    </xf>
    <xf numFmtId="168" fontId="19" fillId="0" borderId="32" xfId="10" applyNumberFormat="1" applyFont="1" applyFill="1" applyBorder="1" applyAlignment="1" applyProtection="1">
      <alignment horizontal="center" vertical="center"/>
      <protection locked="0"/>
    </xf>
    <xf numFmtId="168" fontId="19" fillId="0" borderId="33" xfId="10" applyNumberFormat="1" applyFont="1" applyFill="1" applyBorder="1" applyAlignment="1" applyProtection="1">
      <alignment horizontal="center" vertical="center"/>
      <protection locked="0"/>
    </xf>
    <xf numFmtId="2" fontId="19" fillId="0" borderId="19" xfId="0" applyNumberFormat="1" applyFont="1" applyFill="1" applyBorder="1" applyAlignment="1" applyProtection="1">
      <alignment horizontal="left" vertical="center" indent="2"/>
      <protection locked="0"/>
    </xf>
    <xf numFmtId="167" fontId="19" fillId="0" borderId="32" xfId="10" applyNumberFormat="1" applyFont="1" applyFill="1" applyBorder="1" applyAlignment="1" applyProtection="1">
      <alignment horizontal="center" vertical="center"/>
      <protection locked="0"/>
    </xf>
    <xf numFmtId="167" fontId="19" fillId="0" borderId="33" xfId="10" applyNumberFormat="1" applyFont="1" applyFill="1" applyBorder="1" applyAlignment="1" applyProtection="1">
      <alignment horizontal="center" vertical="center"/>
      <protection locked="0"/>
    </xf>
    <xf numFmtId="167" fontId="19" fillId="0" borderId="32" xfId="10" applyNumberFormat="1" applyFont="1" applyFill="1" applyBorder="1" applyAlignment="1" applyProtection="1">
      <alignment horizontal="center" vertical="center" wrapText="1"/>
      <protection locked="0"/>
    </xf>
    <xf numFmtId="167" fontId="19" fillId="0" borderId="33" xfId="10" applyNumberFormat="1" applyFont="1" applyFill="1" applyBorder="1" applyAlignment="1" applyProtection="1">
      <alignment horizontal="center" vertical="center" wrapText="1"/>
      <protection locked="0"/>
    </xf>
    <xf numFmtId="168" fontId="20" fillId="0" borderId="0" xfId="10" applyNumberFormat="1" applyFont="1" applyFill="1" applyAlignment="1" applyProtection="1">
      <alignment vertical="top"/>
      <protection locked="0"/>
    </xf>
    <xf numFmtId="168" fontId="20" fillId="0" borderId="19" xfId="0" applyNumberFormat="1" applyFont="1" applyFill="1" applyBorder="1" applyAlignment="1" applyProtection="1">
      <alignment horizontal="left" vertical="center"/>
      <protection locked="0"/>
    </xf>
    <xf numFmtId="168" fontId="20" fillId="0" borderId="32" xfId="10" applyNumberFormat="1" applyFont="1" applyFill="1" applyBorder="1" applyAlignment="1" applyProtection="1">
      <alignment horizontal="center" vertical="center" wrapText="1"/>
      <protection locked="0"/>
    </xf>
    <xf numFmtId="168" fontId="20" fillId="0" borderId="33" xfId="10" applyNumberFormat="1" applyFont="1" applyFill="1" applyBorder="1" applyAlignment="1" applyProtection="1">
      <alignment horizontal="center" vertical="center" wrapText="1"/>
      <protection locked="0"/>
    </xf>
    <xf numFmtId="164" fontId="23" fillId="0" borderId="32" xfId="11" applyNumberFormat="1" applyFont="1" applyFill="1" applyBorder="1" applyAlignment="1" applyProtection="1">
      <alignment horizontal="center" vertical="center"/>
      <protection locked="0"/>
    </xf>
    <xf numFmtId="164" fontId="23" fillId="0" borderId="33" xfId="11" applyNumberFormat="1" applyFont="1" applyFill="1" applyBorder="1" applyAlignment="1" applyProtection="1">
      <alignment horizontal="center" vertical="center"/>
      <protection locked="0"/>
    </xf>
    <xf numFmtId="167" fontId="23" fillId="0" borderId="32" xfId="10" applyNumberFormat="1" applyFont="1" applyFill="1" applyBorder="1" applyAlignment="1" applyProtection="1">
      <alignment horizontal="center" vertical="center" wrapText="1"/>
      <protection locked="0"/>
    </xf>
    <xf numFmtId="167" fontId="23" fillId="0" borderId="33" xfId="10" applyNumberFormat="1" applyFont="1" applyFill="1" applyBorder="1" applyAlignment="1" applyProtection="1">
      <alignment horizontal="center" vertical="center" wrapText="1"/>
      <protection locked="0"/>
    </xf>
    <xf numFmtId="166" fontId="19" fillId="0" borderId="32" xfId="10" applyNumberFormat="1" applyFont="1" applyFill="1" applyBorder="1" applyAlignment="1" applyProtection="1">
      <alignment horizontal="center" vertical="center"/>
      <protection locked="0"/>
    </xf>
    <xf numFmtId="166" fontId="19" fillId="0" borderId="33" xfId="10" applyNumberFormat="1" applyFont="1" applyFill="1" applyBorder="1" applyAlignment="1" applyProtection="1">
      <alignment horizontal="center" vertical="center"/>
      <protection locked="0"/>
    </xf>
    <xf numFmtId="2" fontId="20" fillId="0" borderId="19" xfId="10" applyNumberFormat="1" applyFont="1" applyFill="1" applyBorder="1" applyAlignment="1" applyProtection="1">
      <alignment horizontal="left" vertical="center"/>
      <protection locked="0"/>
    </xf>
    <xf numFmtId="2" fontId="19" fillId="0" borderId="19" xfId="10" applyNumberFormat="1" applyFont="1" applyFill="1" applyBorder="1" applyAlignment="1" applyProtection="1">
      <alignment horizontal="left" vertical="center"/>
      <protection locked="0"/>
    </xf>
    <xf numFmtId="166" fontId="19" fillId="0" borderId="32" xfId="0" applyNumberFormat="1" applyFont="1" applyFill="1" applyBorder="1" applyAlignment="1" applyProtection="1">
      <alignment horizontal="center" vertical="center"/>
      <protection locked="0"/>
    </xf>
    <xf numFmtId="166" fontId="19" fillId="0" borderId="33" xfId="0" applyNumberFormat="1" applyFont="1" applyFill="1" applyBorder="1" applyAlignment="1" applyProtection="1">
      <alignment horizontal="center" vertical="center"/>
      <protection locked="0"/>
    </xf>
    <xf numFmtId="2" fontId="19" fillId="0" borderId="19" xfId="10" quotePrefix="1" applyNumberFormat="1" applyFont="1" applyFill="1" applyBorder="1" applyAlignment="1" applyProtection="1">
      <alignment horizontal="left" vertical="center" indent="2"/>
      <protection locked="0"/>
    </xf>
    <xf numFmtId="7" fontId="19" fillId="0" borderId="32" xfId="10" applyNumberFormat="1" applyFont="1" applyFill="1" applyBorder="1" applyAlignment="1" applyProtection="1">
      <alignment horizontal="center" vertical="center"/>
      <protection locked="0"/>
    </xf>
    <xf numFmtId="7" fontId="19" fillId="0" borderId="33" xfId="10" applyNumberFormat="1" applyFont="1" applyFill="1" applyBorder="1" applyAlignment="1" applyProtection="1">
      <alignment horizontal="center" vertical="center"/>
      <protection locked="0"/>
    </xf>
    <xf numFmtId="2" fontId="20" fillId="0" borderId="19" xfId="10" applyNumberFormat="1" applyFont="1" applyFill="1" applyBorder="1" applyAlignment="1" applyProtection="1">
      <alignment horizontal="left" vertical="top"/>
      <protection locked="0"/>
    </xf>
    <xf numFmtId="172" fontId="19" fillId="0" borderId="32" xfId="10" applyNumberFormat="1" applyFont="1" applyFill="1" applyBorder="1" applyAlignment="1" applyProtection="1">
      <alignment horizontal="center" vertical="center"/>
      <protection locked="0"/>
    </xf>
    <xf numFmtId="172" fontId="19" fillId="0" borderId="33" xfId="10" applyNumberFormat="1" applyFont="1" applyFill="1" applyBorder="1" applyAlignment="1" applyProtection="1">
      <alignment horizontal="center" vertical="center"/>
      <protection locked="0"/>
    </xf>
    <xf numFmtId="2" fontId="19" fillId="0" borderId="19" xfId="10" applyNumberFormat="1" applyFont="1" applyFill="1" applyBorder="1" applyAlignment="1" applyProtection="1">
      <alignment horizontal="left" vertical="top"/>
      <protection locked="0"/>
    </xf>
    <xf numFmtId="166" fontId="19" fillId="0" borderId="28" xfId="10" applyNumberFormat="1" applyFont="1" applyFill="1" applyBorder="1" applyAlignment="1" applyProtection="1">
      <alignment horizontal="center" vertical="center"/>
      <protection locked="0"/>
    </xf>
    <xf numFmtId="166" fontId="19" fillId="0" borderId="29" xfId="10" applyNumberFormat="1" applyFont="1" applyFill="1" applyBorder="1" applyAlignment="1" applyProtection="1">
      <alignment horizontal="center" vertical="center"/>
      <protection locked="0"/>
    </xf>
    <xf numFmtId="3" fontId="23" fillId="0" borderId="25" xfId="10" applyNumberFormat="1" applyFont="1" applyFill="1" applyBorder="1" applyAlignment="1" applyProtection="1">
      <alignment horizontal="center" vertical="center"/>
      <protection locked="0"/>
    </xf>
    <xf numFmtId="3" fontId="23" fillId="0" borderId="26" xfId="10" applyNumberFormat="1" applyFont="1" applyFill="1" applyBorder="1" applyAlignment="1" applyProtection="1">
      <alignment horizontal="center" vertical="center"/>
      <protection locked="0"/>
    </xf>
    <xf numFmtId="173" fontId="19" fillId="0" borderId="32" xfId="10" applyNumberFormat="1" applyFont="1" applyFill="1" applyBorder="1" applyAlignment="1" applyProtection="1">
      <alignment horizontal="center" vertical="top" wrapText="1"/>
      <protection locked="0"/>
    </xf>
    <xf numFmtId="173" fontId="19" fillId="0" borderId="33" xfId="10" applyNumberFormat="1" applyFont="1" applyFill="1" applyBorder="1" applyAlignment="1" applyProtection="1">
      <alignment horizontal="center" vertical="top" wrapText="1"/>
      <protection locked="0"/>
    </xf>
    <xf numFmtId="2" fontId="19" fillId="0" borderId="19" xfId="10" applyNumberFormat="1" applyFont="1" applyFill="1" applyBorder="1" applyAlignment="1" applyProtection="1">
      <alignment horizontal="left" vertical="center" indent="2"/>
      <protection locked="0"/>
    </xf>
    <xf numFmtId="3" fontId="19" fillId="0" borderId="32" xfId="10" applyNumberFormat="1" applyFont="1" applyFill="1" applyBorder="1" applyAlignment="1" applyProtection="1">
      <alignment horizontal="center" vertical="top" wrapText="1"/>
      <protection locked="0"/>
    </xf>
    <xf numFmtId="3" fontId="19" fillId="0" borderId="33" xfId="10" applyNumberFormat="1" applyFont="1" applyFill="1" applyBorder="1" applyAlignment="1" applyProtection="1">
      <alignment horizontal="center" vertical="top" wrapText="1"/>
      <protection locked="0"/>
    </xf>
    <xf numFmtId="170" fontId="19" fillId="0" borderId="32" xfId="10" applyNumberFormat="1" applyFont="1" applyFill="1" applyBorder="1" applyAlignment="1" applyProtection="1">
      <alignment horizontal="center" vertical="top" wrapText="1"/>
      <protection locked="0"/>
    </xf>
    <xf numFmtId="170" fontId="19" fillId="0" borderId="33" xfId="10" applyNumberFormat="1" applyFont="1" applyFill="1" applyBorder="1" applyAlignment="1" applyProtection="1">
      <alignment horizontal="center" vertical="top" wrapText="1"/>
      <protection locked="0"/>
    </xf>
    <xf numFmtId="0" fontId="19" fillId="0" borderId="32" xfId="10" quotePrefix="1" applyFont="1" applyFill="1" applyBorder="1" applyAlignment="1" applyProtection="1">
      <alignment horizontal="center" vertical="top"/>
      <protection locked="0"/>
    </xf>
    <xf numFmtId="0" fontId="19" fillId="0" borderId="33" xfId="10" quotePrefix="1" applyFont="1" applyFill="1" applyBorder="1" applyAlignment="1" applyProtection="1">
      <alignment horizontal="center" vertical="top"/>
      <protection locked="0"/>
    </xf>
    <xf numFmtId="173" fontId="19" fillId="0" borderId="32" xfId="10" quotePrefix="1" applyNumberFormat="1" applyFont="1" applyFill="1" applyBorder="1" applyAlignment="1" applyProtection="1">
      <alignment horizontal="center" vertical="top"/>
      <protection locked="0"/>
    </xf>
    <xf numFmtId="173" fontId="19" fillId="0" borderId="33" xfId="10" quotePrefix="1" applyNumberFormat="1" applyFont="1" applyFill="1" applyBorder="1" applyAlignment="1" applyProtection="1">
      <alignment horizontal="center" vertical="top"/>
      <protection locked="0"/>
    </xf>
    <xf numFmtId="2" fontId="22" fillId="0" borderId="25" xfId="10" applyNumberFormat="1" applyFont="1" applyFill="1" applyBorder="1" applyAlignment="1" applyProtection="1">
      <alignment horizontal="center" vertical="center"/>
      <protection locked="0"/>
    </xf>
    <xf numFmtId="2" fontId="22" fillId="0" borderId="26" xfId="10" applyNumberFormat="1" applyFont="1" applyFill="1" applyBorder="1" applyAlignment="1" applyProtection="1">
      <alignment horizontal="center" vertical="center"/>
      <protection locked="0"/>
    </xf>
    <xf numFmtId="173" fontId="19" fillId="0" borderId="30" xfId="10" applyNumberFormat="1" applyFont="1" applyFill="1" applyBorder="1" applyAlignment="1" applyProtection="1">
      <alignment horizontal="center" vertical="center" wrapText="1"/>
      <protection locked="0"/>
    </xf>
    <xf numFmtId="173" fontId="19" fillId="0" borderId="31" xfId="10" applyNumberFormat="1" applyFont="1" applyFill="1" applyBorder="1" applyAlignment="1" applyProtection="1">
      <alignment horizontal="center" vertical="center" wrapText="1"/>
      <protection locked="0"/>
    </xf>
    <xf numFmtId="173" fontId="21" fillId="0" borderId="32" xfId="10" applyNumberFormat="1" applyFont="1" applyFill="1" applyBorder="1" applyAlignment="1" applyProtection="1">
      <alignment horizontal="center" vertical="center" wrapText="1"/>
      <protection locked="0"/>
    </xf>
    <xf numFmtId="173" fontId="19" fillId="0" borderId="32" xfId="10" applyNumberFormat="1" applyFont="1" applyFill="1" applyBorder="1" applyAlignment="1" applyProtection="1">
      <alignment horizontal="center" vertical="center" wrapText="1"/>
      <protection locked="0"/>
    </xf>
    <xf numFmtId="173" fontId="19" fillId="0" borderId="33" xfId="10" applyNumberFormat="1" applyFont="1" applyFill="1" applyBorder="1" applyAlignment="1" applyProtection="1">
      <alignment horizontal="center" vertical="center" wrapText="1"/>
      <protection locked="0"/>
    </xf>
    <xf numFmtId="2" fontId="19" fillId="0" borderId="21" xfId="10" applyNumberFormat="1" applyFont="1" applyFill="1" applyBorder="1" applyAlignment="1" applyProtection="1">
      <alignment horizontal="left" vertical="center"/>
      <protection locked="0"/>
    </xf>
    <xf numFmtId="2" fontId="19" fillId="0" borderId="28" xfId="10" applyNumberFormat="1" applyFont="1" applyFill="1" applyBorder="1" applyAlignment="1" applyProtection="1">
      <alignment horizontal="center" vertical="center"/>
      <protection locked="0"/>
    </xf>
    <xf numFmtId="2" fontId="19" fillId="0" borderId="29" xfId="10" applyNumberFormat="1" applyFont="1" applyFill="1" applyBorder="1" applyAlignment="1" applyProtection="1">
      <alignment horizontal="center" vertical="center"/>
      <protection locked="0"/>
    </xf>
    <xf numFmtId="2" fontId="25" fillId="0" borderId="16" xfId="10" quotePrefix="1" applyNumberFormat="1" applyFont="1" applyFill="1" applyBorder="1" applyAlignment="1" applyProtection="1">
      <alignment horizontal="left" vertical="center"/>
      <protection locked="0"/>
    </xf>
    <xf numFmtId="2" fontId="19" fillId="0" borderId="17" xfId="10" applyNumberFormat="1" applyFont="1" applyFill="1" applyBorder="1" applyAlignment="1" applyProtection="1">
      <alignment horizontal="center" vertical="center"/>
      <protection locked="0"/>
    </xf>
    <xf numFmtId="2" fontId="19" fillId="0" borderId="18" xfId="10" applyNumberFormat="1" applyFont="1" applyFill="1" applyBorder="1" applyAlignment="1" applyProtection="1">
      <alignment horizontal="center" vertical="center"/>
      <protection locked="0"/>
    </xf>
    <xf numFmtId="2" fontId="19" fillId="0" borderId="0" xfId="0" applyNumberFormat="1" applyFont="1" applyFill="1" applyAlignment="1" applyProtection="1">
      <alignment vertical="top"/>
      <protection locked="0"/>
    </xf>
    <xf numFmtId="2" fontId="19" fillId="0" borderId="0" xfId="0" applyNumberFormat="1" applyFont="1" applyFill="1" applyBorder="1" applyAlignment="1" applyProtection="1">
      <alignment horizontal="center" vertical="center"/>
      <protection locked="0"/>
    </xf>
    <xf numFmtId="2" fontId="19" fillId="0" borderId="20" xfId="0" applyNumberFormat="1" applyFont="1" applyFill="1" applyBorder="1" applyAlignment="1" applyProtection="1">
      <alignment horizontal="center" vertical="center"/>
      <protection locked="0"/>
    </xf>
    <xf numFmtId="2" fontId="19" fillId="0" borderId="19" xfId="0" quotePrefix="1" applyNumberFormat="1" applyFont="1" applyFill="1" applyBorder="1" applyAlignment="1" applyProtection="1">
      <alignment vertical="center"/>
      <protection locked="0"/>
    </xf>
    <xf numFmtId="2" fontId="19" fillId="0" borderId="0" xfId="0" quotePrefix="1" applyNumberFormat="1" applyFont="1" applyFill="1" applyBorder="1" applyAlignment="1" applyProtection="1">
      <alignment vertical="center" wrapText="1"/>
      <protection locked="0"/>
    </xf>
    <xf numFmtId="2" fontId="19" fillId="0" borderId="20" xfId="0" quotePrefix="1" applyNumberFormat="1" applyFont="1" applyFill="1" applyBorder="1" applyAlignment="1" applyProtection="1">
      <alignment vertical="center" wrapText="1"/>
      <protection locked="0"/>
    </xf>
    <xf numFmtId="2" fontId="19" fillId="0" borderId="19" xfId="0" quotePrefix="1" applyNumberFormat="1" applyFont="1" applyFill="1" applyBorder="1" applyAlignment="1" applyProtection="1">
      <alignment vertical="center" wrapText="1"/>
      <protection locked="0"/>
    </xf>
    <xf numFmtId="2" fontId="19" fillId="0" borderId="22" xfId="10" applyNumberFormat="1" applyFont="1" applyFill="1" applyBorder="1" applyAlignment="1" applyProtection="1">
      <alignment horizontal="center" vertical="center"/>
      <protection locked="0"/>
    </xf>
    <xf numFmtId="2" fontId="19" fillId="0" borderId="23" xfId="10" applyNumberFormat="1" applyFont="1" applyFill="1" applyBorder="1" applyAlignment="1" applyProtection="1">
      <alignment horizontal="center" vertical="center"/>
      <protection locked="0"/>
    </xf>
    <xf numFmtId="2" fontId="19" fillId="0" borderId="0" xfId="10" applyNumberFormat="1" applyFont="1" applyFill="1" applyAlignment="1" applyProtection="1">
      <alignment horizontal="center" vertical="top"/>
      <protection locked="0"/>
    </xf>
    <xf numFmtId="0" fontId="18" fillId="2" borderId="0" xfId="0" applyFont="1" applyFill="1" applyAlignment="1">
      <alignment wrapText="1"/>
    </xf>
    <xf numFmtId="170" fontId="10" fillId="0" borderId="14" xfId="0" applyNumberFormat="1" applyFont="1" applyBorder="1" applyAlignment="1">
      <alignment horizontal="center"/>
    </xf>
    <xf numFmtId="166" fontId="10" fillId="0" borderId="14" xfId="0" applyNumberFormat="1" applyFont="1" applyBorder="1" applyAlignment="1">
      <alignment horizontal="center"/>
    </xf>
    <xf numFmtId="2" fontId="19" fillId="0" borderId="0" xfId="10" applyNumberFormat="1" applyFont="1" applyFill="1" applyBorder="1" applyAlignment="1" applyProtection="1">
      <alignment horizontal="center" vertical="top"/>
      <protection locked="0"/>
    </xf>
    <xf numFmtId="2" fontId="19" fillId="0" borderId="20" xfId="10" applyNumberFormat="1" applyFont="1" applyFill="1" applyBorder="1" applyAlignment="1" applyProtection="1">
      <alignment horizontal="center" vertical="top"/>
      <protection locked="0"/>
    </xf>
    <xf numFmtId="166" fontId="19" fillId="0" borderId="32" xfId="10" applyNumberFormat="1" applyFont="1" applyFill="1" applyBorder="1" applyAlignment="1" applyProtection="1">
      <alignment horizontal="center" vertical="center" wrapText="1"/>
      <protection locked="0"/>
    </xf>
    <xf numFmtId="174" fontId="19" fillId="0" borderId="32" xfId="10" applyNumberFormat="1" applyFont="1" applyFill="1" applyBorder="1" applyAlignment="1" applyProtection="1">
      <alignment horizontal="center" vertical="center" wrapText="1"/>
      <protection locked="0"/>
    </xf>
    <xf numFmtId="164" fontId="23" fillId="0" borderId="32" xfId="11" applyNumberFormat="1" applyFont="1" applyFill="1" applyBorder="1" applyAlignment="1" applyProtection="1">
      <alignment horizontal="center" vertical="center" wrapText="1"/>
      <protection locked="0"/>
    </xf>
    <xf numFmtId="164" fontId="23" fillId="0" borderId="33" xfId="11" applyNumberFormat="1" applyFont="1" applyFill="1" applyBorder="1" applyAlignment="1" applyProtection="1">
      <alignment horizontal="center" vertical="center" wrapText="1"/>
      <protection locked="0"/>
    </xf>
    <xf numFmtId="1" fontId="19" fillId="0" borderId="32" xfId="10" applyNumberFormat="1" applyFont="1" applyFill="1" applyBorder="1" applyAlignment="1" applyProtection="1">
      <alignment horizontal="center" vertical="top" wrapText="1"/>
      <protection locked="0"/>
    </xf>
    <xf numFmtId="0" fontId="19" fillId="0" borderId="32" xfId="10" applyFont="1" applyFill="1" applyBorder="1" applyAlignment="1" applyProtection="1">
      <alignment horizontal="center" vertical="top"/>
      <protection locked="0"/>
    </xf>
    <xf numFmtId="1" fontId="19" fillId="0" borderId="32" xfId="10" applyNumberFormat="1" applyFont="1" applyFill="1" applyBorder="1" applyAlignment="1" applyProtection="1">
      <alignment horizontal="center" vertical="top"/>
      <protection locked="0"/>
    </xf>
    <xf numFmtId="1" fontId="19" fillId="0" borderId="33" xfId="10" applyNumberFormat="1" applyFont="1" applyFill="1" applyBorder="1" applyAlignment="1" applyProtection="1">
      <alignment horizontal="center" vertical="top"/>
      <protection locked="0"/>
    </xf>
    <xf numFmtId="2" fontId="20" fillId="0" borderId="0" xfId="0" applyNumberFormat="1" applyFont="1" applyFill="1" applyAlignment="1" applyProtection="1">
      <alignment horizontal="centerContinuous" vertical="top"/>
      <protection locked="0"/>
    </xf>
    <xf numFmtId="2" fontId="19" fillId="0" borderId="0" xfId="0" applyNumberFormat="1" applyFont="1" applyFill="1" applyAlignment="1" applyProtection="1">
      <alignment horizontal="centerContinuous" vertical="top"/>
      <protection locked="0"/>
    </xf>
    <xf numFmtId="2" fontId="20" fillId="0" borderId="24" xfId="0" applyNumberFormat="1" applyFont="1" applyFill="1" applyBorder="1" applyAlignment="1" applyProtection="1">
      <alignment vertical="center"/>
      <protection locked="0"/>
    </xf>
    <xf numFmtId="2" fontId="20" fillId="0" borderId="30" xfId="0" quotePrefix="1" applyNumberFormat="1" applyFont="1" applyFill="1" applyBorder="1" applyAlignment="1" applyProtection="1">
      <alignment horizontal="center" vertical="center" wrapText="1"/>
      <protection locked="0"/>
    </xf>
    <xf numFmtId="2" fontId="20" fillId="0" borderId="31" xfId="0" quotePrefix="1" applyNumberFormat="1" applyFont="1" applyFill="1" applyBorder="1" applyAlignment="1" applyProtection="1">
      <alignment horizontal="center" vertical="center" wrapText="1"/>
      <protection locked="0"/>
    </xf>
    <xf numFmtId="2" fontId="19" fillId="0" borderId="35" xfId="0" applyNumberFormat="1" applyFont="1" applyFill="1" applyBorder="1" applyAlignment="1" applyProtection="1">
      <alignment horizontal="center" vertical="center" wrapText="1"/>
      <protection locked="0"/>
    </xf>
    <xf numFmtId="2" fontId="19" fillId="0" borderId="26" xfId="0" applyNumberFormat="1" applyFont="1" applyFill="1" applyBorder="1" applyAlignment="1" applyProtection="1">
      <alignment horizontal="center" vertical="center" wrapText="1"/>
      <protection locked="0"/>
    </xf>
    <xf numFmtId="1" fontId="19" fillId="0" borderId="36" xfId="0" applyNumberFormat="1" applyFont="1" applyFill="1" applyBorder="1" applyAlignment="1" applyProtection="1">
      <alignment horizontal="center" vertical="center"/>
      <protection locked="0"/>
    </xf>
    <xf numFmtId="1" fontId="19" fillId="0" borderId="31" xfId="0" applyNumberFormat="1" applyFont="1" applyFill="1" applyBorder="1" applyAlignment="1" applyProtection="1">
      <alignment horizontal="center" vertical="center"/>
      <protection locked="0"/>
    </xf>
    <xf numFmtId="1" fontId="19" fillId="0" borderId="14" xfId="0" applyNumberFormat="1" applyFont="1" applyFill="1" applyBorder="1" applyAlignment="1" applyProtection="1">
      <alignment horizontal="center" vertical="center"/>
      <protection locked="0"/>
    </xf>
    <xf numFmtId="1" fontId="19" fillId="0" borderId="33" xfId="0" applyNumberFormat="1" applyFont="1" applyFill="1" applyBorder="1" applyAlignment="1" applyProtection="1">
      <alignment horizontal="center" vertical="center"/>
      <protection locked="0"/>
    </xf>
    <xf numFmtId="3" fontId="19" fillId="0" borderId="14" xfId="9" applyNumberFormat="1" applyFont="1" applyFill="1" applyBorder="1" applyAlignment="1" applyProtection="1">
      <alignment horizontal="center" vertical="center"/>
      <protection locked="0"/>
    </xf>
    <xf numFmtId="3" fontId="19" fillId="0" borderId="33" xfId="9" applyNumberFormat="1" applyFont="1" applyFill="1" applyBorder="1" applyAlignment="1" applyProtection="1">
      <alignment horizontal="center" vertical="center"/>
      <protection locked="0"/>
    </xf>
    <xf numFmtId="2" fontId="19" fillId="0" borderId="14" xfId="0" applyNumberFormat="1" applyFont="1" applyFill="1" applyBorder="1" applyAlignment="1" applyProtection="1">
      <alignment horizontal="center" vertical="center"/>
      <protection locked="0"/>
    </xf>
    <xf numFmtId="2" fontId="19" fillId="0" borderId="33" xfId="0" applyNumberFormat="1" applyFont="1" applyFill="1" applyBorder="1" applyAlignment="1" applyProtection="1">
      <alignment horizontal="center" vertical="center"/>
      <protection locked="0"/>
    </xf>
    <xf numFmtId="9" fontId="19" fillId="0" borderId="14" xfId="11" applyFont="1" applyFill="1" applyBorder="1" applyAlignment="1" applyProtection="1">
      <alignment horizontal="center" vertical="center" wrapText="1"/>
      <protection locked="0"/>
    </xf>
    <xf numFmtId="9" fontId="19" fillId="0" borderId="33" xfId="11" applyFont="1" applyFill="1" applyBorder="1" applyAlignment="1" applyProtection="1">
      <alignment horizontal="center" vertical="center" wrapText="1"/>
      <protection locked="0"/>
    </xf>
    <xf numFmtId="0" fontId="19" fillId="0" borderId="14" xfId="0" applyFont="1" applyFill="1" applyBorder="1" applyAlignment="1" applyProtection="1">
      <alignment horizontal="center" vertical="center" wrapText="1"/>
      <protection locked="0"/>
    </xf>
    <xf numFmtId="0" fontId="19" fillId="0" borderId="33" xfId="0" applyFont="1" applyFill="1" applyBorder="1" applyAlignment="1" applyProtection="1">
      <alignment horizontal="center" vertical="center" wrapText="1"/>
      <protection locked="0"/>
    </xf>
    <xf numFmtId="3" fontId="19" fillId="0" borderId="14" xfId="0" applyNumberFormat="1" applyFont="1" applyFill="1" applyBorder="1" applyAlignment="1" applyProtection="1">
      <alignment horizontal="center" vertical="center" wrapText="1"/>
      <protection locked="0"/>
    </xf>
    <xf numFmtId="3" fontId="19" fillId="0" borderId="33" xfId="0" applyNumberFormat="1" applyFont="1" applyFill="1" applyBorder="1" applyAlignment="1" applyProtection="1">
      <alignment horizontal="center" vertical="center" wrapText="1"/>
      <protection locked="0"/>
    </xf>
    <xf numFmtId="164" fontId="19" fillId="0" borderId="14" xfId="0" applyNumberFormat="1" applyFont="1" applyFill="1" applyBorder="1" applyAlignment="1" applyProtection="1">
      <alignment horizontal="center" vertical="center"/>
      <protection locked="0"/>
    </xf>
    <xf numFmtId="164" fontId="19" fillId="0" borderId="33" xfId="0" applyNumberFormat="1" applyFont="1" applyFill="1" applyBorder="1" applyAlignment="1" applyProtection="1">
      <alignment horizontal="center" vertical="center"/>
      <protection locked="0"/>
    </xf>
    <xf numFmtId="2" fontId="19" fillId="0" borderId="14" xfId="0" applyNumberFormat="1" applyFont="1" applyFill="1" applyBorder="1" applyAlignment="1" applyProtection="1">
      <alignment horizontal="center" vertical="center" wrapText="1"/>
      <protection locked="0"/>
    </xf>
    <xf numFmtId="2" fontId="19" fillId="0" borderId="33" xfId="0" applyNumberFormat="1" applyFont="1" applyFill="1" applyBorder="1" applyAlignment="1" applyProtection="1">
      <alignment horizontal="center" vertical="center" wrapText="1"/>
      <protection locked="0"/>
    </xf>
    <xf numFmtId="2" fontId="19" fillId="0" borderId="14" xfId="0" quotePrefix="1" applyNumberFormat="1" applyFont="1" applyFill="1" applyBorder="1" applyAlignment="1" applyProtection="1">
      <alignment horizontal="center" vertical="center" wrapText="1"/>
      <protection locked="0"/>
    </xf>
    <xf numFmtId="2" fontId="19" fillId="0" borderId="33" xfId="0" quotePrefix="1" applyNumberFormat="1" applyFont="1" applyFill="1" applyBorder="1" applyAlignment="1" applyProtection="1">
      <alignment horizontal="center" vertical="center" wrapText="1"/>
      <protection locked="0"/>
    </xf>
    <xf numFmtId="1" fontId="19" fillId="0" borderId="14" xfId="0" applyNumberFormat="1" applyFont="1" applyFill="1" applyBorder="1" applyAlignment="1" applyProtection="1">
      <alignment horizontal="center" vertical="center" wrapText="1"/>
      <protection locked="0"/>
    </xf>
    <xf numFmtId="1" fontId="19" fillId="0" borderId="33" xfId="0" applyNumberFormat="1" applyFont="1" applyFill="1" applyBorder="1" applyAlignment="1" applyProtection="1">
      <alignment horizontal="center" vertical="center" wrapText="1"/>
      <protection locked="0"/>
    </xf>
    <xf numFmtId="2" fontId="20" fillId="0" borderId="34" xfId="0" applyNumberFormat="1" applyFont="1" applyFill="1" applyBorder="1" applyAlignment="1" applyProtection="1">
      <alignment horizontal="left" vertical="center"/>
      <protection locked="0"/>
    </xf>
    <xf numFmtId="2" fontId="19" fillId="0" borderId="37" xfId="0" applyNumberFormat="1" applyFont="1" applyFill="1" applyBorder="1" applyAlignment="1" applyProtection="1">
      <alignment horizontal="center" vertical="center"/>
      <protection locked="0"/>
    </xf>
    <xf numFmtId="2" fontId="19" fillId="0" borderId="38" xfId="0" applyNumberFormat="1" applyFont="1" applyFill="1" applyBorder="1" applyAlignment="1" applyProtection="1">
      <alignment horizontal="center" vertical="center"/>
      <protection locked="0"/>
    </xf>
    <xf numFmtId="3" fontId="19" fillId="0" borderId="30" xfId="0" applyNumberFormat="1" applyFont="1" applyFill="1" applyBorder="1" applyAlignment="1" applyProtection="1">
      <alignment horizontal="center" vertical="center"/>
      <protection locked="0"/>
    </xf>
    <xf numFmtId="3" fontId="19" fillId="0" borderId="31" xfId="0" applyNumberFormat="1" applyFont="1" applyFill="1" applyBorder="1" applyAlignment="1" applyProtection="1">
      <alignment horizontal="center" vertical="center"/>
      <protection locked="0"/>
    </xf>
    <xf numFmtId="37" fontId="23" fillId="0" borderId="32" xfId="9" applyNumberFormat="1" applyFont="1" applyFill="1" applyBorder="1" applyAlignment="1" applyProtection="1">
      <alignment horizontal="center" vertical="center"/>
      <protection locked="0"/>
    </xf>
    <xf numFmtId="37" fontId="23" fillId="0" borderId="33" xfId="9" applyNumberFormat="1" applyFont="1" applyFill="1" applyBorder="1" applyAlignment="1" applyProtection="1">
      <alignment horizontal="center" vertical="center"/>
      <protection locked="0"/>
    </xf>
    <xf numFmtId="37" fontId="19" fillId="0" borderId="32" xfId="9" applyNumberFormat="1" applyFont="1" applyFill="1" applyBorder="1" applyAlignment="1" applyProtection="1">
      <alignment horizontal="center" vertical="center"/>
      <protection locked="0"/>
    </xf>
    <xf numFmtId="37" fontId="19" fillId="0" borderId="33" xfId="9" applyNumberFormat="1" applyFont="1" applyFill="1" applyBorder="1" applyAlignment="1" applyProtection="1">
      <alignment horizontal="center" vertical="center"/>
      <protection locked="0"/>
    </xf>
    <xf numFmtId="2" fontId="19" fillId="0" borderId="21" xfId="0" quotePrefix="1" applyNumberFormat="1" applyFont="1" applyFill="1" applyBorder="1" applyAlignment="1" applyProtection="1">
      <alignment horizontal="left" vertical="center"/>
      <protection locked="0"/>
    </xf>
    <xf numFmtId="175" fontId="19" fillId="0" borderId="28" xfId="0" applyNumberFormat="1" applyFont="1" applyFill="1" applyBorder="1" applyAlignment="1" applyProtection="1">
      <alignment horizontal="center" vertical="center"/>
      <protection locked="0"/>
    </xf>
    <xf numFmtId="175" fontId="19" fillId="0" borderId="29" xfId="0" applyNumberFormat="1" applyFont="1" applyFill="1" applyBorder="1" applyAlignment="1" applyProtection="1">
      <alignment horizontal="center" vertical="center"/>
      <protection locked="0"/>
    </xf>
    <xf numFmtId="2" fontId="20" fillId="0" borderId="21" xfId="0" applyNumberFormat="1" applyFont="1" applyFill="1" applyBorder="1" applyAlignment="1" applyProtection="1">
      <alignment horizontal="left" vertical="center"/>
      <protection locked="0"/>
    </xf>
    <xf numFmtId="2" fontId="19" fillId="0" borderId="22" xfId="0" applyNumberFormat="1" applyFont="1" applyFill="1" applyBorder="1" applyAlignment="1" applyProtection="1">
      <alignment horizontal="center" vertical="center"/>
      <protection locked="0"/>
    </xf>
    <xf numFmtId="2" fontId="19" fillId="0" borderId="23" xfId="0" applyNumberFormat="1" applyFont="1" applyFill="1" applyBorder="1" applyAlignment="1" applyProtection="1">
      <alignment horizontal="center" vertical="center"/>
      <protection locked="0"/>
    </xf>
    <xf numFmtId="2" fontId="20" fillId="0" borderId="0" xfId="0" applyNumberFormat="1" applyFont="1" applyFill="1" applyAlignment="1" applyProtection="1">
      <alignment vertical="top"/>
      <protection locked="0"/>
    </xf>
    <xf numFmtId="168" fontId="19" fillId="0" borderId="0" xfId="0" applyNumberFormat="1" applyFont="1" applyFill="1" applyAlignment="1" applyProtection="1">
      <alignment horizontal="center" vertical="center" wrapText="1"/>
      <protection locked="0"/>
    </xf>
    <xf numFmtId="2" fontId="19" fillId="0" borderId="0" xfId="0" applyNumberFormat="1" applyFont="1" applyFill="1" applyAlignment="1" applyProtection="1">
      <alignment horizontal="left" vertical="center"/>
      <protection locked="0"/>
    </xf>
    <xf numFmtId="168" fontId="20" fillId="0" borderId="32" xfId="0" applyNumberFormat="1" applyFont="1" applyFill="1" applyBorder="1" applyAlignment="1" applyProtection="1">
      <alignment horizontal="center" vertical="center" wrapText="1"/>
      <protection locked="0"/>
    </xf>
    <xf numFmtId="168" fontId="20" fillId="0" borderId="33" xfId="0" applyNumberFormat="1" applyFont="1" applyFill="1" applyBorder="1" applyAlignment="1" applyProtection="1">
      <alignment horizontal="center" vertical="center" wrapText="1"/>
      <protection locked="0"/>
    </xf>
    <xf numFmtId="168" fontId="19" fillId="0" borderId="32" xfId="0" applyNumberFormat="1" applyFont="1" applyFill="1" applyBorder="1" applyAlignment="1" applyProtection="1">
      <alignment horizontal="center" vertical="center" wrapText="1"/>
      <protection locked="0"/>
    </xf>
    <xf numFmtId="168" fontId="19" fillId="0" borderId="33" xfId="0" applyNumberFormat="1" applyFont="1" applyFill="1" applyBorder="1" applyAlignment="1" applyProtection="1">
      <alignment horizontal="center" vertical="center" wrapText="1"/>
      <protection locked="0"/>
    </xf>
    <xf numFmtId="167" fontId="19" fillId="0" borderId="32" xfId="0" applyNumberFormat="1" applyFont="1" applyFill="1" applyBorder="1" applyAlignment="1" applyProtection="1">
      <alignment horizontal="center" vertical="center"/>
      <protection locked="0"/>
    </xf>
    <xf numFmtId="167" fontId="19" fillId="0" borderId="33" xfId="0" applyNumberFormat="1" applyFont="1" applyFill="1" applyBorder="1" applyAlignment="1" applyProtection="1">
      <alignment horizontal="center" vertical="center"/>
      <protection locked="0"/>
    </xf>
    <xf numFmtId="168" fontId="19" fillId="0" borderId="32" xfId="0" applyNumberFormat="1" applyFont="1" applyFill="1" applyBorder="1" applyAlignment="1" applyProtection="1">
      <alignment horizontal="center" vertical="center"/>
      <protection locked="0"/>
    </xf>
    <xf numFmtId="168" fontId="19" fillId="0" borderId="33" xfId="0" applyNumberFormat="1" applyFont="1" applyFill="1" applyBorder="1" applyAlignment="1" applyProtection="1">
      <alignment horizontal="center" vertical="center"/>
      <protection locked="0"/>
    </xf>
    <xf numFmtId="2" fontId="19" fillId="0" borderId="19" xfId="0" applyNumberFormat="1" applyFont="1" applyFill="1" applyBorder="1" applyAlignment="1" applyProtection="1">
      <alignment horizontal="left" vertical="top"/>
      <protection locked="0"/>
    </xf>
    <xf numFmtId="3" fontId="19" fillId="0" borderId="37" xfId="0" applyNumberFormat="1" applyFont="1" applyFill="1" applyBorder="1" applyAlignment="1" applyProtection="1">
      <alignment horizontal="center" vertical="center"/>
      <protection locked="0"/>
    </xf>
    <xf numFmtId="3" fontId="19" fillId="0" borderId="38" xfId="0" applyNumberFormat="1" applyFont="1" applyFill="1" applyBorder="1" applyAlignment="1" applyProtection="1">
      <alignment horizontal="center" vertical="center"/>
      <protection locked="0"/>
    </xf>
    <xf numFmtId="2" fontId="19" fillId="0" borderId="39" xfId="0" applyNumberFormat="1" applyFont="1" applyFill="1" applyBorder="1" applyAlignment="1" applyProtection="1">
      <alignment horizontal="left" vertical="center"/>
      <protection locked="0"/>
    </xf>
    <xf numFmtId="0" fontId="19" fillId="0" borderId="30" xfId="0" applyFont="1" applyFill="1" applyBorder="1" applyAlignment="1" applyProtection="1">
      <alignment horizontal="center" vertical="top"/>
      <protection locked="0"/>
    </xf>
    <xf numFmtId="0" fontId="19" fillId="0" borderId="31" xfId="0" applyFont="1" applyFill="1" applyBorder="1" applyAlignment="1" applyProtection="1">
      <alignment horizontal="center" vertical="top"/>
      <protection locked="0"/>
    </xf>
    <xf numFmtId="2" fontId="19" fillId="0" borderId="40" xfId="0" applyNumberFormat="1" applyFont="1" applyFill="1" applyBorder="1" applyAlignment="1" applyProtection="1">
      <alignment horizontal="left" vertical="center"/>
      <protection locked="0"/>
    </xf>
    <xf numFmtId="2" fontId="19" fillId="0" borderId="41" xfId="0" applyNumberFormat="1" applyFont="1" applyFill="1" applyBorder="1" applyAlignment="1" applyProtection="1">
      <alignment vertical="top"/>
      <protection locked="0"/>
    </xf>
    <xf numFmtId="2" fontId="19" fillId="0" borderId="28" xfId="0" applyNumberFormat="1" applyFont="1" applyFill="1" applyBorder="1" applyAlignment="1" applyProtection="1">
      <alignment horizontal="center" vertical="top"/>
      <protection locked="0"/>
    </xf>
    <xf numFmtId="2" fontId="19" fillId="0" borderId="29" xfId="0" applyNumberFormat="1" applyFont="1" applyFill="1" applyBorder="1" applyAlignment="1" applyProtection="1">
      <alignment horizontal="center" vertical="top"/>
      <protection locked="0"/>
    </xf>
    <xf numFmtId="2" fontId="25" fillId="0" borderId="16" xfId="0" quotePrefix="1" applyNumberFormat="1" applyFont="1" applyFill="1" applyBorder="1" applyAlignment="1" applyProtection="1">
      <alignment horizontal="left" vertical="center"/>
      <protection locked="0"/>
    </xf>
    <xf numFmtId="2" fontId="19" fillId="0" borderId="21" xfId="0" applyNumberFormat="1" applyFont="1" applyFill="1" applyBorder="1" applyAlignment="1" applyProtection="1">
      <alignment horizontal="left" vertical="center"/>
      <protection locked="0"/>
    </xf>
    <xf numFmtId="2" fontId="19" fillId="0" borderId="0" xfId="0" applyNumberFormat="1" applyFont="1" applyFill="1" applyAlignment="1" applyProtection="1">
      <alignment horizontal="center" vertical="top"/>
      <protection locked="0"/>
    </xf>
    <xf numFmtId="0" fontId="7" fillId="0" borderId="0" xfId="0" applyFont="1" applyFill="1"/>
    <xf numFmtId="0" fontId="27" fillId="2" borderId="0" xfId="0" applyFont="1" applyFill="1" applyAlignment="1">
      <alignment horizontal="center"/>
    </xf>
    <xf numFmtId="4" fontId="10" fillId="0" borderId="0" xfId="0" applyNumberFormat="1" applyFont="1"/>
    <xf numFmtId="0" fontId="0" fillId="3" borderId="0" xfId="0" applyFill="1"/>
    <xf numFmtId="0" fontId="10" fillId="0" borderId="0" xfId="0" applyFont="1" applyFill="1"/>
    <xf numFmtId="0" fontId="27" fillId="2" borderId="0" xfId="0" applyFont="1" applyFill="1" applyAlignment="1">
      <alignment horizontal="center"/>
    </xf>
    <xf numFmtId="168" fontId="20" fillId="0" borderId="0" xfId="10" applyNumberFormat="1" applyFont="1" applyFill="1" applyAlignment="1" applyProtection="1">
      <alignment horizontal="center" vertical="center" wrapText="1"/>
      <protection locked="0"/>
    </xf>
    <xf numFmtId="168" fontId="20" fillId="0" borderId="0" xfId="10" applyNumberFormat="1" applyFont="1" applyFill="1" applyAlignment="1" applyProtection="1">
      <alignment horizontal="left" vertical="center"/>
      <protection locked="0"/>
    </xf>
    <xf numFmtId="168" fontId="19" fillId="0" borderId="0" xfId="10" applyNumberFormat="1" applyFont="1" applyFill="1" applyAlignment="1" applyProtection="1">
      <alignment horizontal="center" vertical="center" wrapText="1"/>
      <protection locked="0"/>
    </xf>
    <xf numFmtId="2" fontId="19" fillId="0" borderId="0" xfId="10" applyNumberFormat="1" applyFont="1" applyFill="1" applyAlignment="1" applyProtection="1">
      <alignment horizontal="left" vertical="center"/>
      <protection locked="0"/>
    </xf>
    <xf numFmtId="2" fontId="19" fillId="0" borderId="23" xfId="10" applyNumberFormat="1" applyFont="1" applyFill="1" applyBorder="1" applyAlignment="1" applyProtection="1">
      <alignment horizontal="center" vertical="center" wrapText="1"/>
      <protection locked="0"/>
    </xf>
    <xf numFmtId="0" fontId="0" fillId="0" borderId="0" xfId="0" applyFill="1"/>
    <xf numFmtId="0" fontId="18" fillId="0" borderId="11" xfId="0" applyFont="1" applyBorder="1" applyAlignment="1">
      <alignment horizontal="left" vertical="center" indent="2"/>
    </xf>
    <xf numFmtId="0" fontId="18" fillId="0" borderId="0" xfId="0" applyFont="1" applyBorder="1" applyAlignment="1">
      <alignment horizontal="center"/>
    </xf>
    <xf numFmtId="3" fontId="18" fillId="0" borderId="14" xfId="0" applyNumberFormat="1" applyFont="1" applyBorder="1" applyAlignment="1">
      <alignment horizontal="center"/>
    </xf>
    <xf numFmtId="3" fontId="18" fillId="0" borderId="0" xfId="0" applyNumberFormat="1" applyFont="1" applyBorder="1" applyAlignment="1">
      <alignment horizontal="center"/>
    </xf>
    <xf numFmtId="3" fontId="18" fillId="0" borderId="12" xfId="0" applyNumberFormat="1" applyFont="1" applyBorder="1" applyAlignment="1">
      <alignment horizontal="center"/>
    </xf>
    <xf numFmtId="0" fontId="27" fillId="0" borderId="0" xfId="0" applyFont="1"/>
    <xf numFmtId="170" fontId="10" fillId="0" borderId="0" xfId="0" applyNumberFormat="1" applyFont="1" applyBorder="1" applyAlignment="1">
      <alignment horizontal="center"/>
    </xf>
    <xf numFmtId="2" fontId="19" fillId="0" borderId="0" xfId="0" applyNumberFormat="1" applyFont="1" applyFill="1" applyAlignment="1" applyProtection="1">
      <alignment horizontal="center" vertical="center"/>
      <protection locked="0"/>
    </xf>
    <xf numFmtId="168" fontId="19" fillId="0" borderId="0" xfId="0" applyNumberFormat="1" applyFont="1" applyFill="1" applyBorder="1" applyAlignment="1" applyProtection="1">
      <alignment horizontal="center" vertical="center" wrapText="1"/>
      <protection locked="0"/>
    </xf>
    <xf numFmtId="167" fontId="19" fillId="0" borderId="0" xfId="10" applyNumberFormat="1" applyFont="1" applyFill="1" applyBorder="1" applyAlignment="1" applyProtection="1">
      <alignment horizontal="center" vertical="center"/>
      <protection locked="0"/>
    </xf>
    <xf numFmtId="2" fontId="19" fillId="0" borderId="0" xfId="0" applyNumberFormat="1" applyFont="1" applyFill="1" applyBorder="1" applyAlignment="1" applyProtection="1">
      <alignment vertical="top"/>
      <protection locked="0"/>
    </xf>
    <xf numFmtId="168" fontId="10" fillId="0" borderId="14" xfId="0" applyNumberFormat="1" applyFont="1" applyFill="1" applyBorder="1" applyAlignment="1">
      <alignment horizontal="center"/>
    </xf>
    <xf numFmtId="168" fontId="10" fillId="0" borderId="0" xfId="0" applyNumberFormat="1" applyFont="1" applyFill="1" applyBorder="1" applyAlignment="1">
      <alignment horizontal="center"/>
    </xf>
    <xf numFmtId="168" fontId="10" fillId="0" borderId="12" xfId="0" applyNumberFormat="1" applyFont="1" applyFill="1" applyBorder="1" applyAlignment="1">
      <alignment horizontal="center"/>
    </xf>
    <xf numFmtId="165" fontId="10" fillId="0" borderId="0" xfId="0" applyNumberFormat="1" applyFont="1"/>
    <xf numFmtId="0" fontId="13" fillId="0" borderId="3" xfId="3" applyFont="1" applyBorder="1" applyAlignment="1">
      <alignment horizontal="center"/>
    </xf>
    <xf numFmtId="0" fontId="13" fillId="0" borderId="4" xfId="3" applyFont="1" applyBorder="1" applyAlignment="1">
      <alignment horizontal="center"/>
    </xf>
    <xf numFmtId="0" fontId="13" fillId="0" borderId="5" xfId="3" applyFont="1" applyBorder="1" applyAlignment="1">
      <alignment horizontal="center"/>
    </xf>
    <xf numFmtId="0" fontId="14" fillId="0" borderId="14" xfId="4" applyFont="1" applyBorder="1" applyAlignment="1">
      <alignment horizontal="center" vertical="center" wrapText="1"/>
    </xf>
    <xf numFmtId="0" fontId="15" fillId="0" borderId="0" xfId="0" applyFont="1" applyBorder="1" applyAlignment="1">
      <alignment horizontal="center" vertical="center" wrapText="1"/>
    </xf>
    <xf numFmtId="0" fontId="15" fillId="0" borderId="12" xfId="0" applyFont="1" applyBorder="1" applyAlignment="1">
      <alignment horizontal="center" vertical="center" wrapText="1"/>
    </xf>
    <xf numFmtId="0" fontId="27" fillId="2" borderId="0" xfId="0" applyFont="1" applyFill="1" applyAlignment="1">
      <alignment horizontal="center" vertical="center"/>
    </xf>
    <xf numFmtId="0" fontId="15" fillId="0" borderId="42" xfId="0" applyFont="1" applyBorder="1" applyAlignment="1">
      <alignment horizontal="center" vertical="center" wrapText="1"/>
    </xf>
    <xf numFmtId="0" fontId="15" fillId="0" borderId="9" xfId="0" applyFont="1" applyBorder="1" applyAlignment="1">
      <alignment horizontal="center" vertical="center" wrapText="1"/>
    </xf>
    <xf numFmtId="0" fontId="15" fillId="0" borderId="43" xfId="0" applyFont="1" applyBorder="1" applyAlignment="1">
      <alignment horizontal="center" vertical="center" wrapText="1"/>
    </xf>
    <xf numFmtId="2" fontId="20" fillId="0" borderId="16" xfId="10" applyNumberFormat="1" applyFont="1" applyFill="1" applyBorder="1" applyAlignment="1" applyProtection="1">
      <alignment horizontal="center" vertical="top"/>
      <protection locked="0"/>
    </xf>
    <xf numFmtId="2" fontId="20" fillId="0" borderId="17" xfId="10" applyNumberFormat="1" applyFont="1" applyFill="1" applyBorder="1" applyAlignment="1" applyProtection="1">
      <alignment horizontal="center" vertical="top"/>
      <protection locked="0"/>
    </xf>
    <xf numFmtId="2" fontId="20" fillId="0" borderId="18" xfId="10" applyNumberFormat="1" applyFont="1" applyFill="1" applyBorder="1" applyAlignment="1" applyProtection="1">
      <alignment horizontal="center" vertical="top"/>
      <protection locked="0"/>
    </xf>
    <xf numFmtId="2" fontId="20" fillId="0" borderId="19" xfId="10" applyNumberFormat="1" applyFont="1" applyFill="1" applyBorder="1" applyAlignment="1" applyProtection="1">
      <alignment horizontal="center" vertical="top"/>
      <protection locked="0"/>
    </xf>
    <xf numFmtId="2" fontId="20" fillId="0" borderId="0" xfId="10" applyNumberFormat="1" applyFont="1" applyFill="1" applyBorder="1" applyAlignment="1" applyProtection="1">
      <alignment horizontal="center" vertical="top"/>
      <protection locked="0"/>
    </xf>
    <xf numFmtId="2" fontId="20" fillId="0" borderId="20" xfId="10" applyNumberFormat="1" applyFont="1" applyFill="1" applyBorder="1" applyAlignment="1" applyProtection="1">
      <alignment horizontal="center" vertical="top"/>
      <protection locked="0"/>
    </xf>
    <xf numFmtId="2" fontId="21" fillId="0" borderId="19" xfId="10" applyNumberFormat="1" applyFont="1" applyFill="1" applyBorder="1" applyAlignment="1" applyProtection="1">
      <alignment horizontal="center" vertical="top"/>
      <protection locked="0"/>
    </xf>
    <xf numFmtId="2" fontId="21" fillId="0" borderId="0" xfId="10" applyNumberFormat="1" applyFont="1" applyFill="1" applyBorder="1" applyAlignment="1" applyProtection="1">
      <alignment horizontal="center" vertical="top"/>
      <protection locked="0"/>
    </xf>
    <xf numFmtId="2" fontId="21" fillId="0" borderId="20" xfId="10" applyNumberFormat="1" applyFont="1" applyFill="1" applyBorder="1" applyAlignment="1" applyProtection="1">
      <alignment horizontal="center" vertical="top"/>
      <protection locked="0"/>
    </xf>
    <xf numFmtId="2" fontId="20" fillId="0" borderId="21" xfId="10" quotePrefix="1" applyNumberFormat="1" applyFont="1" applyFill="1" applyBorder="1" applyAlignment="1" applyProtection="1">
      <alignment horizontal="center" vertical="top"/>
      <protection locked="0"/>
    </xf>
    <xf numFmtId="2" fontId="20" fillId="0" borderId="22" xfId="10" quotePrefix="1" applyNumberFormat="1" applyFont="1" applyFill="1" applyBorder="1" applyAlignment="1" applyProtection="1">
      <alignment horizontal="center" vertical="top"/>
      <protection locked="0"/>
    </xf>
    <xf numFmtId="2" fontId="20" fillId="0" borderId="23" xfId="10" quotePrefix="1" applyNumberFormat="1" applyFont="1" applyFill="1" applyBorder="1" applyAlignment="1" applyProtection="1">
      <alignment horizontal="center" vertical="top"/>
      <protection locked="0"/>
    </xf>
    <xf numFmtId="2" fontId="20" fillId="0" borderId="19" xfId="0" applyNumberFormat="1" applyFont="1" applyFill="1" applyBorder="1" applyAlignment="1" applyProtection="1">
      <alignment horizontal="center" vertical="top"/>
      <protection locked="0"/>
    </xf>
    <xf numFmtId="2" fontId="20" fillId="0" borderId="0" xfId="0" applyNumberFormat="1" applyFont="1" applyFill="1" applyBorder="1" applyAlignment="1" applyProtection="1">
      <alignment horizontal="center" vertical="top"/>
      <protection locked="0"/>
    </xf>
    <xf numFmtId="2" fontId="20" fillId="0" borderId="20" xfId="0" applyNumberFormat="1" applyFont="1" applyFill="1" applyBorder="1" applyAlignment="1" applyProtection="1">
      <alignment horizontal="center" vertical="top"/>
      <protection locked="0"/>
    </xf>
    <xf numFmtId="2" fontId="21" fillId="0" borderId="19" xfId="0" applyNumberFormat="1" applyFont="1" applyFill="1" applyBorder="1" applyAlignment="1" applyProtection="1">
      <alignment horizontal="center" vertical="top"/>
      <protection locked="0"/>
    </xf>
    <xf numFmtId="2" fontId="21" fillId="0" borderId="0" xfId="0" applyNumberFormat="1" applyFont="1" applyFill="1" applyBorder="1" applyAlignment="1" applyProtection="1">
      <alignment horizontal="center" vertical="top"/>
      <protection locked="0"/>
    </xf>
    <xf numFmtId="2" fontId="21" fillId="0" borderId="20" xfId="0" applyNumberFormat="1" applyFont="1" applyFill="1" applyBorder="1" applyAlignment="1" applyProtection="1">
      <alignment horizontal="center" vertical="top"/>
      <protection locked="0"/>
    </xf>
    <xf numFmtId="2" fontId="20" fillId="0" borderId="16" xfId="0" applyNumberFormat="1" applyFont="1" applyFill="1" applyBorder="1" applyAlignment="1" applyProtection="1">
      <alignment horizontal="center" vertical="top"/>
      <protection locked="0"/>
    </xf>
    <xf numFmtId="2" fontId="20" fillId="0" borderId="17" xfId="0" applyNumberFormat="1" applyFont="1" applyFill="1" applyBorder="1" applyAlignment="1" applyProtection="1">
      <alignment horizontal="center" vertical="top"/>
      <protection locked="0"/>
    </xf>
    <xf numFmtId="2" fontId="20" fillId="0" borderId="18" xfId="0" applyNumberFormat="1" applyFont="1" applyFill="1" applyBorder="1" applyAlignment="1" applyProtection="1">
      <alignment horizontal="center" vertical="top"/>
      <protection locked="0"/>
    </xf>
  </cellXfs>
  <cellStyles count="12">
    <cellStyle name="Comma" xfId="9" builtinId="3"/>
    <cellStyle name="Comma 2" xfId="2"/>
    <cellStyle name="Normal" xfId="0" builtinId="0"/>
    <cellStyle name="Normal 10" xfId="10"/>
    <cellStyle name="Normal 2" xfId="1"/>
    <cellStyle name="Normal 3" xfId="5"/>
    <cellStyle name="Normal 4" xfId="6"/>
    <cellStyle name="Normal 47" xfId="3"/>
    <cellStyle name="Normal 47 2" xfId="7"/>
    <cellStyle name="Normal 47 3" xfId="8"/>
    <cellStyle name="Normal_S&amp;L Demand Curve cases 11-11-10_inputs to NERA for rept_" xfId="4"/>
    <cellStyle name="Percent 2" xf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ase/NYISO%20DCR%2032249/Received%20from%20Burns%20and%20McDonnell/2020-03-13%20-%20Updated%20Gross%20CONE%20results/NYISO%20DCR%20CONE%20Inputs%20(Rev%201_20200313).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x A65"/>
      <sheetName val="1x 7F.05"/>
      <sheetName val="1x HA.02 25ppm"/>
      <sheetName val="1x HA.02 15ppm"/>
      <sheetName val="CCGT 1x1 HA.02"/>
      <sheetName val="BESS-4hr"/>
      <sheetName val="BESS-6hr"/>
      <sheetName val="BESS-8hr"/>
    </sheetNames>
    <sheetDataSet>
      <sheetData sheetId="0"/>
      <sheetData sheetId="1"/>
      <sheetData sheetId="2">
        <row r="6">
          <cell r="B6" t="str">
            <v>PROJECT TYPE</v>
          </cell>
          <cell r="C6" t="str">
            <v>ZONE C</v>
          </cell>
          <cell r="D6" t="str">
            <v>ZONE F</v>
          </cell>
          <cell r="E6" t="str">
            <v>ZONE G - Dutchess</v>
          </cell>
          <cell r="F6" t="str">
            <v>ZONE G - Rockland</v>
          </cell>
          <cell r="G6" t="str">
            <v>ZONE J</v>
          </cell>
          <cell r="H6" t="str">
            <v>ZONE K</v>
          </cell>
        </row>
      </sheetData>
      <sheetData sheetId="3"/>
      <sheetData sheetId="4"/>
      <sheetData sheetId="5"/>
      <sheetData sheetId="6"/>
      <sheetData sheetId="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
  <sheetViews>
    <sheetView workbookViewId="0"/>
  </sheetViews>
  <sheetFormatPr defaultRowHeight="12.75" x14ac:dyDescent="0.2"/>
  <cols>
    <col min="1" max="16384" width="9.33203125" style="273"/>
  </cols>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7"/>
  <sheetViews>
    <sheetView workbookViewId="0"/>
  </sheetViews>
  <sheetFormatPr defaultRowHeight="12.75" x14ac:dyDescent="0.2"/>
  <cols>
    <col min="1" max="1" width="7.1640625" style="10" bestFit="1" customWidth="1"/>
    <col min="2" max="2" width="19.83203125" style="10" bestFit="1" customWidth="1"/>
    <col min="3" max="4" width="15.6640625" style="10" bestFit="1" customWidth="1"/>
    <col min="5" max="5" width="15.33203125" style="10" bestFit="1" customWidth="1"/>
    <col min="6" max="6" width="16.1640625" style="10" bestFit="1" customWidth="1"/>
    <col min="7" max="8" width="17.83203125" style="10" bestFit="1" customWidth="1"/>
    <col min="9" max="9" width="23.83203125" style="10" bestFit="1" customWidth="1"/>
    <col min="10" max="10" width="23.33203125" style="10" bestFit="1" customWidth="1"/>
    <col min="11" max="11" width="21.6640625" style="10" bestFit="1" customWidth="1"/>
    <col min="12" max="12" width="20.83203125" style="10" bestFit="1" customWidth="1"/>
    <col min="13" max="13" width="21.1640625" style="10" bestFit="1" customWidth="1"/>
    <col min="14" max="14" width="21.6640625" style="10" bestFit="1" customWidth="1"/>
    <col min="15" max="15" width="20.83203125" style="10" bestFit="1" customWidth="1"/>
    <col min="16" max="16" width="21.1640625" style="10" bestFit="1" customWidth="1"/>
    <col min="17" max="17" width="22.5" style="10" bestFit="1" customWidth="1"/>
    <col min="18" max="18" width="21.5" style="10" bestFit="1" customWidth="1"/>
    <col min="19" max="19" width="22" style="10" bestFit="1" customWidth="1"/>
    <col min="20" max="20" width="22.5" style="10" bestFit="1" customWidth="1"/>
    <col min="21" max="21" width="21.5" style="10" bestFit="1" customWidth="1"/>
    <col min="22" max="22" width="22" style="10" bestFit="1" customWidth="1"/>
    <col min="23" max="23" width="13.33203125" style="10" bestFit="1" customWidth="1"/>
    <col min="24" max="16384" width="9.33203125" style="10"/>
  </cols>
  <sheetData>
    <row r="1" spans="1:23" x14ac:dyDescent="0.2">
      <c r="A1" s="47" t="s">
        <v>35</v>
      </c>
      <c r="B1" s="47" t="s">
        <v>53</v>
      </c>
      <c r="C1" s="49" t="s">
        <v>317</v>
      </c>
      <c r="D1" s="49" t="s">
        <v>318</v>
      </c>
      <c r="E1" s="49" t="s">
        <v>319</v>
      </c>
      <c r="F1" s="49" t="s">
        <v>320</v>
      </c>
      <c r="G1" s="49" t="s">
        <v>388</v>
      </c>
      <c r="H1" s="49" t="s">
        <v>389</v>
      </c>
      <c r="I1" s="49" t="s">
        <v>321</v>
      </c>
      <c r="J1" s="48" t="s">
        <v>398</v>
      </c>
      <c r="K1" s="49" t="s">
        <v>322</v>
      </c>
      <c r="L1" s="49" t="s">
        <v>323</v>
      </c>
      <c r="M1" s="49" t="s">
        <v>324</v>
      </c>
      <c r="N1" s="49" t="s">
        <v>325</v>
      </c>
      <c r="O1" s="49" t="s">
        <v>326</v>
      </c>
      <c r="P1" s="49" t="s">
        <v>327</v>
      </c>
      <c r="Q1" s="49" t="s">
        <v>328</v>
      </c>
      <c r="R1" s="49" t="s">
        <v>329</v>
      </c>
      <c r="S1" s="49" t="s">
        <v>330</v>
      </c>
      <c r="T1" s="49" t="s">
        <v>331</v>
      </c>
      <c r="U1" s="49" t="s">
        <v>332</v>
      </c>
      <c r="V1" s="49" t="s">
        <v>333</v>
      </c>
      <c r="W1" s="49" t="s">
        <v>334</v>
      </c>
    </row>
    <row r="2" spans="1:23" x14ac:dyDescent="0.2">
      <c r="A2" s="10" t="s">
        <v>32</v>
      </c>
      <c r="B2" s="46" t="s">
        <v>3</v>
      </c>
      <c r="C2" s="51">
        <f ca="1">HLOOKUP($B2, 'J-Class25ppm_NoSCR_Filtered'!$G$5:$M$38, 8, FALSE)</f>
        <v>9370</v>
      </c>
      <c r="D2" s="51">
        <f ca="1">HLOOKUP($B2, 'J-Class25ppm_NoSCR_Filtered'!$G$5:$M$38, 9, FALSE)</f>
        <v>9300</v>
      </c>
      <c r="E2" s="272">
        <f ca="1">HLOOKUP($B2, 'J-Class25ppm_NoSCR_Filtered'!$G$5:$M$38, 32, FALSE)</f>
        <v>0.93000000000000016</v>
      </c>
      <c r="F2" s="272">
        <f ca="1">HLOOKUP($B2, 'J-Class25ppm_NoSCR_Filtered'!$G$5:$M$38, 33, FALSE)</f>
        <v>10.23</v>
      </c>
      <c r="G2" s="272">
        <f ca="1">HLOOKUP($B2, 'J-Class25ppm_NoSCR_Filtered'!$G$5:$M$38, 4, FALSE)</f>
        <v>359</v>
      </c>
      <c r="H2" s="272">
        <f ca="1">HLOOKUP($B2, 'J-Class25ppm_NoSCR_Filtered'!$G$5:$M$38, 5, FALSE)</f>
        <v>371.1</v>
      </c>
      <c r="I2" s="272">
        <f>HLOOKUP($B2, 'J-Class25ppm_NoSCR_Filtered'!$G$5:$M$38, 29, FALSE)</f>
        <v>490</v>
      </c>
      <c r="J2" s="272">
        <f ca="1">HLOOKUP($B2, 'J-Class25ppm_NoSCR_Filtered'!$G$5:$M$38, 34, FALSE)</f>
        <v>26600</v>
      </c>
      <c r="K2" s="272">
        <f ca="1">HLOOKUP($B2, 'J-Class25ppm_NoSCR_Filtered'!$G$5:$M$38, 12, FALSE)</f>
        <v>331.56156316916486</v>
      </c>
      <c r="L2" s="272">
        <f ca="1">HLOOKUP($B2, 'J-Class25ppm_NoSCR_Filtered'!$G$5:$M$38, 13, FALSE)</f>
        <v>6.922162740899358</v>
      </c>
      <c r="M2" s="272">
        <f ca="1">HLOOKUP($B2, 'J-Class25ppm_NoSCR_Filtered'!$G$5:$M$38, 14, FALSE)</f>
        <v>415329.76445396146</v>
      </c>
      <c r="N2" s="272">
        <f ca="1">HLOOKUP($B2, 'J-Class25ppm_NoSCR_Filtered'!$G$5:$M$38, 16, FALSE)</f>
        <v>329.08458244111347</v>
      </c>
      <c r="O2" s="272">
        <f ca="1">HLOOKUP($B2, 'J-Class25ppm_NoSCR_Filtered'!$G$5:$M$38, 17, FALSE)</f>
        <v>6.8704496788008562</v>
      </c>
      <c r="P2" s="272">
        <f ca="1">HLOOKUP($B2, 'J-Class25ppm_NoSCR_Filtered'!$G$5:$M$38, 18, FALSE)</f>
        <v>412226.98072805139</v>
      </c>
      <c r="Q2" s="272">
        <f ca="1">HLOOKUP($B2, 'J-Class25ppm_NoSCR_Filtered'!$G$5:$M$38, 20, FALSE)</f>
        <v>642.05567451820127</v>
      </c>
      <c r="R2" s="272">
        <f ca="1">HLOOKUP($B2, 'J-Class25ppm_NoSCR_Filtered'!$G$5:$M$38, 21, FALSE)</f>
        <v>5.3170235546038542</v>
      </c>
      <c r="S2" s="272">
        <f ca="1">HLOOKUP($B2, 'J-Class25ppm_NoSCR_Filtered'!$G$5:$M$38, 22, FALSE)</f>
        <v>553773.01927194861</v>
      </c>
      <c r="T2" s="272">
        <f ca="1">HLOOKUP($B2, 'J-Class25ppm_NoSCR_Filtered'!$G$5:$M$38, 24, FALSE)</f>
        <v>637.25910064239827</v>
      </c>
      <c r="U2" s="272">
        <f ca="1">HLOOKUP($B2, 'J-Class25ppm_NoSCR_Filtered'!$G$5:$M$38, 25, FALSE)</f>
        <v>5.2773019271948609</v>
      </c>
      <c r="V2" s="272">
        <f ca="1">HLOOKUP($B2, 'J-Class25ppm_NoSCR_Filtered'!$G$5:$M$38, 26, FALSE)</f>
        <v>549635.97430406848</v>
      </c>
      <c r="W2" s="272">
        <f ca="1">1-HLOOKUP($B2, 'J-Class25ppm_NoSCR_Filtered'!$G$5:$M$38, 30, FALSE)</f>
        <v>0.95660000000000001</v>
      </c>
    </row>
    <row r="3" spans="1:23" x14ac:dyDescent="0.2">
      <c r="A3" s="10" t="s">
        <v>31</v>
      </c>
      <c r="B3" s="46" t="s">
        <v>28</v>
      </c>
      <c r="C3" s="51">
        <f ca="1">HLOOKUP($B3, 'J-Class25ppm_NoSCR_Filtered'!$G$5:$M$38, 8, FALSE)</f>
        <v>9370</v>
      </c>
      <c r="D3" s="51">
        <f ca="1">HLOOKUP($B3, 'J-Class25ppm_NoSCR_Filtered'!$G$5:$M$38, 9, FALSE)</f>
        <v>9300</v>
      </c>
      <c r="E3" s="272">
        <f ca="1">HLOOKUP($B3, 'J-Class25ppm_NoSCR_Filtered'!$G$5:$M$38, 32, FALSE)</f>
        <v>0.95000000000000018</v>
      </c>
      <c r="F3" s="272">
        <f ca="1">HLOOKUP($B3, 'J-Class25ppm_NoSCR_Filtered'!$G$5:$M$38, 33, FALSE)</f>
        <v>10.76</v>
      </c>
      <c r="G3" s="272">
        <f ca="1">HLOOKUP($B3, 'J-Class25ppm_NoSCR_Filtered'!$G$5:$M$38, 4, FALSE)</f>
        <v>358.7</v>
      </c>
      <c r="H3" s="272">
        <f ca="1">HLOOKUP($B3, 'J-Class25ppm_NoSCR_Filtered'!$G$5:$M$38, 5, FALSE)</f>
        <v>370.2</v>
      </c>
      <c r="I3" s="272">
        <f>HLOOKUP($B3, 'J-Class25ppm_NoSCR_Filtered'!$G$5:$M$38, 29, FALSE)</f>
        <v>490</v>
      </c>
      <c r="J3" s="272">
        <f ca="1">HLOOKUP($B3, 'J-Class25ppm_NoSCR_Filtered'!$G$5:$M$38, 34, FALSE)</f>
        <v>26600</v>
      </c>
      <c r="K3" s="272">
        <f ca="1">HLOOKUP($B3, 'J-Class25ppm_NoSCR_Filtered'!$G$5:$M$38, 12, FALSE)</f>
        <v>331.56156316916486</v>
      </c>
      <c r="L3" s="272">
        <f ca="1">HLOOKUP($B3, 'J-Class25ppm_NoSCR_Filtered'!$G$5:$M$38, 13, FALSE)</f>
        <v>6.922162740899358</v>
      </c>
      <c r="M3" s="272">
        <f ca="1">HLOOKUP($B3, 'J-Class25ppm_NoSCR_Filtered'!$G$5:$M$38, 14, FALSE)</f>
        <v>415329.76445396146</v>
      </c>
      <c r="N3" s="272">
        <f ca="1">HLOOKUP($B3, 'J-Class25ppm_NoSCR_Filtered'!$G$5:$M$38, 16, FALSE)</f>
        <v>329.08458244111347</v>
      </c>
      <c r="O3" s="272">
        <f ca="1">HLOOKUP($B3, 'J-Class25ppm_NoSCR_Filtered'!$G$5:$M$38, 17, FALSE)</f>
        <v>6.8704496788008562</v>
      </c>
      <c r="P3" s="272">
        <f ca="1">HLOOKUP($B3, 'J-Class25ppm_NoSCR_Filtered'!$G$5:$M$38, 18, FALSE)</f>
        <v>412226.98072805139</v>
      </c>
      <c r="Q3" s="272">
        <f ca="1">HLOOKUP($B3, 'J-Class25ppm_NoSCR_Filtered'!$G$5:$M$38, 20, FALSE)</f>
        <v>642.05567451820127</v>
      </c>
      <c r="R3" s="272">
        <f ca="1">HLOOKUP($B3, 'J-Class25ppm_NoSCR_Filtered'!$G$5:$M$38, 21, FALSE)</f>
        <v>5.3170235546038542</v>
      </c>
      <c r="S3" s="272">
        <f ca="1">HLOOKUP($B3, 'J-Class25ppm_NoSCR_Filtered'!$G$5:$M$38, 22, FALSE)</f>
        <v>553773.01927194861</v>
      </c>
      <c r="T3" s="272">
        <f ca="1">HLOOKUP($B3, 'J-Class25ppm_NoSCR_Filtered'!$G$5:$M$38, 24, FALSE)</f>
        <v>637.25910064239827</v>
      </c>
      <c r="U3" s="272">
        <f ca="1">HLOOKUP($B3, 'J-Class25ppm_NoSCR_Filtered'!$G$5:$M$38, 25, FALSE)</f>
        <v>5.2773019271948609</v>
      </c>
      <c r="V3" s="272">
        <f ca="1">HLOOKUP($B3, 'J-Class25ppm_NoSCR_Filtered'!$G$5:$M$38, 26, FALSE)</f>
        <v>549635.97430406848</v>
      </c>
      <c r="W3" s="272">
        <f ca="1">1-HLOOKUP($B3, 'J-Class25ppm_NoSCR_Filtered'!$G$5:$M$38, 30, FALSE)</f>
        <v>0.95660000000000001</v>
      </c>
    </row>
    <row r="4" spans="1:23" x14ac:dyDescent="0.2">
      <c r="A4" s="10" t="s">
        <v>54</v>
      </c>
      <c r="B4" s="46" t="s">
        <v>20</v>
      </c>
      <c r="C4" s="51">
        <f ca="1">HLOOKUP($B4, 'J-Class25ppm_NoSCR_Filtered'!$G$5:$M$38, 8, FALSE)</f>
        <v>9360</v>
      </c>
      <c r="D4" s="51">
        <f ca="1">HLOOKUP($B4, 'J-Class25ppm_NoSCR_Filtered'!$G$5:$M$38, 9, FALSE)</f>
        <v>9300</v>
      </c>
      <c r="E4" s="272">
        <f ca="1">HLOOKUP($B4, 'J-Class25ppm_NoSCR_Filtered'!$G$5:$M$38, 32, FALSE)</f>
        <v>0.93000000000000016</v>
      </c>
      <c r="F4" s="272">
        <f ca="1">HLOOKUP($B4, 'J-Class25ppm_NoSCR_Filtered'!$G$5:$M$38, 33, FALSE)</f>
        <v>10.23</v>
      </c>
      <c r="G4" s="272">
        <f ca="1">HLOOKUP($B4, 'J-Class25ppm_NoSCR_Filtered'!$G$5:$M$38, 4, FALSE)</f>
        <v>357.4</v>
      </c>
      <c r="H4" s="272">
        <f ca="1">HLOOKUP($B4, 'J-Class25ppm_NoSCR_Filtered'!$G$5:$M$38, 5, FALSE)</f>
        <v>370.2</v>
      </c>
      <c r="I4" s="272">
        <f>HLOOKUP($B4, 'J-Class25ppm_NoSCR_Filtered'!$G$5:$M$38, 29, FALSE)</f>
        <v>490</v>
      </c>
      <c r="J4" s="272">
        <f ca="1">HLOOKUP($B4, 'J-Class25ppm_NoSCR_Filtered'!$G$5:$M$38, 34, FALSE)</f>
        <v>26600</v>
      </c>
      <c r="K4" s="272">
        <f ca="1">HLOOKUP($B4, 'J-Class25ppm_NoSCR_Filtered'!$G$5:$M$38, 12, FALSE)</f>
        <v>331.20770877944324</v>
      </c>
      <c r="L4" s="272">
        <f ca="1">HLOOKUP($B4, 'J-Class25ppm_NoSCR_Filtered'!$G$5:$M$38, 13, FALSE)</f>
        <v>6.9147751605995715</v>
      </c>
      <c r="M4" s="272">
        <f ca="1">HLOOKUP($B4, 'J-Class25ppm_NoSCR_Filtered'!$G$5:$M$38, 14, FALSE)</f>
        <v>412481.3704496788</v>
      </c>
      <c r="N4" s="272">
        <f ca="1">HLOOKUP($B4, 'J-Class25ppm_NoSCR_Filtered'!$G$5:$M$38, 16, FALSE)</f>
        <v>329.08458244111347</v>
      </c>
      <c r="O4" s="272">
        <f ca="1">HLOOKUP($B4, 'J-Class25ppm_NoSCR_Filtered'!$G$5:$M$38, 17, FALSE)</f>
        <v>6.8704496788008562</v>
      </c>
      <c r="P4" s="272">
        <f ca="1">HLOOKUP($B4, 'J-Class25ppm_NoSCR_Filtered'!$G$5:$M$38, 18, FALSE)</f>
        <v>409837.2591006424</v>
      </c>
      <c r="Q4" s="272">
        <f ca="1">HLOOKUP($B4, 'J-Class25ppm_NoSCR_Filtered'!$G$5:$M$38, 20, FALSE)</f>
        <v>641.37044967880081</v>
      </c>
      <c r="R4" s="272">
        <f ca="1">HLOOKUP($B4, 'J-Class25ppm_NoSCR_Filtered'!$G$5:$M$38, 21, FALSE)</f>
        <v>5.2111349036402572</v>
      </c>
      <c r="S4" s="272">
        <f ca="1">HLOOKUP($B4, 'J-Class25ppm_NoSCR_Filtered'!$G$5:$M$38, 22, FALSE)</f>
        <v>549975.16059957177</v>
      </c>
      <c r="T4" s="272">
        <f ca="1">HLOOKUP($B4, 'J-Class25ppm_NoSCR_Filtered'!$G$5:$M$38, 24, FALSE)</f>
        <v>637.25910064239827</v>
      </c>
      <c r="U4" s="272">
        <f ca="1">HLOOKUP($B4, 'J-Class25ppm_NoSCR_Filtered'!$G$5:$M$38, 25, FALSE)</f>
        <v>5.1777301927194861</v>
      </c>
      <c r="V4" s="272">
        <f ca="1">HLOOKUP($B4, 'J-Class25ppm_NoSCR_Filtered'!$G$5:$M$38, 26, FALSE)</f>
        <v>546449.67880085658</v>
      </c>
      <c r="W4" s="272">
        <f ca="1">1-HLOOKUP($B4, 'J-Class25ppm_NoSCR_Filtered'!$G$5:$M$38, 30, FALSE)</f>
        <v>0.95660000000000001</v>
      </c>
    </row>
    <row r="5" spans="1:23" x14ac:dyDescent="0.2">
      <c r="A5" s="10" t="s">
        <v>36</v>
      </c>
      <c r="B5" s="46" t="s">
        <v>21</v>
      </c>
      <c r="C5" s="51">
        <f ca="1">HLOOKUP($B5, 'J-Class25ppm_NoSCR_Filtered'!$G$5:$M$38, 8, FALSE)</f>
        <v>9360</v>
      </c>
      <c r="D5" s="51">
        <f ca="1">HLOOKUP($B5, 'J-Class25ppm_NoSCR_Filtered'!$G$5:$M$38, 9, FALSE)</f>
        <v>9300</v>
      </c>
      <c r="E5" s="272">
        <f ca="1">HLOOKUP($B5, 'J-Class25ppm_NoSCR_Filtered'!$G$5:$M$38, 32, FALSE)</f>
        <v>0.93000000000000016</v>
      </c>
      <c r="F5" s="272">
        <f ca="1">HLOOKUP($B5, 'J-Class25ppm_NoSCR_Filtered'!$G$5:$M$38, 33, FALSE)</f>
        <v>10.23</v>
      </c>
      <c r="G5" s="272">
        <f ca="1">HLOOKUP($B5, 'J-Class25ppm_NoSCR_Filtered'!$G$5:$M$38, 4, FALSE)</f>
        <v>357.4</v>
      </c>
      <c r="H5" s="272">
        <f ca="1">HLOOKUP($B5, 'J-Class25ppm_NoSCR_Filtered'!$G$5:$M$38, 5, FALSE)</f>
        <v>370.2</v>
      </c>
      <c r="I5" s="272">
        <f>HLOOKUP($B5, 'J-Class25ppm_NoSCR_Filtered'!$G$5:$M$38, 29, FALSE)</f>
        <v>490</v>
      </c>
      <c r="J5" s="272">
        <f ca="1">HLOOKUP($B5, 'J-Class25ppm_NoSCR_Filtered'!$G$5:$M$38, 34, FALSE)</f>
        <v>26600</v>
      </c>
      <c r="K5" s="272">
        <f ca="1">HLOOKUP($B5, 'J-Class25ppm_NoSCR_Filtered'!$G$5:$M$38, 12, FALSE)</f>
        <v>331.20770877944324</v>
      </c>
      <c r="L5" s="272">
        <f ca="1">HLOOKUP($B5, 'J-Class25ppm_NoSCR_Filtered'!$G$5:$M$38, 13, FALSE)</f>
        <v>6.9147751605995715</v>
      </c>
      <c r="M5" s="272">
        <f ca="1">HLOOKUP($B5, 'J-Class25ppm_NoSCR_Filtered'!$G$5:$M$38, 14, FALSE)</f>
        <v>412481.3704496788</v>
      </c>
      <c r="N5" s="272">
        <f ca="1">HLOOKUP($B5, 'J-Class25ppm_NoSCR_Filtered'!$G$5:$M$38, 16, FALSE)</f>
        <v>329.08458244111347</v>
      </c>
      <c r="O5" s="272">
        <f ca="1">HLOOKUP($B5, 'J-Class25ppm_NoSCR_Filtered'!$G$5:$M$38, 17, FALSE)</f>
        <v>6.8704496788008562</v>
      </c>
      <c r="P5" s="272">
        <f ca="1">HLOOKUP($B5, 'J-Class25ppm_NoSCR_Filtered'!$G$5:$M$38, 18, FALSE)</f>
        <v>409837.2591006424</v>
      </c>
      <c r="Q5" s="272">
        <f ca="1">HLOOKUP($B5, 'J-Class25ppm_NoSCR_Filtered'!$G$5:$M$38, 20, FALSE)</f>
        <v>641.37044967880081</v>
      </c>
      <c r="R5" s="272">
        <f ca="1">HLOOKUP($B5, 'J-Class25ppm_NoSCR_Filtered'!$G$5:$M$38, 21, FALSE)</f>
        <v>5.2111349036402572</v>
      </c>
      <c r="S5" s="272">
        <f ca="1">HLOOKUP($B5, 'J-Class25ppm_NoSCR_Filtered'!$G$5:$M$38, 22, FALSE)</f>
        <v>549975.16059957177</v>
      </c>
      <c r="T5" s="272">
        <f ca="1">HLOOKUP($B5, 'J-Class25ppm_NoSCR_Filtered'!$G$5:$M$38, 24, FALSE)</f>
        <v>637.25910064239827</v>
      </c>
      <c r="U5" s="272">
        <f ca="1">HLOOKUP($B5, 'J-Class25ppm_NoSCR_Filtered'!$G$5:$M$38, 25, FALSE)</f>
        <v>5.1777301927194861</v>
      </c>
      <c r="V5" s="272">
        <f ca="1">HLOOKUP($B5, 'J-Class25ppm_NoSCR_Filtered'!$G$5:$M$38, 26, FALSE)</f>
        <v>546449.67880085658</v>
      </c>
      <c r="W5" s="272">
        <f ca="1">1-HLOOKUP($B5, 'J-Class25ppm_NoSCR_Filtered'!$G$5:$M$38, 30, FALSE)</f>
        <v>0.95660000000000001</v>
      </c>
    </row>
    <row r="6" spans="1:23" x14ac:dyDescent="0.2">
      <c r="A6" s="10" t="s">
        <v>30</v>
      </c>
      <c r="B6" s="46" t="s">
        <v>4</v>
      </c>
      <c r="C6" s="51">
        <f ca="1">HLOOKUP($B6, 'J-Class25ppm_NoSCR_Filtered'!$G$5:$M$38, 8, FALSE)</f>
        <v>9350</v>
      </c>
      <c r="D6" s="51">
        <f ca="1">HLOOKUP($B6, 'J-Class25ppm_NoSCR_Filtered'!$G$5:$M$38, 9, FALSE)</f>
        <v>9290</v>
      </c>
      <c r="E6" s="272">
        <f ca="1">HLOOKUP($B6, 'J-Class25ppm_NoSCR_Filtered'!$G$5:$M$38, 32, FALSE)</f>
        <v>0.93000000000000016</v>
      </c>
      <c r="F6" s="272">
        <f ca="1">HLOOKUP($B6, 'J-Class25ppm_NoSCR_Filtered'!$G$5:$M$38, 33, FALSE)</f>
        <v>10.210000000000001</v>
      </c>
      <c r="G6" s="272">
        <f ca="1">HLOOKUP($B6, 'J-Class25ppm_NoSCR_Filtered'!$G$5:$M$38, 4, FALSE)</f>
        <v>357.7</v>
      </c>
      <c r="H6" s="272">
        <f ca="1">HLOOKUP($B6, 'J-Class25ppm_NoSCR_Filtered'!$G$5:$M$38, 5, FALSE)</f>
        <v>369.2</v>
      </c>
      <c r="I6" s="272">
        <f>HLOOKUP($B6, 'J-Class25ppm_NoSCR_Filtered'!$G$5:$M$38, 29, FALSE)</f>
        <v>490</v>
      </c>
      <c r="J6" s="272">
        <f ca="1">HLOOKUP($B6, 'J-Class25ppm_NoSCR_Filtered'!$G$5:$M$38, 34, FALSE)</f>
        <v>26600</v>
      </c>
      <c r="K6" s="272">
        <f ca="1">HLOOKUP($B6, 'J-Class25ppm_NoSCR_Filtered'!$G$5:$M$38, 12, FALSE)</f>
        <v>330.85385438972162</v>
      </c>
      <c r="L6" s="272">
        <f ca="1">HLOOKUP($B6, 'J-Class25ppm_NoSCR_Filtered'!$G$5:$M$38, 13, FALSE)</f>
        <v>6.8072805139186299</v>
      </c>
      <c r="M6" s="272">
        <f ca="1">HLOOKUP($B6, 'J-Class25ppm_NoSCR_Filtered'!$G$5:$M$38, 14, FALSE)</f>
        <v>410839.40042826551</v>
      </c>
      <c r="N6" s="272">
        <f ca="1">HLOOKUP($B6, 'J-Class25ppm_NoSCR_Filtered'!$G$5:$M$38, 16, FALSE)</f>
        <v>328.73072805139185</v>
      </c>
      <c r="O6" s="272">
        <f ca="1">HLOOKUP($B6, 'J-Class25ppm_NoSCR_Filtered'!$G$5:$M$38, 17, FALSE)</f>
        <v>6.7635974304068522</v>
      </c>
      <c r="P6" s="272">
        <f ca="1">HLOOKUP($B6, 'J-Class25ppm_NoSCR_Filtered'!$G$5:$M$38, 18, FALSE)</f>
        <v>408202.9978586724</v>
      </c>
      <c r="Q6" s="272">
        <f ca="1">HLOOKUP($B6, 'J-Class25ppm_NoSCR_Filtered'!$G$5:$M$38, 20, FALSE)</f>
        <v>640.68522483940046</v>
      </c>
      <c r="R6" s="272">
        <f ca="1">HLOOKUP($B6, 'J-Class25ppm_NoSCR_Filtered'!$G$5:$M$38, 21, FALSE)</f>
        <v>5.2055674518201283</v>
      </c>
      <c r="S6" s="272">
        <f ca="1">HLOOKUP($B6, 'J-Class25ppm_NoSCR_Filtered'!$G$5:$M$38, 22, FALSE)</f>
        <v>547785.86723768734</v>
      </c>
      <c r="T6" s="272">
        <f ca="1">HLOOKUP($B6, 'J-Class25ppm_NoSCR_Filtered'!$G$5:$M$38, 24, FALSE)</f>
        <v>636.5738758029978</v>
      </c>
      <c r="U6" s="272">
        <f ca="1">HLOOKUP($B6, 'J-Class25ppm_NoSCR_Filtered'!$G$5:$M$38, 25, FALSE)</f>
        <v>5.172162740899358</v>
      </c>
      <c r="V6" s="272">
        <f ca="1">HLOOKUP($B6, 'J-Class25ppm_NoSCR_Filtered'!$G$5:$M$38, 26, FALSE)</f>
        <v>544270.66381156316</v>
      </c>
      <c r="W6" s="272">
        <f ca="1">1-HLOOKUP($B6, 'J-Class25ppm_NoSCR_Filtered'!$G$5:$M$38, 30, FALSE)</f>
        <v>0.95660000000000001</v>
      </c>
    </row>
    <row r="7" spans="1:23" x14ac:dyDescent="0.2">
      <c r="A7" s="10" t="s">
        <v>29</v>
      </c>
      <c r="B7" s="46" t="s">
        <v>5</v>
      </c>
      <c r="C7" s="51">
        <f ca="1">HLOOKUP($B7, 'J-Class25ppm_NoSCR_Filtered'!$G$5:$M$38, 8, FALSE)</f>
        <v>9350</v>
      </c>
      <c r="D7" s="51">
        <f ca="1">HLOOKUP($B7, 'J-Class25ppm_NoSCR_Filtered'!$G$5:$M$38, 9, FALSE)</f>
        <v>9280</v>
      </c>
      <c r="E7" s="272">
        <f ca="1">HLOOKUP($B7, 'J-Class25ppm_NoSCR_Filtered'!$G$5:$M$38, 32, FALSE)</f>
        <v>0.92999999999999994</v>
      </c>
      <c r="F7" s="272">
        <f ca="1">HLOOKUP($B7, 'J-Class25ppm_NoSCR_Filtered'!$G$5:$M$38, 33, FALSE)</f>
        <v>10.210000000000001</v>
      </c>
      <c r="G7" s="272">
        <f ca="1">HLOOKUP($B7, 'J-Class25ppm_NoSCR_Filtered'!$G$5:$M$38, 4, FALSE)</f>
        <v>355.6</v>
      </c>
      <c r="H7" s="272">
        <f ca="1">HLOOKUP($B7, 'J-Class25ppm_NoSCR_Filtered'!$G$5:$M$38, 5, FALSE)</f>
        <v>367.4</v>
      </c>
      <c r="I7" s="272">
        <f>HLOOKUP($B7, 'J-Class25ppm_NoSCR_Filtered'!$G$5:$M$38, 29, FALSE)</f>
        <v>490</v>
      </c>
      <c r="J7" s="272">
        <f ca="1">HLOOKUP($B7, 'J-Class25ppm_NoSCR_Filtered'!$G$5:$M$38, 34, FALSE)</f>
        <v>26600</v>
      </c>
      <c r="K7" s="272">
        <f ca="1">HLOOKUP($B7, 'J-Class25ppm_NoSCR_Filtered'!$G$5:$M$38, 12, FALSE)</f>
        <v>330.85385438972162</v>
      </c>
      <c r="L7" s="272">
        <f ca="1">HLOOKUP($B7, 'J-Class25ppm_NoSCR_Filtered'!$G$5:$M$38, 13, FALSE)</f>
        <v>6.8072805139186299</v>
      </c>
      <c r="M7" s="272">
        <f ca="1">HLOOKUP($B7, 'J-Class25ppm_NoSCR_Filtered'!$G$5:$M$38, 14, FALSE)</f>
        <v>408436.83083511778</v>
      </c>
      <c r="N7" s="272">
        <f ca="1">HLOOKUP($B7, 'J-Class25ppm_NoSCR_Filtered'!$G$5:$M$38, 16, FALSE)</f>
        <v>328.37687366167023</v>
      </c>
      <c r="O7" s="272">
        <f ca="1">HLOOKUP($B7, 'J-Class25ppm_NoSCR_Filtered'!$G$5:$M$38, 17, FALSE)</f>
        <v>6.7563169164882231</v>
      </c>
      <c r="P7" s="272">
        <f ca="1">HLOOKUP($B7, 'J-Class25ppm_NoSCR_Filtered'!$G$5:$M$38, 18, FALSE)</f>
        <v>405379.01498929336</v>
      </c>
      <c r="Q7" s="272">
        <f ca="1">HLOOKUP($B7, 'J-Class25ppm_NoSCR_Filtered'!$G$5:$M$38, 20, FALSE)</f>
        <v>640.68522483940046</v>
      </c>
      <c r="R7" s="272">
        <f ca="1">HLOOKUP($B7, 'J-Class25ppm_NoSCR_Filtered'!$G$5:$M$38, 21, FALSE)</f>
        <v>5.2055674518201283</v>
      </c>
      <c r="S7" s="272">
        <f ca="1">HLOOKUP($B7, 'J-Class25ppm_NoSCR_Filtered'!$G$5:$M$38, 22, FALSE)</f>
        <v>544582.44111349038</v>
      </c>
      <c r="T7" s="272">
        <f ca="1">HLOOKUP($B7, 'J-Class25ppm_NoSCR_Filtered'!$G$5:$M$38, 24, FALSE)</f>
        <v>635.88865096359746</v>
      </c>
      <c r="U7" s="272">
        <f ca="1">HLOOKUP($B7, 'J-Class25ppm_NoSCR_Filtered'!$G$5:$M$38, 25, FALSE)</f>
        <v>5.166595289079229</v>
      </c>
      <c r="V7" s="272">
        <f ca="1">HLOOKUP($B7, 'J-Class25ppm_NoSCR_Filtered'!$G$5:$M$38, 26, FALSE)</f>
        <v>540505.35331905785</v>
      </c>
      <c r="W7" s="272">
        <f ca="1">1-HLOOKUP($B7, 'J-Class25ppm_NoSCR_Filtered'!$G$5:$M$38, 30, FALSE)</f>
        <v>0.95660000000000001</v>
      </c>
    </row>
  </sheetData>
  <pageMargins left="0.7" right="0.7" top="0.75" bottom="0.75" header="0.3" footer="0.3"/>
  <pageSetup scale="59" fitToWidth="2"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4"/>
  <sheetViews>
    <sheetView workbookViewId="0"/>
  </sheetViews>
  <sheetFormatPr defaultRowHeight="12.75" x14ac:dyDescent="0.2"/>
  <cols>
    <col min="1" max="1" width="7.1640625" style="10" bestFit="1" customWidth="1"/>
    <col min="2" max="2" width="19.83203125" style="10" bestFit="1" customWidth="1"/>
    <col min="3" max="4" width="15.6640625" style="10" bestFit="1" customWidth="1"/>
    <col min="5" max="5" width="15.33203125" style="10" bestFit="1" customWidth="1"/>
    <col min="6" max="6" width="16.1640625" style="10" bestFit="1" customWidth="1"/>
    <col min="7" max="8" width="17.83203125" style="10" bestFit="1" customWidth="1"/>
    <col min="9" max="9" width="23.83203125" style="10" bestFit="1" customWidth="1"/>
    <col min="10" max="10" width="23.33203125" style="10" bestFit="1" customWidth="1"/>
    <col min="11" max="11" width="21.6640625" style="10" bestFit="1" customWidth="1"/>
    <col min="12" max="12" width="20.83203125" style="10" bestFit="1" customWidth="1"/>
    <col min="13" max="13" width="21.1640625" style="10" bestFit="1" customWidth="1"/>
    <col min="14" max="14" width="21.6640625" style="10" bestFit="1" customWidth="1"/>
    <col min="15" max="15" width="20.83203125" style="10" bestFit="1" customWidth="1"/>
    <col min="16" max="16" width="21.1640625" style="10" bestFit="1" customWidth="1"/>
    <col min="17" max="17" width="22.5" style="10" bestFit="1" customWidth="1"/>
    <col min="18" max="18" width="21.5" style="10" bestFit="1" customWidth="1"/>
    <col min="19" max="19" width="22" style="10" bestFit="1" customWidth="1"/>
    <col min="20" max="20" width="22.5" style="10" bestFit="1" customWidth="1"/>
    <col min="21" max="21" width="21.5" style="10" bestFit="1" customWidth="1"/>
    <col min="22" max="22" width="22" style="10" bestFit="1" customWidth="1"/>
    <col min="23" max="23" width="13.33203125" style="10" bestFit="1" customWidth="1"/>
    <col min="24" max="16384" width="9.33203125" style="10"/>
  </cols>
  <sheetData>
    <row r="1" spans="1:23" x14ac:dyDescent="0.2">
      <c r="A1" s="47" t="s">
        <v>35</v>
      </c>
      <c r="B1" s="47" t="s">
        <v>53</v>
      </c>
      <c r="C1" s="49" t="s">
        <v>366</v>
      </c>
      <c r="D1" s="49" t="s">
        <v>367</v>
      </c>
      <c r="E1" s="49" t="s">
        <v>368</v>
      </c>
      <c r="F1" s="49" t="s">
        <v>369</v>
      </c>
      <c r="G1" s="49" t="s">
        <v>390</v>
      </c>
      <c r="H1" s="49" t="s">
        <v>391</v>
      </c>
      <c r="I1" s="49" t="s">
        <v>370</v>
      </c>
      <c r="J1" s="48" t="s">
        <v>399</v>
      </c>
      <c r="K1" s="49" t="s">
        <v>371</v>
      </c>
      <c r="L1" s="49" t="s">
        <v>372</v>
      </c>
      <c r="M1" s="49" t="s">
        <v>373</v>
      </c>
      <c r="N1" s="49" t="s">
        <v>374</v>
      </c>
      <c r="O1" s="49" t="s">
        <v>375</v>
      </c>
      <c r="P1" s="49" t="s">
        <v>376</v>
      </c>
      <c r="Q1" s="49" t="s">
        <v>377</v>
      </c>
      <c r="R1" s="49" t="s">
        <v>378</v>
      </c>
      <c r="S1" s="49" t="s">
        <v>379</v>
      </c>
      <c r="T1" s="49" t="s">
        <v>380</v>
      </c>
      <c r="U1" s="49" t="s">
        <v>381</v>
      </c>
      <c r="V1" s="49" t="s">
        <v>382</v>
      </c>
      <c r="W1" s="49" t="s">
        <v>383</v>
      </c>
    </row>
    <row r="2" spans="1:23" x14ac:dyDescent="0.2">
      <c r="A2" s="10" t="s">
        <v>54</v>
      </c>
      <c r="B2" s="46" t="s">
        <v>20</v>
      </c>
      <c r="C2" s="51">
        <f ca="1">HLOOKUP($B2, 'J-Class15ppm_NoSCR_Filtered'!$G$5:$J$38, 8, FALSE)</f>
        <v>9390</v>
      </c>
      <c r="D2" s="51">
        <f ca="1">HLOOKUP($B2, 'J-Class15ppm_NoSCR_Filtered'!$G$5:$J$38, 9, FALSE)</f>
        <v>9340</v>
      </c>
      <c r="E2" s="272">
        <f ca="1">HLOOKUP($B2, 'J-Class15ppm_NoSCR_Filtered'!$G$5:$J$38, 32, FALSE)</f>
        <v>0.93</v>
      </c>
      <c r="F2" s="272">
        <f ca="1">HLOOKUP($B2, 'J-Class15ppm_NoSCR_Filtered'!$G$5:$J$38, 33, FALSE)</f>
        <v>10.210000000000001</v>
      </c>
      <c r="G2" s="272">
        <f ca="1">HLOOKUP($B2, 'J-Class15ppm_NoSCR_Filtered'!$G$5:$J$38, 4, FALSE)</f>
        <v>340.9</v>
      </c>
      <c r="H2" s="272">
        <f ca="1">HLOOKUP($B2, 'J-Class15ppm_NoSCR_Filtered'!$G$5:$J$38, 5, FALSE)</f>
        <v>350.5</v>
      </c>
      <c r="I2" s="272">
        <f>HLOOKUP($B2, 'J-Class15ppm_NoSCR_Filtered'!$G$5:$J$38, 29, FALSE)</f>
        <v>490</v>
      </c>
      <c r="J2" s="272">
        <f ca="1">HLOOKUP($B2, 'J-Class15ppm_NoSCR_Filtered'!$G$5:$J$38, 34, FALSE)</f>
        <v>26600</v>
      </c>
      <c r="K2" s="272">
        <f ca="1">HLOOKUP($B2, 'J-Class15ppm_NoSCR_Filtered'!$G$5:$J$38, 12, FALSE)</f>
        <v>189.60963597430407</v>
      </c>
      <c r="L2" s="272">
        <f ca="1">HLOOKUP($B2, 'J-Class15ppm_NoSCR_Filtered'!$G$5:$J$38, 13, FALSE)</f>
        <v>6.4342612419700211</v>
      </c>
      <c r="M2" s="272">
        <f ca="1">HLOOKUP($B2, 'J-Class15ppm_NoSCR_Filtered'!$G$5:$J$38, 14, FALSE)</f>
        <v>387262.09850107064</v>
      </c>
      <c r="N2" s="272">
        <f ca="1">HLOOKUP($B2, 'J-Class15ppm_NoSCR_Filtered'!$G$5:$J$38, 16, FALSE)</f>
        <v>188.6</v>
      </c>
      <c r="O2" s="272">
        <f ca="1">HLOOKUP($B2, 'J-Class15ppm_NoSCR_Filtered'!$G$5:$J$38, 17, FALSE)</f>
        <v>6.4</v>
      </c>
      <c r="P2" s="272">
        <f ca="1">HLOOKUP($B2, 'J-Class15ppm_NoSCR_Filtered'!$G$5:$J$38, 18, FALSE)</f>
        <v>385200</v>
      </c>
      <c r="Q2" s="272">
        <f ca="1">HLOOKUP($B2, 'J-Class15ppm_NoSCR_Filtered'!$G$5:$J$38, 20, FALSE)</f>
        <v>643.4261241970022</v>
      </c>
      <c r="R2" s="272">
        <f ca="1">HLOOKUP($B2, 'J-Class15ppm_NoSCR_Filtered'!$G$5:$J$38, 21, FALSE)</f>
        <v>4.9262312633832979</v>
      </c>
      <c r="S2" s="272">
        <f ca="1">HLOOKUP($B2, 'J-Class15ppm_NoSCR_Filtered'!$G$5:$J$38, 22, FALSE)</f>
        <v>516349.46466809424</v>
      </c>
      <c r="T2" s="272">
        <f ca="1">HLOOKUP($B2, 'J-Class15ppm_NoSCR_Filtered'!$G$5:$J$38, 24, FALSE)</f>
        <v>640</v>
      </c>
      <c r="U2" s="272">
        <f ca="1">HLOOKUP($B2, 'J-Class15ppm_NoSCR_Filtered'!$G$5:$J$38, 25, FALSE)</f>
        <v>4.9000000000000004</v>
      </c>
      <c r="V2" s="272">
        <f ca="1">HLOOKUP($B2, 'J-Class15ppm_NoSCR_Filtered'!$G$5:$J$38, 26, FALSE)</f>
        <v>513600</v>
      </c>
      <c r="W2" s="272">
        <f ca="1">1-HLOOKUP($B2, 'J-Class15ppm_NoSCR_Filtered'!$G$5:$J$38, 30, FALSE)</f>
        <v>0.95660000000000001</v>
      </c>
    </row>
    <row r="3" spans="1:23" x14ac:dyDescent="0.2">
      <c r="A3" s="10" t="s">
        <v>30</v>
      </c>
      <c r="B3" s="46" t="s">
        <v>4</v>
      </c>
      <c r="C3" s="51">
        <f ca="1">HLOOKUP($B3, 'J-Class15ppm_NoSCR_Filtered'!$G$5:$J$38, 8, FALSE)</f>
        <v>9390</v>
      </c>
      <c r="D3" s="51">
        <f ca="1">HLOOKUP($B3, 'J-Class15ppm_NoSCR_Filtered'!$G$5:$J$38, 9, FALSE)</f>
        <v>9320</v>
      </c>
      <c r="E3" s="272">
        <f ca="1">HLOOKUP($B3, 'J-Class15ppm_NoSCR_Filtered'!$G$5:$J$38, 32, FALSE)</f>
        <v>0.93</v>
      </c>
      <c r="F3" s="272">
        <f ca="1">HLOOKUP($B3, 'J-Class15ppm_NoSCR_Filtered'!$G$5:$J$38, 33, FALSE)</f>
        <v>10.210000000000001</v>
      </c>
      <c r="G3" s="272">
        <f ca="1">HLOOKUP($B3, 'J-Class15ppm_NoSCR_Filtered'!$G$5:$J$38, 4, FALSE)</f>
        <v>341.2</v>
      </c>
      <c r="H3" s="272">
        <f ca="1">HLOOKUP($B3, 'J-Class15ppm_NoSCR_Filtered'!$G$5:$J$38, 5, FALSE)</f>
        <v>351</v>
      </c>
      <c r="I3" s="272">
        <f>HLOOKUP($B3, 'J-Class15ppm_NoSCR_Filtered'!$G$5:$J$38, 29, FALSE)</f>
        <v>490</v>
      </c>
      <c r="J3" s="272">
        <f ca="1">HLOOKUP($B3, 'J-Class15ppm_NoSCR_Filtered'!$G$5:$J$38, 34, FALSE)</f>
        <v>26600</v>
      </c>
      <c r="K3" s="272">
        <f ca="1">HLOOKUP($B3, 'J-Class15ppm_NoSCR_Filtered'!$G$5:$J$38, 12, FALSE)</f>
        <v>189.4068449197861</v>
      </c>
      <c r="L3" s="272">
        <f ca="1">HLOOKUP($B3, 'J-Class15ppm_NoSCR_Filtered'!$G$5:$J$38, 13, FALSE)</f>
        <v>6.4273796791443853</v>
      </c>
      <c r="M3" s="272">
        <f ca="1">HLOOKUP($B3, 'J-Class15ppm_NoSCR_Filtered'!$G$5:$J$38, 14, FALSE)</f>
        <v>385642.78074866312</v>
      </c>
      <c r="N3" s="272">
        <f ca="1">HLOOKUP($B3, 'J-Class15ppm_NoSCR_Filtered'!$G$5:$J$38, 16, FALSE)</f>
        <v>187.99486631016043</v>
      </c>
      <c r="O3" s="272">
        <f ca="1">HLOOKUP($B3, 'J-Class15ppm_NoSCR_Filtered'!$G$5:$J$38, 17, FALSE)</f>
        <v>6.3794652406417116</v>
      </c>
      <c r="P3" s="272">
        <f ca="1">HLOOKUP($B3, 'J-Class15ppm_NoSCR_Filtered'!$G$5:$J$38, 18, FALSE)</f>
        <v>382767.91443850269</v>
      </c>
      <c r="Q3" s="272">
        <f ca="1">HLOOKUP($B3, 'J-Class15ppm_NoSCR_Filtered'!$G$5:$J$38, 20, FALSE)</f>
        <v>642.73796791443851</v>
      </c>
      <c r="R3" s="272">
        <f ca="1">HLOOKUP($B3, 'J-Class15ppm_NoSCR_Filtered'!$G$5:$J$38, 21, FALSE)</f>
        <v>4.9209625668449197</v>
      </c>
      <c r="S3" s="272">
        <f ca="1">HLOOKUP($B3, 'J-Class15ppm_NoSCR_Filtered'!$G$5:$J$38, 22, FALSE)</f>
        <v>514190.37433155079</v>
      </c>
      <c r="T3" s="272">
        <f ca="1">HLOOKUP($B3, 'J-Class15ppm_NoSCR_Filtered'!$G$5:$J$38, 24, FALSE)</f>
        <v>637.94652406417117</v>
      </c>
      <c r="U3" s="272">
        <f ca="1">HLOOKUP($B3, 'J-Class15ppm_NoSCR_Filtered'!$G$5:$J$38, 25, FALSE)</f>
        <v>4.8842780748663106</v>
      </c>
      <c r="V3" s="272">
        <f ca="1">HLOOKUP($B3, 'J-Class15ppm_NoSCR_Filtered'!$G$5:$J$38, 26, FALSE)</f>
        <v>510357.21925133688</v>
      </c>
      <c r="W3" s="272">
        <f ca="1">1-HLOOKUP($B3, 'J-Class15ppm_NoSCR_Filtered'!$G$5:$J$38, 30, FALSE)</f>
        <v>0.95660000000000001</v>
      </c>
    </row>
    <row r="4" spans="1:23" x14ac:dyDescent="0.2">
      <c r="A4" s="10" t="s">
        <v>29</v>
      </c>
      <c r="B4" s="46" t="s">
        <v>5</v>
      </c>
      <c r="C4" s="51">
        <f ca="1">HLOOKUP($B4, 'J-Class15ppm_NoSCR_Filtered'!$G$5:$J$38, 8, FALSE)</f>
        <v>9370</v>
      </c>
      <c r="D4" s="51">
        <f ca="1">HLOOKUP($B4, 'J-Class15ppm_NoSCR_Filtered'!$G$5:$J$38, 9, FALSE)</f>
        <v>9320</v>
      </c>
      <c r="E4" s="272">
        <f ca="1">HLOOKUP($B4, 'J-Class15ppm_NoSCR_Filtered'!$G$5:$J$38, 32, FALSE)</f>
        <v>0.93</v>
      </c>
      <c r="F4" s="272">
        <f ca="1">HLOOKUP($B4, 'J-Class15ppm_NoSCR_Filtered'!$G$5:$J$38, 33, FALSE)</f>
        <v>10.210000000000001</v>
      </c>
      <c r="G4" s="272">
        <f ca="1">HLOOKUP($B4, 'J-Class15ppm_NoSCR_Filtered'!$G$5:$J$38, 4, FALSE)</f>
        <v>338</v>
      </c>
      <c r="H4" s="272">
        <f ca="1">HLOOKUP($B4, 'J-Class15ppm_NoSCR_Filtered'!$G$5:$J$38, 5, FALSE)</f>
        <v>346.1</v>
      </c>
      <c r="I4" s="272">
        <f>HLOOKUP($B4, 'J-Class15ppm_NoSCR_Filtered'!$G$5:$J$38, 29, FALSE)</f>
        <v>490</v>
      </c>
      <c r="J4" s="272">
        <f ca="1">HLOOKUP($B4, 'J-Class15ppm_NoSCR_Filtered'!$G$5:$J$38, 34, FALSE)</f>
        <v>26600</v>
      </c>
      <c r="K4" s="272">
        <f ca="1">HLOOKUP($B4, 'J-Class15ppm_NoSCR_Filtered'!$G$5:$J$38, 12, FALSE)</f>
        <v>189.20578158458244</v>
      </c>
      <c r="L4" s="272">
        <f ca="1">HLOOKUP($B4, 'J-Class15ppm_NoSCR_Filtered'!$G$5:$J$38, 13, FALSE)</f>
        <v>6.4205567451820125</v>
      </c>
      <c r="M4" s="272">
        <f ca="1">HLOOKUP($B4, 'J-Class15ppm_NoSCR_Filtered'!$G$5:$J$38, 14, FALSE)</f>
        <v>382825.69593147753</v>
      </c>
      <c r="N4" s="272">
        <f ca="1">HLOOKUP($B4, 'J-Class15ppm_NoSCR_Filtered'!$G$5:$J$38, 16, FALSE)</f>
        <v>188.19614561027836</v>
      </c>
      <c r="O4" s="272">
        <f ca="1">HLOOKUP($B4, 'J-Class15ppm_NoSCR_Filtered'!$G$5:$J$38, 17, FALSE)</f>
        <v>6.3862955032119917</v>
      </c>
      <c r="P4" s="272">
        <f ca="1">HLOOKUP($B4, 'J-Class15ppm_NoSCR_Filtered'!$G$5:$J$38, 18, FALSE)</f>
        <v>380782.869379015</v>
      </c>
      <c r="Q4" s="272">
        <f ca="1">HLOOKUP($B4, 'J-Class15ppm_NoSCR_Filtered'!$G$5:$J$38, 20, FALSE)</f>
        <v>642.05567451820127</v>
      </c>
      <c r="R4" s="272">
        <f ca="1">HLOOKUP($B4, 'J-Class15ppm_NoSCR_Filtered'!$G$5:$J$38, 21, FALSE)</f>
        <v>4.8154175588865096</v>
      </c>
      <c r="S4" s="272">
        <f ca="1">HLOOKUP($B4, 'J-Class15ppm_NoSCR_Filtered'!$G$5:$J$38, 22, FALSE)</f>
        <v>510434.26124197</v>
      </c>
      <c r="T4" s="272">
        <f ca="1">HLOOKUP($B4, 'J-Class15ppm_NoSCR_Filtered'!$G$5:$J$38, 24, FALSE)</f>
        <v>638.62955032119919</v>
      </c>
      <c r="U4" s="272">
        <f ca="1">HLOOKUP($B4, 'J-Class15ppm_NoSCR_Filtered'!$G$5:$J$38, 25, FALSE)</f>
        <v>4.7897216274089933</v>
      </c>
      <c r="V4" s="272">
        <f ca="1">HLOOKUP($B4, 'J-Class15ppm_NoSCR_Filtered'!$G$5:$J$38, 26, FALSE)</f>
        <v>507710.49250535329</v>
      </c>
      <c r="W4" s="272">
        <f ca="1">1-HLOOKUP($B4, 'J-Class15ppm_NoSCR_Filtered'!$G$5:$J$38, 30, FALSE)</f>
        <v>0.95660000000000001</v>
      </c>
    </row>
  </sheetData>
  <pageMargins left="0.7" right="0.7" top="0.75" bottom="0.75" header="0.3" footer="0.3"/>
  <pageSetup scale="59" fitToWidth="2"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N7"/>
  <sheetViews>
    <sheetView workbookViewId="0"/>
  </sheetViews>
  <sheetFormatPr defaultRowHeight="12.75" x14ac:dyDescent="0.2"/>
  <cols>
    <col min="1" max="1" width="7" style="10" bestFit="1" customWidth="1"/>
    <col min="2" max="2" width="18.83203125" style="10" bestFit="1" customWidth="1"/>
    <col min="3" max="3" width="14.6640625" style="10" bestFit="1" customWidth="1"/>
    <col min="4" max="4" width="14.33203125" style="10" bestFit="1" customWidth="1"/>
    <col min="5" max="5" width="14.1640625" style="10" bestFit="1" customWidth="1"/>
    <col min="6" max="6" width="14.6640625" style="10" bestFit="1" customWidth="1"/>
    <col min="7" max="7" width="16" style="10" bestFit="1" customWidth="1"/>
    <col min="8" max="8" width="15.6640625" style="10" bestFit="1" customWidth="1"/>
    <col min="9" max="9" width="16.5" style="10" bestFit="1" customWidth="1"/>
    <col min="10" max="10" width="22" style="10" bestFit="1" customWidth="1"/>
    <col min="11" max="11" width="20.83203125" style="10" bestFit="1" customWidth="1"/>
    <col min="12" max="12" width="20.5" style="10" bestFit="1" customWidth="1"/>
    <col min="13" max="13" width="19.6640625" style="10" bestFit="1" customWidth="1"/>
    <col min="14" max="14" width="19.83203125" style="10" bestFit="1" customWidth="1"/>
    <col min="15" max="15" width="20.1640625" style="10" bestFit="1" customWidth="1"/>
    <col min="16" max="16" width="19.33203125" style="10" bestFit="1" customWidth="1"/>
    <col min="17" max="17" width="19.5" style="10" bestFit="1" customWidth="1"/>
    <col min="18" max="18" width="21" style="10" bestFit="1" customWidth="1"/>
    <col min="19" max="19" width="20.1640625" style="10" bestFit="1" customWidth="1"/>
    <col min="20" max="20" width="20.33203125" style="10" bestFit="1" customWidth="1"/>
    <col min="21" max="21" width="20.6640625" style="10" bestFit="1" customWidth="1"/>
    <col min="22" max="22" width="19.83203125" style="10" bestFit="1" customWidth="1"/>
    <col min="23" max="23" width="20" style="10" bestFit="1" customWidth="1"/>
    <col min="24" max="24" width="12.1640625" style="10" bestFit="1" customWidth="1"/>
    <col min="25" max="25" width="20.1640625" style="10" bestFit="1" customWidth="1"/>
    <col min="26" max="26" width="19.83203125" style="10" bestFit="1" customWidth="1"/>
    <col min="27" max="27" width="26.1640625" style="10" bestFit="1" customWidth="1"/>
    <col min="28" max="28" width="25.1640625" style="10" bestFit="1" customWidth="1"/>
    <col min="29" max="29" width="25.33203125" style="10" bestFit="1" customWidth="1"/>
    <col min="30" max="30" width="25.83203125" style="10" bestFit="1" customWidth="1"/>
    <col min="31" max="31" width="24.83203125" style="10" bestFit="1" customWidth="1"/>
    <col min="32" max="32" width="25" style="10" bestFit="1" customWidth="1"/>
    <col min="33" max="33" width="26.6640625" style="10" bestFit="1" customWidth="1"/>
    <col min="34" max="34" width="25.83203125" style="10" bestFit="1" customWidth="1"/>
    <col min="35" max="35" width="26" style="10" bestFit="1" customWidth="1"/>
    <col min="36" max="36" width="26.33203125" style="10" bestFit="1" customWidth="1"/>
    <col min="37" max="37" width="25.33203125" style="10" bestFit="1" customWidth="1"/>
    <col min="38" max="38" width="25.5" style="10" bestFit="1" customWidth="1"/>
    <col min="39" max="39" width="21.6640625" style="10" bestFit="1" customWidth="1"/>
    <col min="40" max="40" width="21.1640625" style="10" bestFit="1" customWidth="1"/>
    <col min="41" max="16384" width="9.33203125" style="10"/>
  </cols>
  <sheetData>
    <row r="1" spans="1:40" x14ac:dyDescent="0.2">
      <c r="A1" s="47" t="s">
        <v>35</v>
      </c>
      <c r="B1" s="47" t="s">
        <v>53</v>
      </c>
      <c r="C1" s="49" t="s">
        <v>293</v>
      </c>
      <c r="D1" s="49" t="s">
        <v>294</v>
      </c>
      <c r="E1" s="49" t="s">
        <v>295</v>
      </c>
      <c r="F1" s="49" t="s">
        <v>296</v>
      </c>
      <c r="G1" s="49" t="s">
        <v>392</v>
      </c>
      <c r="H1" s="49" t="s">
        <v>393</v>
      </c>
      <c r="I1" s="49" t="s">
        <v>422</v>
      </c>
      <c r="J1" s="49" t="s">
        <v>297</v>
      </c>
      <c r="K1" s="48" t="s">
        <v>400</v>
      </c>
      <c r="L1" s="49" t="s">
        <v>298</v>
      </c>
      <c r="M1" s="49" t="s">
        <v>299</v>
      </c>
      <c r="N1" s="49" t="s">
        <v>300</v>
      </c>
      <c r="O1" s="49" t="s">
        <v>301</v>
      </c>
      <c r="P1" s="49" t="s">
        <v>302</v>
      </c>
      <c r="Q1" s="49" t="s">
        <v>303</v>
      </c>
      <c r="R1" s="49" t="s">
        <v>304</v>
      </c>
      <c r="S1" s="49" t="s">
        <v>305</v>
      </c>
      <c r="T1" s="49" t="s">
        <v>306</v>
      </c>
      <c r="U1" s="49" t="s">
        <v>307</v>
      </c>
      <c r="V1" s="49" t="s">
        <v>308</v>
      </c>
      <c r="W1" s="49" t="s">
        <v>309</v>
      </c>
      <c r="X1" s="49" t="s">
        <v>310</v>
      </c>
      <c r="Y1" s="49" t="s">
        <v>311</v>
      </c>
      <c r="Z1" s="49" t="s">
        <v>312</v>
      </c>
      <c r="AA1" s="49" t="s">
        <v>423</v>
      </c>
      <c r="AB1" s="49" t="s">
        <v>428</v>
      </c>
      <c r="AC1" s="49" t="s">
        <v>429</v>
      </c>
      <c r="AD1" s="49" t="s">
        <v>430</v>
      </c>
      <c r="AE1" s="49" t="s">
        <v>431</v>
      </c>
      <c r="AF1" s="49" t="s">
        <v>432</v>
      </c>
      <c r="AG1" s="49" t="s">
        <v>433</v>
      </c>
      <c r="AH1" s="49" t="s">
        <v>434</v>
      </c>
      <c r="AI1" s="49" t="s">
        <v>435</v>
      </c>
      <c r="AJ1" s="49" t="s">
        <v>436</v>
      </c>
      <c r="AK1" s="49" t="s">
        <v>437</v>
      </c>
      <c r="AL1" s="49" t="s">
        <v>438</v>
      </c>
      <c r="AM1" s="49" t="s">
        <v>394</v>
      </c>
      <c r="AN1" s="49" t="s">
        <v>395</v>
      </c>
    </row>
    <row r="2" spans="1:40" x14ac:dyDescent="0.2">
      <c r="A2" s="10" t="s">
        <v>32</v>
      </c>
      <c r="B2" s="46" t="s">
        <v>3</v>
      </c>
      <c r="C2" s="51">
        <f ca="1">HLOOKUP($B2, 'J-Class_CC_Filtered'!$G$5:$L$63, 12, FALSE)</f>
        <v>6370</v>
      </c>
      <c r="D2" s="51">
        <f ca="1">HLOOKUP($B2, 'J-Class_CC_Filtered'!$G$5:$L$63, 13, FALSE)</f>
        <v>6340</v>
      </c>
      <c r="E2" s="272">
        <f ca="1">HLOOKUP($B2, 'J-Class_CC_Filtered'!$G$5:$L$63, 56, FALSE)</f>
        <v>1.58</v>
      </c>
      <c r="F2" s="272">
        <f ca="1">HLOOKUP($B2, 'J-Class_CC_Filtered'!$G$5:$L$63, 57, FALSE)</f>
        <v>2.48</v>
      </c>
      <c r="G2" s="272">
        <f ca="1">HLOOKUP($B2, 'J-Class_CC_Filtered'!$G$5:$L$63, 4, FALSE)</f>
        <v>517.9</v>
      </c>
      <c r="H2" s="272">
        <f ca="1">HLOOKUP($B2, 'J-Class_CC_Filtered'!$G$5:$L$63, 5, FALSE)</f>
        <v>547.79999999999995</v>
      </c>
      <c r="I2" s="272">
        <f ca="1">HLOOKUP($B2, 'J-Class_CC_Filtered'!$G$5:$L$63, 58, FALSE)</f>
        <v>600</v>
      </c>
      <c r="J2" s="272">
        <f>HLOOKUP($B2, 'J-Class_CC_Filtered'!$G$5:$L$63, 53, FALSE)</f>
        <v>3490</v>
      </c>
      <c r="K2" s="272">
        <f ca="1">HLOOKUP($B2, 'J-Class_CC_Filtered'!$G$5:$L$63, 59, FALSE)</f>
        <v>26600</v>
      </c>
      <c r="L2" s="272">
        <f ca="1">HLOOKUP($B2, 'J-Class_CC_Filtered'!$G$5:$L$63, 20, FALSE)</f>
        <v>26.693333333333332</v>
      </c>
      <c r="M2" s="272">
        <f ca="1">HLOOKUP($B2, 'J-Class_CC_Filtered'!$G$5:$L$63, 21, FALSE)</f>
        <v>6.8755555555555556</v>
      </c>
      <c r="N2" s="272">
        <f ca="1">HLOOKUP($B2, 'J-Class_CC_Filtered'!$G$5:$L$63, 22, FALSE)</f>
        <v>411320</v>
      </c>
      <c r="O2" s="272">
        <f ca="1">HLOOKUP($B2, 'J-Class_CC_Filtered'!$G$5:$L$63, 24, FALSE)</f>
        <v>26.567619047619047</v>
      </c>
      <c r="P2" s="272">
        <f ca="1">HLOOKUP($B2, 'J-Class_CC_Filtered'!$G$5:$L$63, 25, FALSE)</f>
        <v>6.843174603174603</v>
      </c>
      <c r="Q2" s="272">
        <f ca="1">HLOOKUP($B2, 'J-Class_CC_Filtered'!$G$5:$L$63, 26, FALSE)</f>
        <v>409382.85714285716</v>
      </c>
      <c r="R2" s="272">
        <f ca="1">HLOOKUP($B2, 'J-Class_CC_Filtered'!$G$5:$L$63, 28, FALSE)</f>
        <v>97.066666666666663</v>
      </c>
      <c r="S2" s="272">
        <f ca="1">HLOOKUP($B2, 'J-Class_CC_Filtered'!$G$5:$L$63, 29, FALSE)</f>
        <v>5.358888888888889</v>
      </c>
      <c r="T2" s="272">
        <f ca="1">HLOOKUP($B2, 'J-Class_CC_Filtered'!$G$5:$L$63, 30, FALSE)</f>
        <v>558133.33333333337</v>
      </c>
      <c r="U2" s="272">
        <f ca="1">HLOOKUP($B2, 'J-Class_CC_Filtered'!$G$5:$L$63, 32, FALSE)</f>
        <v>96.609523809523807</v>
      </c>
      <c r="V2" s="272">
        <f ca="1">HLOOKUP($B2, 'J-Class_CC_Filtered'!$G$5:$L$63, 33, FALSE)</f>
        <v>5.3336507936507935</v>
      </c>
      <c r="W2" s="272">
        <f ca="1">HLOOKUP($B2, 'J-Class_CC_Filtered'!$G$5:$L$63, 34, FALSE)</f>
        <v>555504.76190476189</v>
      </c>
      <c r="X2" s="272">
        <f ca="1">1-HLOOKUP($B2, 'J-Class_CC_Filtered'!$G$5:$L$63, 54, FALSE)</f>
        <v>0.9708</v>
      </c>
      <c r="Y2" s="272">
        <f ca="1">HLOOKUP($B2, 'J-Class_CC_Filtered'!$G$5:$L$63, 16, FALSE)</f>
        <v>7130</v>
      </c>
      <c r="Z2" s="272">
        <f ca="1">HLOOKUP($B2, 'J-Class_CC_Filtered'!$G$5:$L$63, 17, FALSE)</f>
        <v>7540</v>
      </c>
      <c r="AA2" s="272">
        <f ca="1">HLOOKUP($B2, 'J-Class_CC_Filtered'!$G$5:$L$63, 36, FALSE)</f>
        <v>29.878095238095238</v>
      </c>
      <c r="AB2" s="272">
        <f ca="1">HLOOKUP($B2, 'J-Class_CC_Filtered'!$G$5:$L$63, 37, FALSE)</f>
        <v>7.6958730158730155</v>
      </c>
      <c r="AC2" s="272">
        <f ca="1">HLOOKUP($B2, 'J-Class_CC_Filtered'!$G$5:$L$63, 38, FALSE)</f>
        <v>460394.28571428574</v>
      </c>
      <c r="AD2" s="272">
        <f ca="1">HLOOKUP($B2, 'J-Class_CC_Filtered'!$G$5:$L$63, 40, FALSE)</f>
        <v>31.596190476190475</v>
      </c>
      <c r="AE2" s="272">
        <f ca="1">HLOOKUP($B2, 'J-Class_CC_Filtered'!$G$5:$L$63, 41, FALSE)</f>
        <v>8.138412698412699</v>
      </c>
      <c r="AF2" s="272">
        <f ca="1">HLOOKUP($B2, 'J-Class_CC_Filtered'!$G$5:$L$63, 42, FALSE)</f>
        <v>486868.57142857142</v>
      </c>
      <c r="AG2" s="272">
        <f ca="1">HLOOKUP($B2, 'J-Class_CC_Filtered'!$G$5:$L$63, 44, FALSE)</f>
        <v>108.64761904761905</v>
      </c>
      <c r="AH2" s="272">
        <f ca="1">HLOOKUP($B2, 'J-Class_CC_Filtered'!$G$5:$L$63, 45, FALSE)</f>
        <v>5.9982539682539686</v>
      </c>
      <c r="AI2" s="272">
        <f ca="1">HLOOKUP($B2, 'J-Class_CC_Filtered'!$G$5:$L$63, 46, FALSE)</f>
        <v>624723.80952380947</v>
      </c>
      <c r="AJ2" s="272">
        <f ca="1">HLOOKUP($B2, 'J-Class_CC_Filtered'!$G$5:$L$63, 48, FALSE)</f>
        <v>114.8952380952381</v>
      </c>
      <c r="AK2" s="272">
        <f ca="1">HLOOKUP($B2, 'J-Class_CC_Filtered'!$G$5:$L$63, 49, FALSE)</f>
        <v>6.343174603174603</v>
      </c>
      <c r="AL2" s="272">
        <f ca="1">HLOOKUP($B2, 'J-Class_CC_Filtered'!$G$5:$L$63, 50, FALSE)</f>
        <v>660647.61904761905</v>
      </c>
      <c r="AM2" s="272">
        <f ca="1">HLOOKUP($B2, 'J-Class_CC_Filtered'!$G$5:$L$63, 8, FALSE)</f>
        <v>235.7</v>
      </c>
      <c r="AN2" s="272">
        <f ca="1">HLOOKUP($B2, 'J-Class_CC_Filtered'!$G$5:$L$63, 9, FALSE)</f>
        <v>199.5</v>
      </c>
    </row>
    <row r="3" spans="1:40" x14ac:dyDescent="0.2">
      <c r="A3" s="10" t="s">
        <v>31</v>
      </c>
      <c r="B3" s="46" t="s">
        <v>28</v>
      </c>
      <c r="C3" s="51">
        <f ca="1">HLOOKUP($B3, 'J-Class_CC_Filtered'!$G$5:$L$63, 12, FALSE)</f>
        <v>6370</v>
      </c>
      <c r="D3" s="51">
        <f ca="1">HLOOKUP($B3, 'J-Class_CC_Filtered'!$G$5:$L$63, 13, FALSE)</f>
        <v>6350</v>
      </c>
      <c r="E3" s="272">
        <f ca="1">HLOOKUP($B3, 'J-Class_CC_Filtered'!$G$5:$L$63, 56, FALSE)</f>
        <v>1.6099999999999999</v>
      </c>
      <c r="F3" s="272">
        <f ca="1">HLOOKUP($B3, 'J-Class_CC_Filtered'!$G$5:$L$63, 57, FALSE)</f>
        <v>2.84</v>
      </c>
      <c r="G3" s="272">
        <f ca="1">HLOOKUP($B3, 'J-Class_CC_Filtered'!$G$5:$L$63, 4, FALSE)</f>
        <v>512.29999999999995</v>
      </c>
      <c r="H3" s="272">
        <f ca="1">HLOOKUP($B3, 'J-Class_CC_Filtered'!$G$5:$L$63, 5, FALSE)</f>
        <v>546.70000000000005</v>
      </c>
      <c r="I3" s="272">
        <f ca="1">HLOOKUP($B3, 'J-Class_CC_Filtered'!$G$5:$L$63, 58, FALSE)</f>
        <v>600</v>
      </c>
      <c r="J3" s="272">
        <f>HLOOKUP($B3, 'J-Class_CC_Filtered'!$G$5:$L$63, 53, FALSE)</f>
        <v>3490</v>
      </c>
      <c r="K3" s="272">
        <f ca="1">HLOOKUP($B3, 'J-Class_CC_Filtered'!$G$5:$L$63, 59, FALSE)</f>
        <v>26600</v>
      </c>
      <c r="L3" s="272">
        <f ca="1">HLOOKUP($B3, 'J-Class_CC_Filtered'!$G$5:$L$63, 20, FALSE)</f>
        <v>26.651030110935025</v>
      </c>
      <c r="M3" s="272">
        <f ca="1">HLOOKUP($B3, 'J-Class_CC_Filtered'!$G$5:$L$63, 21, FALSE)</f>
        <v>6.8646592709984153</v>
      </c>
      <c r="N3" s="272">
        <f ca="1">HLOOKUP($B3, 'J-Class_CC_Filtered'!$G$5:$L$63, 22, FALSE)</f>
        <v>410668.14580031694</v>
      </c>
      <c r="O3" s="272">
        <f ca="1">HLOOKUP($B3, 'J-Class_CC_Filtered'!$G$5:$L$63, 24, FALSE)</f>
        <v>26.567353407290017</v>
      </c>
      <c r="P3" s="272">
        <f ca="1">HLOOKUP($B3, 'J-Class_CC_Filtered'!$G$5:$L$63, 25, FALSE)</f>
        <v>6.8431061806656102</v>
      </c>
      <c r="Q3" s="272">
        <f ca="1">HLOOKUP($B3, 'J-Class_CC_Filtered'!$G$5:$L$63, 26, FALSE)</f>
        <v>409378.763866878</v>
      </c>
      <c r="R3" s="272">
        <f ca="1">HLOOKUP($B3, 'J-Class_CC_Filtered'!$G$5:$L$63, 28, FALSE)</f>
        <v>96.912836767036453</v>
      </c>
      <c r="S3" s="272">
        <f ca="1">HLOOKUP($B3, 'J-Class_CC_Filtered'!$G$5:$L$63, 29, FALSE)</f>
        <v>5.3503961965134703</v>
      </c>
      <c r="T3" s="272">
        <f ca="1">HLOOKUP($B3, 'J-Class_CC_Filtered'!$G$5:$L$63, 30, FALSE)</f>
        <v>557248.81141045957</v>
      </c>
      <c r="U3" s="272">
        <f ca="1">HLOOKUP($B3, 'J-Class_CC_Filtered'!$G$5:$L$63, 32, FALSE)</f>
        <v>96.608557844690964</v>
      </c>
      <c r="V3" s="272">
        <f ca="1">HLOOKUP($B3, 'J-Class_CC_Filtered'!$G$5:$L$63, 33, FALSE)</f>
        <v>5.3335974643423141</v>
      </c>
      <c r="W3" s="272">
        <f ca="1">HLOOKUP($B3, 'J-Class_CC_Filtered'!$G$5:$L$63, 34, FALSE)</f>
        <v>555499.20760697301</v>
      </c>
      <c r="X3" s="272">
        <f ca="1">1-HLOOKUP($B3, 'J-Class_CC_Filtered'!$G$5:$L$63, 54, FALSE)</f>
        <v>0.9708</v>
      </c>
      <c r="Y3" s="272">
        <f ca="1">HLOOKUP($B3, 'J-Class_CC_Filtered'!$G$5:$L$63, 16, FALSE)</f>
        <v>7180</v>
      </c>
      <c r="Z3" s="272">
        <f ca="1">HLOOKUP($B3, 'J-Class_CC_Filtered'!$G$5:$L$63, 17, FALSE)</f>
        <v>7530</v>
      </c>
      <c r="AA3" s="272">
        <f ca="1">HLOOKUP($B3, 'J-Class_CC_Filtered'!$G$5:$L$63, 36, FALSE)</f>
        <v>30.039936608557845</v>
      </c>
      <c r="AB3" s="272">
        <f ca="1">HLOOKUP($B3, 'J-Class_CC_Filtered'!$G$5:$L$63, 37, FALSE)</f>
        <v>7.7375594294770202</v>
      </c>
      <c r="AC3" s="272">
        <f ca="1">HLOOKUP($B3, 'J-Class_CC_Filtered'!$G$5:$L$63, 38, FALSE)</f>
        <v>462888.11410459591</v>
      </c>
      <c r="AD3" s="272">
        <f ca="1">HLOOKUP($B3, 'J-Class_CC_Filtered'!$G$5:$L$63, 40, FALSE)</f>
        <v>31.504278922345485</v>
      </c>
      <c r="AE3" s="272">
        <f ca="1">HLOOKUP($B3, 'J-Class_CC_Filtered'!$G$5:$L$63, 41, FALSE)</f>
        <v>8.1147385103011089</v>
      </c>
      <c r="AF3" s="272">
        <f ca="1">HLOOKUP($B3, 'J-Class_CC_Filtered'!$G$5:$L$63, 42, FALSE)</f>
        <v>485452.29793977813</v>
      </c>
      <c r="AG3" s="272">
        <f ca="1">HLOOKUP($B3, 'J-Class_CC_Filtered'!$G$5:$L$63, 44, FALSE)</f>
        <v>109.23613312202852</v>
      </c>
      <c r="AH3" s="272">
        <f ca="1">HLOOKUP($B3, 'J-Class_CC_Filtered'!$G$5:$L$63, 45, FALSE)</f>
        <v>6.0307448494453251</v>
      </c>
      <c r="AI3" s="272">
        <f ca="1">HLOOKUP($B3, 'J-Class_CC_Filtered'!$G$5:$L$63, 46, FALSE)</f>
        <v>628107.76545166399</v>
      </c>
      <c r="AJ3" s="272">
        <f ca="1">HLOOKUP($B3, 'J-Class_CC_Filtered'!$G$5:$L$63, 48, FALSE)</f>
        <v>114.56101426307448</v>
      </c>
      <c r="AK3" s="272">
        <f ca="1">HLOOKUP($B3, 'J-Class_CC_Filtered'!$G$5:$L$63, 49, FALSE)</f>
        <v>6.3247226624405704</v>
      </c>
      <c r="AL3" s="272">
        <f ca="1">HLOOKUP($B3, 'J-Class_CC_Filtered'!$G$5:$L$63, 50, FALSE)</f>
        <v>658725.83201267826</v>
      </c>
      <c r="AM3" s="272">
        <f ca="1">HLOOKUP($B3, 'J-Class_CC_Filtered'!$G$5:$L$63, 8, FALSE)</f>
        <v>232.3</v>
      </c>
      <c r="AN3" s="272">
        <f ca="1">HLOOKUP($B3, 'J-Class_CC_Filtered'!$G$5:$L$63, 9, FALSE)</f>
        <v>199.3</v>
      </c>
    </row>
    <row r="4" spans="1:40" x14ac:dyDescent="0.2">
      <c r="A4" s="10" t="s">
        <v>54</v>
      </c>
      <c r="B4" s="46" t="s">
        <v>20</v>
      </c>
      <c r="C4" s="51">
        <f ca="1">HLOOKUP($B4, 'J-Class_CC_Filtered'!$G$5:$L$63, 12, FALSE)</f>
        <v>6360</v>
      </c>
      <c r="D4" s="51">
        <f ca="1">HLOOKUP($B4, 'J-Class_CC_Filtered'!$G$5:$L$63, 13, FALSE)</f>
        <v>6350</v>
      </c>
      <c r="E4" s="272">
        <f ca="1">HLOOKUP($B4, 'J-Class_CC_Filtered'!$G$5:$L$63, 56, FALSE)</f>
        <v>1.5899999999999999</v>
      </c>
      <c r="F4" s="272">
        <f ca="1">HLOOKUP($B4, 'J-Class_CC_Filtered'!$G$5:$L$63, 57, FALSE)</f>
        <v>2.4500000000000002</v>
      </c>
      <c r="G4" s="272">
        <f ca="1">HLOOKUP($B4, 'J-Class_CC_Filtered'!$G$5:$L$63, 4, FALSE)</f>
        <v>514.70000000000005</v>
      </c>
      <c r="H4" s="272">
        <f ca="1">HLOOKUP($B4, 'J-Class_CC_Filtered'!$G$5:$L$63, 5, FALSE)</f>
        <v>544.79999999999995</v>
      </c>
      <c r="I4" s="272">
        <f ca="1">HLOOKUP($B4, 'J-Class_CC_Filtered'!$G$5:$L$63, 58, FALSE)</f>
        <v>600</v>
      </c>
      <c r="J4" s="272">
        <f>HLOOKUP($B4, 'J-Class_CC_Filtered'!$G$5:$L$63, 53, FALSE)</f>
        <v>3490</v>
      </c>
      <c r="K4" s="272">
        <f ca="1">HLOOKUP($B4, 'J-Class_CC_Filtered'!$G$5:$L$63, 59, FALSE)</f>
        <v>26600</v>
      </c>
      <c r="L4" s="272">
        <f ca="1">HLOOKUP($B4, 'J-Class_CC_Filtered'!$G$5:$L$63, 20, FALSE)</f>
        <v>26.651428571428571</v>
      </c>
      <c r="M4" s="272">
        <f ca="1">HLOOKUP($B4, 'J-Class_CC_Filtered'!$G$5:$L$63, 21, FALSE)</f>
        <v>6.7638095238095239</v>
      </c>
      <c r="N4" s="272">
        <f ca="1">HLOOKUP($B4, 'J-Class_CC_Filtered'!$G$5:$L$63, 22, FALSE)</f>
        <v>408251.42857142858</v>
      </c>
      <c r="O4" s="272">
        <f ca="1">HLOOKUP($B4, 'J-Class_CC_Filtered'!$G$5:$L$63, 24, FALSE)</f>
        <v>26.609523809523811</v>
      </c>
      <c r="P4" s="272">
        <f ca="1">HLOOKUP($B4, 'J-Class_CC_Filtered'!$G$5:$L$63, 25, FALSE)</f>
        <v>6.7531746031746032</v>
      </c>
      <c r="Q4" s="272">
        <f ca="1">HLOOKUP($B4, 'J-Class_CC_Filtered'!$G$5:$L$63, 26, FALSE)</f>
        <v>407609.52380952379</v>
      </c>
      <c r="R4" s="272">
        <f ca="1">HLOOKUP($B4, 'J-Class_CC_Filtered'!$G$5:$L$63, 28, FALSE)</f>
        <v>96.914285714285711</v>
      </c>
      <c r="S4" s="272">
        <f ca="1">HLOOKUP($B4, 'J-Class_CC_Filtered'!$G$5:$L$63, 29, FALSE)</f>
        <v>5.2495238095238097</v>
      </c>
      <c r="T4" s="272">
        <f ca="1">HLOOKUP($B4, 'J-Class_CC_Filtered'!$G$5:$L$63, 30, FALSE)</f>
        <v>554026.66666666663</v>
      </c>
      <c r="U4" s="272">
        <f ca="1">HLOOKUP($B4, 'J-Class_CC_Filtered'!$G$5:$L$63, 32, FALSE)</f>
        <v>96.761904761904759</v>
      </c>
      <c r="V4" s="272">
        <f ca="1">HLOOKUP($B4, 'J-Class_CC_Filtered'!$G$5:$L$63, 33, FALSE)</f>
        <v>5.2412698412698413</v>
      </c>
      <c r="W4" s="272">
        <f ca="1">HLOOKUP($B4, 'J-Class_CC_Filtered'!$G$5:$L$63, 34, FALSE)</f>
        <v>553155.5555555555</v>
      </c>
      <c r="X4" s="272">
        <f ca="1">1-HLOOKUP($B4, 'J-Class_CC_Filtered'!$G$5:$L$63, 54, FALSE)</f>
        <v>0.9708</v>
      </c>
      <c r="Y4" s="272">
        <f ca="1">HLOOKUP($B4, 'J-Class_CC_Filtered'!$G$5:$L$63, 16, FALSE)</f>
        <v>7130</v>
      </c>
      <c r="Z4" s="272">
        <f ca="1">HLOOKUP($B4, 'J-Class_CC_Filtered'!$G$5:$L$63, 17, FALSE)</f>
        <v>7550</v>
      </c>
      <c r="AA4" s="272">
        <f ca="1">HLOOKUP($B4, 'J-Class_CC_Filtered'!$G$5:$L$63, 36, FALSE)</f>
        <v>29.878095238095238</v>
      </c>
      <c r="AB4" s="272">
        <f ca="1">HLOOKUP($B4, 'J-Class_CC_Filtered'!$G$5:$L$63, 37, FALSE)</f>
        <v>7.5826984126984129</v>
      </c>
      <c r="AC4" s="272">
        <f ca="1">HLOOKUP($B4, 'J-Class_CC_Filtered'!$G$5:$L$63, 38, FALSE)</f>
        <v>457678.09523809527</v>
      </c>
      <c r="AD4" s="272">
        <f ca="1">HLOOKUP($B4, 'J-Class_CC_Filtered'!$G$5:$L$63, 40, FALSE)</f>
        <v>31.638095238095239</v>
      </c>
      <c r="AE4" s="272">
        <f ca="1">HLOOKUP($B4, 'J-Class_CC_Filtered'!$G$5:$L$63, 41, FALSE)</f>
        <v>8.0293650793650801</v>
      </c>
      <c r="AF4" s="272">
        <f ca="1">HLOOKUP($B4, 'J-Class_CC_Filtered'!$G$5:$L$63, 42, FALSE)</f>
        <v>484638.09523809527</v>
      </c>
      <c r="AG4" s="272">
        <f ca="1">HLOOKUP($B4, 'J-Class_CC_Filtered'!$G$5:$L$63, 44, FALSE)</f>
        <v>108.64761904761905</v>
      </c>
      <c r="AH4" s="272">
        <f ca="1">HLOOKUP($B4, 'J-Class_CC_Filtered'!$G$5:$L$63, 45, FALSE)</f>
        <v>5.8850793650793651</v>
      </c>
      <c r="AI4" s="272">
        <f ca="1">HLOOKUP($B4, 'J-Class_CC_Filtered'!$G$5:$L$63, 46, FALSE)</f>
        <v>621102.22222222225</v>
      </c>
      <c r="AJ4" s="272">
        <f ca="1">HLOOKUP($B4, 'J-Class_CC_Filtered'!$G$5:$L$63, 48, FALSE)</f>
        <v>115.04761904761905</v>
      </c>
      <c r="AK4" s="272">
        <f ca="1">HLOOKUP($B4, 'J-Class_CC_Filtered'!$G$5:$L$63, 49, FALSE)</f>
        <v>6.2317460317460318</v>
      </c>
      <c r="AL4" s="272">
        <f ca="1">HLOOKUP($B4, 'J-Class_CC_Filtered'!$G$5:$L$63, 50, FALSE)</f>
        <v>657688.88888888888</v>
      </c>
      <c r="AM4" s="272">
        <f ca="1">HLOOKUP($B4, 'J-Class_CC_Filtered'!$G$5:$L$63, 8, FALSE)</f>
        <v>234</v>
      </c>
      <c r="AN4" s="272">
        <f ca="1">HLOOKUP($B4, 'J-Class_CC_Filtered'!$G$5:$L$63, 9, FALSE)</f>
        <v>198.7</v>
      </c>
    </row>
    <row r="5" spans="1:40" x14ac:dyDescent="0.2">
      <c r="A5" s="10" t="s">
        <v>36</v>
      </c>
      <c r="B5" s="46" t="s">
        <v>21</v>
      </c>
      <c r="C5" s="51">
        <f ca="1">HLOOKUP($B5, 'J-Class_CC_Filtered'!$G$5:$L$63, 12, FALSE)</f>
        <v>6360</v>
      </c>
      <c r="D5" s="51">
        <f ca="1">HLOOKUP($B5, 'J-Class_CC_Filtered'!$G$5:$L$63, 13, FALSE)</f>
        <v>6350</v>
      </c>
      <c r="E5" s="272">
        <f ca="1">HLOOKUP($B5, 'J-Class_CC_Filtered'!$G$5:$L$63, 56, FALSE)</f>
        <v>1.5899999999999999</v>
      </c>
      <c r="F5" s="272">
        <f ca="1">HLOOKUP($B5, 'J-Class_CC_Filtered'!$G$5:$L$63, 57, FALSE)</f>
        <v>2.4500000000000002</v>
      </c>
      <c r="G5" s="272">
        <f ca="1">HLOOKUP($B5, 'J-Class_CC_Filtered'!$G$5:$L$63, 4, FALSE)</f>
        <v>514.70000000000005</v>
      </c>
      <c r="H5" s="272">
        <f ca="1">HLOOKUP($B5, 'J-Class_CC_Filtered'!$G$5:$L$63, 5, FALSE)</f>
        <v>544.79999999999995</v>
      </c>
      <c r="I5" s="272">
        <f ca="1">HLOOKUP($B5, 'J-Class_CC_Filtered'!$G$5:$L$63, 58, FALSE)</f>
        <v>600</v>
      </c>
      <c r="J5" s="272">
        <f>HLOOKUP($B5, 'J-Class_CC_Filtered'!$G$5:$L$63, 53, FALSE)</f>
        <v>3490</v>
      </c>
      <c r="K5" s="272">
        <f ca="1">HLOOKUP($B5, 'J-Class_CC_Filtered'!$G$5:$L$63, 59, FALSE)</f>
        <v>26600</v>
      </c>
      <c r="L5" s="272">
        <f ca="1">HLOOKUP($B5, 'J-Class_CC_Filtered'!$G$5:$L$63, 20, FALSE)</f>
        <v>26.651428571428571</v>
      </c>
      <c r="M5" s="272">
        <f ca="1">HLOOKUP($B5, 'J-Class_CC_Filtered'!$G$5:$L$63, 21, FALSE)</f>
        <v>6.7638095238095239</v>
      </c>
      <c r="N5" s="272">
        <f ca="1">HLOOKUP($B5, 'J-Class_CC_Filtered'!$G$5:$L$63, 22, FALSE)</f>
        <v>408251.42857142858</v>
      </c>
      <c r="O5" s="272">
        <f ca="1">HLOOKUP($B5, 'J-Class_CC_Filtered'!$G$5:$L$63, 24, FALSE)</f>
        <v>26.609523809523811</v>
      </c>
      <c r="P5" s="272">
        <f ca="1">HLOOKUP($B5, 'J-Class_CC_Filtered'!$G$5:$L$63, 25, FALSE)</f>
        <v>6.7531746031746032</v>
      </c>
      <c r="Q5" s="272">
        <f ca="1">HLOOKUP($B5, 'J-Class_CC_Filtered'!$G$5:$L$63, 26, FALSE)</f>
        <v>407609.52380952379</v>
      </c>
      <c r="R5" s="272">
        <f ca="1">HLOOKUP($B5, 'J-Class_CC_Filtered'!$G$5:$L$63, 28, FALSE)</f>
        <v>96.914285714285711</v>
      </c>
      <c r="S5" s="272">
        <f ca="1">HLOOKUP($B5, 'J-Class_CC_Filtered'!$G$5:$L$63, 29, FALSE)</f>
        <v>5.2495238095238097</v>
      </c>
      <c r="T5" s="272">
        <f ca="1">HLOOKUP($B5, 'J-Class_CC_Filtered'!$G$5:$L$63, 30, FALSE)</f>
        <v>554026.66666666663</v>
      </c>
      <c r="U5" s="272">
        <f ca="1">HLOOKUP($B5, 'J-Class_CC_Filtered'!$G$5:$L$63, 32, FALSE)</f>
        <v>96.761904761904759</v>
      </c>
      <c r="V5" s="272">
        <f ca="1">HLOOKUP($B5, 'J-Class_CC_Filtered'!$G$5:$L$63, 33, FALSE)</f>
        <v>5.2412698412698413</v>
      </c>
      <c r="W5" s="272">
        <f ca="1">HLOOKUP($B5, 'J-Class_CC_Filtered'!$G$5:$L$63, 34, FALSE)</f>
        <v>553155.5555555555</v>
      </c>
      <c r="X5" s="272">
        <f ca="1">1-HLOOKUP($B5, 'J-Class_CC_Filtered'!$G$5:$L$63, 54, FALSE)</f>
        <v>0.9708</v>
      </c>
      <c r="Y5" s="272">
        <f ca="1">HLOOKUP($B5, 'J-Class_CC_Filtered'!$G$5:$L$63, 16, FALSE)</f>
        <v>7130</v>
      </c>
      <c r="Z5" s="272">
        <f ca="1">HLOOKUP($B5, 'J-Class_CC_Filtered'!$G$5:$L$63, 17, FALSE)</f>
        <v>7550</v>
      </c>
      <c r="AA5" s="272">
        <f ca="1">HLOOKUP($B5, 'J-Class_CC_Filtered'!$G$5:$L$63, 36, FALSE)</f>
        <v>29.878095238095238</v>
      </c>
      <c r="AB5" s="272">
        <f ca="1">HLOOKUP($B5, 'J-Class_CC_Filtered'!$G$5:$L$63, 37, FALSE)</f>
        <v>7.5826984126984129</v>
      </c>
      <c r="AC5" s="272">
        <f ca="1">HLOOKUP($B5, 'J-Class_CC_Filtered'!$G$5:$L$63, 38, FALSE)</f>
        <v>457678.09523809527</v>
      </c>
      <c r="AD5" s="272">
        <f ca="1">HLOOKUP($B5, 'J-Class_CC_Filtered'!$G$5:$L$63, 40, FALSE)</f>
        <v>31.638095238095239</v>
      </c>
      <c r="AE5" s="272">
        <f ca="1">HLOOKUP($B5, 'J-Class_CC_Filtered'!$G$5:$L$63, 41, FALSE)</f>
        <v>8.0293650793650801</v>
      </c>
      <c r="AF5" s="272">
        <f ca="1">HLOOKUP($B5, 'J-Class_CC_Filtered'!$G$5:$L$63, 42, FALSE)</f>
        <v>484638.09523809527</v>
      </c>
      <c r="AG5" s="272">
        <f ca="1">HLOOKUP($B5, 'J-Class_CC_Filtered'!$G$5:$L$63, 44, FALSE)</f>
        <v>108.64761904761905</v>
      </c>
      <c r="AH5" s="272">
        <f ca="1">HLOOKUP($B5, 'J-Class_CC_Filtered'!$G$5:$L$63, 45, FALSE)</f>
        <v>5.8850793650793651</v>
      </c>
      <c r="AI5" s="272">
        <f ca="1">HLOOKUP($B5, 'J-Class_CC_Filtered'!$G$5:$L$63, 46, FALSE)</f>
        <v>621102.22222222225</v>
      </c>
      <c r="AJ5" s="272">
        <f ca="1">HLOOKUP($B5, 'J-Class_CC_Filtered'!$G$5:$L$63, 48, FALSE)</f>
        <v>115.04761904761905</v>
      </c>
      <c r="AK5" s="272">
        <f ca="1">HLOOKUP($B5, 'J-Class_CC_Filtered'!$G$5:$L$63, 49, FALSE)</f>
        <v>6.2317460317460318</v>
      </c>
      <c r="AL5" s="272">
        <f ca="1">HLOOKUP($B5, 'J-Class_CC_Filtered'!$G$5:$L$63, 50, FALSE)</f>
        <v>657688.88888888888</v>
      </c>
      <c r="AM5" s="272">
        <f ca="1">HLOOKUP($B5, 'J-Class_CC_Filtered'!$G$5:$L$63, 8, FALSE)</f>
        <v>234</v>
      </c>
      <c r="AN5" s="272">
        <f ca="1">HLOOKUP($B5, 'J-Class_CC_Filtered'!$G$5:$L$63, 9, FALSE)</f>
        <v>198.7</v>
      </c>
    </row>
    <row r="6" spans="1:40" x14ac:dyDescent="0.2">
      <c r="A6" s="10" t="s">
        <v>30</v>
      </c>
      <c r="B6" s="46" t="s">
        <v>4</v>
      </c>
      <c r="C6" s="51">
        <f ca="1">HLOOKUP($B6, 'J-Class_CC_Filtered'!$G$5:$L$63, 12, FALSE)</f>
        <v>6360</v>
      </c>
      <c r="D6" s="51">
        <f ca="1">HLOOKUP($B6, 'J-Class_CC_Filtered'!$G$5:$L$63, 13, FALSE)</f>
        <v>6360</v>
      </c>
      <c r="E6" s="272">
        <f ca="1">HLOOKUP($B6, 'J-Class_CC_Filtered'!$G$5:$L$63, 56, FALSE)</f>
        <v>1.5899999999999999</v>
      </c>
      <c r="F6" s="272">
        <f ca="1">HLOOKUP($B6, 'J-Class_CC_Filtered'!$G$5:$L$63, 57, FALSE)</f>
        <v>2.4500000000000002</v>
      </c>
      <c r="G6" s="272">
        <f ca="1">HLOOKUP($B6, 'J-Class_CC_Filtered'!$G$5:$L$63, 4, FALSE)</f>
        <v>513.29999999999995</v>
      </c>
      <c r="H6" s="272">
        <f ca="1">HLOOKUP($B6, 'J-Class_CC_Filtered'!$G$5:$L$63, 5, FALSE)</f>
        <v>542.1</v>
      </c>
      <c r="I6" s="272">
        <f ca="1">HLOOKUP($B6, 'J-Class_CC_Filtered'!$G$5:$L$63, 58, FALSE)</f>
        <v>600</v>
      </c>
      <c r="J6" s="272">
        <f>HLOOKUP($B6, 'J-Class_CC_Filtered'!$G$5:$L$63, 53, FALSE)</f>
        <v>3490</v>
      </c>
      <c r="K6" s="272">
        <f ca="1">HLOOKUP($B6, 'J-Class_CC_Filtered'!$G$5:$L$63, 59, FALSE)</f>
        <v>26600</v>
      </c>
      <c r="L6" s="272">
        <f ca="1">HLOOKUP($B6, 'J-Class_CC_Filtered'!$G$5:$L$63, 20, FALSE)</f>
        <v>26.651428571428571</v>
      </c>
      <c r="M6" s="272">
        <f ca="1">HLOOKUP($B6, 'J-Class_CC_Filtered'!$G$5:$L$63, 21, FALSE)</f>
        <v>6.7638095238095239</v>
      </c>
      <c r="N6" s="272">
        <f ca="1">HLOOKUP($B6, 'J-Class_CC_Filtered'!$G$5:$L$63, 22, FALSE)</f>
        <v>407040</v>
      </c>
      <c r="O6" s="272">
        <f ca="1">HLOOKUP($B6, 'J-Class_CC_Filtered'!$G$5:$L$63, 24, FALSE)</f>
        <v>26.651428571428571</v>
      </c>
      <c r="P6" s="272">
        <f ca="1">HLOOKUP($B6, 'J-Class_CC_Filtered'!$G$5:$L$63, 25, FALSE)</f>
        <v>6.7638095238095239</v>
      </c>
      <c r="Q6" s="272">
        <f ca="1">HLOOKUP($B6, 'J-Class_CC_Filtered'!$G$5:$L$63, 26, FALSE)</f>
        <v>407040</v>
      </c>
      <c r="R6" s="272">
        <f ca="1">HLOOKUP($B6, 'J-Class_CC_Filtered'!$G$5:$L$63, 28, FALSE)</f>
        <v>96.914285714285711</v>
      </c>
      <c r="S6" s="272">
        <f ca="1">HLOOKUP($B6, 'J-Class_CC_Filtered'!$G$5:$L$63, 29, FALSE)</f>
        <v>5.2495238095238097</v>
      </c>
      <c r="T6" s="272">
        <f ca="1">HLOOKUP($B6, 'J-Class_CC_Filtered'!$G$5:$L$63, 30, FALSE)</f>
        <v>552411.42857142852</v>
      </c>
      <c r="U6" s="272">
        <f ca="1">HLOOKUP($B6, 'J-Class_CC_Filtered'!$G$5:$L$63, 32, FALSE)</f>
        <v>96.914285714285711</v>
      </c>
      <c r="V6" s="272">
        <f ca="1">HLOOKUP($B6, 'J-Class_CC_Filtered'!$G$5:$L$63, 33, FALSE)</f>
        <v>5.2495238095238097</v>
      </c>
      <c r="W6" s="272">
        <f ca="1">HLOOKUP($B6, 'J-Class_CC_Filtered'!$G$5:$L$63, 34, FALSE)</f>
        <v>552411.42857142852</v>
      </c>
      <c r="X6" s="272">
        <f ca="1">1-HLOOKUP($B6, 'J-Class_CC_Filtered'!$G$5:$L$63, 54, FALSE)</f>
        <v>0.9708</v>
      </c>
      <c r="Y6" s="272">
        <f ca="1">HLOOKUP($B6, 'J-Class_CC_Filtered'!$G$5:$L$63, 16, FALSE)</f>
        <v>7130</v>
      </c>
      <c r="Z6" s="272">
        <f ca="1">HLOOKUP($B6, 'J-Class_CC_Filtered'!$G$5:$L$63, 17, FALSE)</f>
        <v>7560</v>
      </c>
      <c r="AA6" s="272">
        <f ca="1">HLOOKUP($B6, 'J-Class_CC_Filtered'!$G$5:$L$63, 36, FALSE)</f>
        <v>29.878095238095238</v>
      </c>
      <c r="AB6" s="272">
        <f ca="1">HLOOKUP($B6, 'J-Class_CC_Filtered'!$G$5:$L$63, 37, FALSE)</f>
        <v>7.5826984126984129</v>
      </c>
      <c r="AC6" s="272">
        <f ca="1">HLOOKUP($B6, 'J-Class_CC_Filtered'!$G$5:$L$63, 38, FALSE)</f>
        <v>456320</v>
      </c>
      <c r="AD6" s="272">
        <f ca="1">HLOOKUP($B6, 'J-Class_CC_Filtered'!$G$5:$L$63, 40, FALSE)</f>
        <v>31.68</v>
      </c>
      <c r="AE6" s="272">
        <f ca="1">HLOOKUP($B6, 'J-Class_CC_Filtered'!$G$5:$L$63, 41, FALSE)</f>
        <v>8.0399999999999991</v>
      </c>
      <c r="AF6" s="272">
        <f ca="1">HLOOKUP($B6, 'J-Class_CC_Filtered'!$G$5:$L$63, 42, FALSE)</f>
        <v>483840</v>
      </c>
      <c r="AG6" s="272">
        <f ca="1">HLOOKUP($B6, 'J-Class_CC_Filtered'!$G$5:$L$63, 44, FALSE)</f>
        <v>108.64761904761905</v>
      </c>
      <c r="AH6" s="272">
        <f ca="1">HLOOKUP($B6, 'J-Class_CC_Filtered'!$G$5:$L$63, 45, FALSE)</f>
        <v>5.8850793650793651</v>
      </c>
      <c r="AI6" s="272">
        <f ca="1">HLOOKUP($B6, 'J-Class_CC_Filtered'!$G$5:$L$63, 46, FALSE)</f>
        <v>619291.42857142852</v>
      </c>
      <c r="AJ6" s="272">
        <f ca="1">HLOOKUP($B6, 'J-Class_CC_Filtered'!$G$5:$L$63, 48, FALSE)</f>
        <v>115.2</v>
      </c>
      <c r="AK6" s="272">
        <f ca="1">HLOOKUP($B6, 'J-Class_CC_Filtered'!$G$5:$L$63, 49, FALSE)</f>
        <v>6.24</v>
      </c>
      <c r="AL6" s="272">
        <f ca="1">HLOOKUP($B6, 'J-Class_CC_Filtered'!$G$5:$L$63, 50, FALSE)</f>
        <v>656640</v>
      </c>
      <c r="AM6" s="272">
        <f ca="1">HLOOKUP($B6, 'J-Class_CC_Filtered'!$G$5:$L$63, 8, FALSE)</f>
        <v>233.4</v>
      </c>
      <c r="AN6" s="272">
        <f ca="1">HLOOKUP($B6, 'J-Class_CC_Filtered'!$G$5:$L$63, 9, FALSE)</f>
        <v>198</v>
      </c>
    </row>
    <row r="7" spans="1:40" x14ac:dyDescent="0.2">
      <c r="A7" s="10" t="s">
        <v>29</v>
      </c>
      <c r="B7" s="46" t="s">
        <v>5</v>
      </c>
      <c r="C7" s="51">
        <f ca="1">HLOOKUP($B7, 'J-Class_CC_Filtered'!$G$5:$L$63, 12, FALSE)</f>
        <v>6370</v>
      </c>
      <c r="D7" s="51">
        <f ca="1">HLOOKUP($B7, 'J-Class_CC_Filtered'!$G$5:$L$63, 13, FALSE)</f>
        <v>6360</v>
      </c>
      <c r="E7" s="272">
        <f ca="1">HLOOKUP($B7, 'J-Class_CC_Filtered'!$G$5:$L$63, 56, FALSE)</f>
        <v>1.5899999999999999</v>
      </c>
      <c r="F7" s="272">
        <f ca="1">HLOOKUP($B7, 'J-Class_CC_Filtered'!$G$5:$L$63, 57, FALSE)</f>
        <v>2.4500000000000002</v>
      </c>
      <c r="G7" s="272">
        <f ca="1">HLOOKUP($B7, 'J-Class_CC_Filtered'!$G$5:$L$63, 4, FALSE)</f>
        <v>509.9</v>
      </c>
      <c r="H7" s="272">
        <f ca="1">HLOOKUP($B7, 'J-Class_CC_Filtered'!$G$5:$L$63, 5, FALSE)</f>
        <v>539.20000000000005</v>
      </c>
      <c r="I7" s="272">
        <f ca="1">HLOOKUP($B7, 'J-Class_CC_Filtered'!$G$5:$L$63, 58, FALSE)</f>
        <v>600</v>
      </c>
      <c r="J7" s="272">
        <f>HLOOKUP($B7, 'J-Class_CC_Filtered'!$G$5:$L$63, 53, FALSE)</f>
        <v>3490</v>
      </c>
      <c r="K7" s="272">
        <f ca="1">HLOOKUP($B7, 'J-Class_CC_Filtered'!$G$5:$L$63, 59, FALSE)</f>
        <v>26600</v>
      </c>
      <c r="L7" s="272">
        <f ca="1">HLOOKUP($B7, 'J-Class_CC_Filtered'!$G$5:$L$63, 20, FALSE)</f>
        <v>26.693333333333332</v>
      </c>
      <c r="M7" s="272">
        <f ca="1">HLOOKUP($B7, 'J-Class_CC_Filtered'!$G$5:$L$63, 21, FALSE)</f>
        <v>6.6733333333333329</v>
      </c>
      <c r="N7" s="272">
        <f ca="1">HLOOKUP($B7, 'J-Class_CC_Filtered'!$G$5:$L$63, 22, FALSE)</f>
        <v>397973.33333333331</v>
      </c>
      <c r="O7" s="272">
        <f ca="1">HLOOKUP($B7, 'J-Class_CC_Filtered'!$G$5:$L$63, 24, FALSE)</f>
        <v>26.651428571428571</v>
      </c>
      <c r="P7" s="272">
        <f ca="1">HLOOKUP($B7, 'J-Class_CC_Filtered'!$G$5:$L$63, 25, FALSE)</f>
        <v>6.6628571428571428</v>
      </c>
      <c r="Q7" s="272">
        <f ca="1">HLOOKUP($B7, 'J-Class_CC_Filtered'!$G$5:$L$63, 26, FALSE)</f>
        <v>397348.57142857142</v>
      </c>
      <c r="R7" s="272">
        <f ca="1">HLOOKUP($B7, 'J-Class_CC_Filtered'!$G$5:$L$63, 28, FALSE)</f>
        <v>97.066666666666663</v>
      </c>
      <c r="S7" s="272">
        <f ca="1">HLOOKUP($B7, 'J-Class_CC_Filtered'!$G$5:$L$63, 29, FALSE)</f>
        <v>5.2577777777777781</v>
      </c>
      <c r="T7" s="272">
        <f ca="1">HLOOKUP($B7, 'J-Class_CC_Filtered'!$G$5:$L$63, 30, FALSE)</f>
        <v>550044.4444444445</v>
      </c>
      <c r="U7" s="272">
        <f ca="1">HLOOKUP($B7, 'J-Class_CC_Filtered'!$G$5:$L$63, 32, FALSE)</f>
        <v>96.914285714285711</v>
      </c>
      <c r="V7" s="272">
        <f ca="1">HLOOKUP($B7, 'J-Class_CC_Filtered'!$G$5:$L$63, 33, FALSE)</f>
        <v>5.2495238095238097</v>
      </c>
      <c r="W7" s="272">
        <f ca="1">HLOOKUP($B7, 'J-Class_CC_Filtered'!$G$5:$L$63, 34, FALSE)</f>
        <v>549180.95238095243</v>
      </c>
      <c r="X7" s="272">
        <f ca="1">1-HLOOKUP($B7, 'J-Class_CC_Filtered'!$G$5:$L$63, 54, FALSE)</f>
        <v>0.9708</v>
      </c>
      <c r="Y7" s="272">
        <f ca="1">HLOOKUP($B7, 'J-Class_CC_Filtered'!$G$5:$L$63, 16, FALSE)</f>
        <v>7130</v>
      </c>
      <c r="Z7" s="272">
        <f ca="1">HLOOKUP($B7, 'J-Class_CC_Filtered'!$G$5:$L$63, 17, FALSE)</f>
        <v>7570</v>
      </c>
      <c r="AA7" s="272">
        <f ca="1">HLOOKUP($B7, 'J-Class_CC_Filtered'!$G$5:$L$63, 36, FALSE)</f>
        <v>29.878095238095238</v>
      </c>
      <c r="AB7" s="272">
        <f ca="1">HLOOKUP($B7, 'J-Class_CC_Filtered'!$G$5:$L$63, 37, FALSE)</f>
        <v>7.4695238095238095</v>
      </c>
      <c r="AC7" s="272">
        <f ca="1">HLOOKUP($B7, 'J-Class_CC_Filtered'!$G$5:$L$63, 38, FALSE)</f>
        <v>445455.23809523811</v>
      </c>
      <c r="AD7" s="272">
        <f ca="1">HLOOKUP($B7, 'J-Class_CC_Filtered'!$G$5:$L$63, 40, FALSE)</f>
        <v>31.721904761904764</v>
      </c>
      <c r="AE7" s="272">
        <f ca="1">HLOOKUP($B7, 'J-Class_CC_Filtered'!$G$5:$L$63, 41, FALSE)</f>
        <v>7.9304761904761909</v>
      </c>
      <c r="AF7" s="272">
        <f ca="1">HLOOKUP($B7, 'J-Class_CC_Filtered'!$G$5:$L$63, 42, FALSE)</f>
        <v>472944.76190476189</v>
      </c>
      <c r="AG7" s="272">
        <f ca="1">HLOOKUP($B7, 'J-Class_CC_Filtered'!$G$5:$L$63, 44, FALSE)</f>
        <v>108.64761904761905</v>
      </c>
      <c r="AH7" s="272">
        <f ca="1">HLOOKUP($B7, 'J-Class_CC_Filtered'!$G$5:$L$63, 45, FALSE)</f>
        <v>5.8850793650793651</v>
      </c>
      <c r="AI7" s="272">
        <f ca="1">HLOOKUP($B7, 'J-Class_CC_Filtered'!$G$5:$L$63, 46, FALSE)</f>
        <v>615669.8412698413</v>
      </c>
      <c r="AJ7" s="272">
        <f ca="1">HLOOKUP($B7, 'J-Class_CC_Filtered'!$G$5:$L$63, 48, FALSE)</f>
        <v>115.35238095238095</v>
      </c>
      <c r="AK7" s="272">
        <f ca="1">HLOOKUP($B7, 'J-Class_CC_Filtered'!$G$5:$L$63, 49, FALSE)</f>
        <v>6.2482539682539686</v>
      </c>
      <c r="AL7" s="272">
        <f ca="1">HLOOKUP($B7, 'J-Class_CC_Filtered'!$G$5:$L$63, 50, FALSE)</f>
        <v>653663.49206349207</v>
      </c>
      <c r="AM7" s="272">
        <f ca="1">HLOOKUP($B7, 'J-Class_CC_Filtered'!$G$5:$L$63, 8, FALSE)</f>
        <v>232.1</v>
      </c>
      <c r="AN7" s="272">
        <f ca="1">HLOOKUP($B7, 'J-Class_CC_Filtered'!$G$5:$L$63, 9, FALSE)</f>
        <v>197</v>
      </c>
    </row>
  </sheetData>
  <pageMargins left="0.7" right="0.7" top="0.75" bottom="0.75" header="0.3" footer="0.3"/>
  <pageSetup scale="59" fitToWidth="2" fitToHeight="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
  <sheetViews>
    <sheetView workbookViewId="0"/>
  </sheetViews>
  <sheetFormatPr defaultRowHeight="12.75" x14ac:dyDescent="0.2"/>
  <cols>
    <col min="1" max="16384" width="9.33203125" style="273"/>
  </cols>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1"/>
  <sheetViews>
    <sheetView topLeftCell="E3" workbookViewId="0">
      <selection activeCell="E3" sqref="E3"/>
    </sheetView>
  </sheetViews>
  <sheetFormatPr defaultRowHeight="12.75" outlineLevelRow="1" outlineLevelCol="1" x14ac:dyDescent="0.2"/>
  <cols>
    <col min="1" max="1" width="13" style="59" hidden="1" customWidth="1" outlineLevel="1"/>
    <col min="2" max="2" width="13.33203125" style="59" hidden="1" customWidth="1" outlineLevel="1"/>
    <col min="3" max="4" width="38" style="59" hidden="1" customWidth="1" outlineLevel="1"/>
    <col min="5" max="5" width="1.83203125" style="10" customWidth="1" collapsed="1"/>
    <col min="6" max="6" width="43.5" style="10" customWidth="1"/>
    <col min="7" max="7" width="16" style="10" customWidth="1"/>
    <col min="8" max="8" width="16.33203125" style="10" customWidth="1"/>
    <col min="9" max="9" width="16.5" style="10" customWidth="1"/>
    <col min="10" max="10" width="16.33203125" style="10" customWidth="1"/>
    <col min="11" max="11" width="16.1640625" style="10" customWidth="1"/>
    <col min="12" max="12" width="17.5" style="10" customWidth="1"/>
    <col min="13" max="13" width="17.83203125" style="10" customWidth="1"/>
    <col min="14" max="16384" width="9.33203125" style="10"/>
  </cols>
  <sheetData>
    <row r="1" spans="1:20" s="59" customFormat="1" hidden="1" outlineLevel="1" x14ac:dyDescent="0.2">
      <c r="H1" s="59" t="s">
        <v>58</v>
      </c>
      <c r="I1" s="59" t="s">
        <v>59</v>
      </c>
      <c r="J1" s="59" t="s">
        <v>60</v>
      </c>
      <c r="K1" s="59" t="s">
        <v>61</v>
      </c>
      <c r="L1" s="59" t="s">
        <v>62</v>
      </c>
      <c r="M1" s="59" t="s">
        <v>63</v>
      </c>
    </row>
    <row r="2" spans="1:20" s="59" customFormat="1" hidden="1" outlineLevel="1" x14ac:dyDescent="0.2">
      <c r="H2" s="59">
        <f>MATCH(H1, '[1]1x HA.02 25ppm'!$B$6:$H$6)</f>
        <v>7</v>
      </c>
      <c r="I2" s="59">
        <f>MATCH(I1, '[1]1x HA.02 25ppm'!$B$6:$H$6)</f>
        <v>6</v>
      </c>
      <c r="J2" s="59">
        <f>MATCH(J1, '[1]1x HA.02 25ppm'!$B$6:$H$6)</f>
        <v>4</v>
      </c>
      <c r="K2" s="59">
        <f>MATCH(K1, '[1]1x HA.02 25ppm'!$B$6:$H$6)</f>
        <v>5</v>
      </c>
      <c r="L2" s="59">
        <f>MATCH(L1, '[1]1x HA.02 25ppm'!$B$6:$H$6)</f>
        <v>3</v>
      </c>
      <c r="M2" s="59">
        <f>MATCH(M1, '[1]1x HA.02 25ppm'!$B$6:$H$6)</f>
        <v>2</v>
      </c>
    </row>
    <row r="3" spans="1:20" ht="13.5" collapsed="1" thickBot="1" x14ac:dyDescent="0.25"/>
    <row r="4" spans="1:20" ht="14.25" x14ac:dyDescent="0.2">
      <c r="A4" s="60" t="s">
        <v>73</v>
      </c>
      <c r="B4" s="59" t="s">
        <v>266</v>
      </c>
      <c r="F4" s="11"/>
      <c r="G4" s="12"/>
      <c r="H4" s="297" t="s">
        <v>346</v>
      </c>
      <c r="I4" s="298"/>
      <c r="J4" s="298"/>
      <c r="K4" s="298"/>
      <c r="L4" s="298"/>
      <c r="M4" s="299"/>
    </row>
    <row r="5" spans="1:20" ht="26.25" thickBot="1" x14ac:dyDescent="0.25">
      <c r="F5" s="3" t="s">
        <v>0</v>
      </c>
      <c r="G5" s="2" t="s">
        <v>1</v>
      </c>
      <c r="H5" s="13" t="s">
        <v>3</v>
      </c>
      <c r="I5" s="13" t="s">
        <v>28</v>
      </c>
      <c r="J5" s="13" t="s">
        <v>20</v>
      </c>
      <c r="K5" s="14" t="s">
        <v>21</v>
      </c>
      <c r="L5" s="13" t="s">
        <v>4</v>
      </c>
      <c r="M5" s="15" t="s">
        <v>5</v>
      </c>
    </row>
    <row r="6" spans="1:20" ht="25.5" customHeight="1" x14ac:dyDescent="0.2">
      <c r="A6" s="189" t="s">
        <v>190</v>
      </c>
      <c r="B6" s="189" t="s">
        <v>191</v>
      </c>
      <c r="C6" s="189" t="s">
        <v>192</v>
      </c>
      <c r="D6" s="189"/>
      <c r="F6" s="4" t="s">
        <v>12</v>
      </c>
      <c r="G6" s="1"/>
      <c r="H6" s="300"/>
      <c r="I6" s="301"/>
      <c r="J6" s="301"/>
      <c r="K6" s="301"/>
      <c r="L6" s="301"/>
      <c r="M6" s="302"/>
    </row>
    <row r="7" spans="1:20" x14ac:dyDescent="0.2">
      <c r="F7" s="5" t="s">
        <v>64</v>
      </c>
      <c r="G7" s="1"/>
      <c r="H7" s="16"/>
      <c r="I7" s="17"/>
      <c r="J7" s="17"/>
      <c r="K7" s="18"/>
      <c r="L7" s="17"/>
      <c r="M7" s="19"/>
    </row>
    <row r="8" spans="1:20" x14ac:dyDescent="0.2">
      <c r="A8" s="59">
        <v>32</v>
      </c>
      <c r="B8" s="59">
        <v>40</v>
      </c>
      <c r="C8" s="59" t="s">
        <v>65</v>
      </c>
      <c r="F8" s="20" t="s">
        <v>67</v>
      </c>
      <c r="G8" s="8" t="s">
        <v>2</v>
      </c>
      <c r="H8" s="37">
        <f ca="1">VLOOKUP($C8, INDIRECT("'"&amp;$B$4&amp;"'!$B$"&amp;$A8&amp;":"&amp;"$H$"&amp;$B8), H$2, FALSE)/1000</f>
        <v>166.6</v>
      </c>
      <c r="I8" s="38">
        <f t="shared" ref="I8:M9" ca="1" si="0">VLOOKUP($C8, INDIRECT("'"&amp;$B$4&amp;"'!$B$"&amp;$A8&amp;":"&amp;"$H$"&amp;$B8), I$2, FALSE)/1000</f>
        <v>166.5</v>
      </c>
      <c r="J8" s="38">
        <f t="shared" ca="1" si="0"/>
        <v>166.5</v>
      </c>
      <c r="K8" s="38">
        <f t="shared" ca="1" si="0"/>
        <v>166.5</v>
      </c>
      <c r="L8" s="38">
        <f t="shared" ca="1" si="0"/>
        <v>166.7</v>
      </c>
      <c r="M8" s="39">
        <f t="shared" ca="1" si="0"/>
        <v>166.7</v>
      </c>
      <c r="O8" s="296"/>
      <c r="P8" s="296"/>
      <c r="Q8" s="296"/>
      <c r="R8" s="296"/>
      <c r="S8" s="296"/>
      <c r="T8" s="296"/>
    </row>
    <row r="9" spans="1:20" x14ac:dyDescent="0.2">
      <c r="A9" s="59">
        <v>44</v>
      </c>
      <c r="B9" s="59">
        <v>52</v>
      </c>
      <c r="C9" s="59" t="s">
        <v>65</v>
      </c>
      <c r="F9" s="20" t="s">
        <v>68</v>
      </c>
      <c r="G9" s="8" t="s">
        <v>2</v>
      </c>
      <c r="H9" s="37">
        <f t="shared" ref="H9" ca="1" si="1">VLOOKUP($C9, INDIRECT("'"&amp;$B$4&amp;"'!$B$"&amp;$A9&amp;":"&amp;"$H$"&amp;$B9), H$2, FALSE)/1000</f>
        <v>188.2</v>
      </c>
      <c r="I9" s="38">
        <f t="shared" ca="1" si="0"/>
        <v>188.2</v>
      </c>
      <c r="J9" s="38">
        <f t="shared" ca="1" si="0"/>
        <v>188.2</v>
      </c>
      <c r="K9" s="38">
        <f t="shared" ca="1" si="0"/>
        <v>188.2</v>
      </c>
      <c r="L9" s="38">
        <f t="shared" ca="1" si="0"/>
        <v>188.2</v>
      </c>
      <c r="M9" s="39">
        <f t="shared" ca="1" si="0"/>
        <v>188.2</v>
      </c>
      <c r="O9" s="296"/>
      <c r="P9" s="296"/>
      <c r="Q9" s="296"/>
      <c r="R9" s="296"/>
      <c r="S9" s="296"/>
      <c r="T9" s="296"/>
    </row>
    <row r="10" spans="1:20" x14ac:dyDescent="0.2">
      <c r="F10" s="20"/>
      <c r="G10" s="8"/>
      <c r="H10" s="37"/>
      <c r="I10" s="38"/>
      <c r="J10" s="38"/>
      <c r="K10" s="38"/>
      <c r="L10" s="38"/>
      <c r="M10" s="39"/>
      <c r="O10" s="296"/>
      <c r="P10" s="296"/>
      <c r="Q10" s="296"/>
      <c r="R10" s="296"/>
      <c r="S10" s="296"/>
      <c r="T10" s="296"/>
    </row>
    <row r="11" spans="1:20" x14ac:dyDescent="0.2">
      <c r="F11" s="5" t="s">
        <v>66</v>
      </c>
      <c r="G11" s="8"/>
      <c r="H11" s="7"/>
      <c r="I11" s="8"/>
      <c r="J11" s="8"/>
      <c r="K11" s="8"/>
      <c r="L11" s="8"/>
      <c r="M11" s="9"/>
      <c r="O11" s="296"/>
      <c r="P11" s="296"/>
      <c r="Q11" s="296"/>
      <c r="R11" s="296"/>
      <c r="S11" s="296"/>
      <c r="T11" s="296"/>
    </row>
    <row r="12" spans="1:20" x14ac:dyDescent="0.2">
      <c r="A12" s="59">
        <v>32</v>
      </c>
      <c r="B12" s="59">
        <v>40</v>
      </c>
      <c r="C12" s="59" t="s">
        <v>69</v>
      </c>
      <c r="F12" s="20" t="s">
        <v>13</v>
      </c>
      <c r="G12" s="8" t="s">
        <v>10</v>
      </c>
      <c r="H12" s="21">
        <f ca="1">VLOOKUP($C12, INDIRECT("'"&amp;$B$4&amp;"'!$B$"&amp;$A12&amp;":"&amp;"$H$"&amp;$B12), H$2, FALSE)</f>
        <v>9670</v>
      </c>
      <c r="I12" s="22">
        <f t="shared" ref="I12:M14" ca="1" si="2">VLOOKUP($C12, INDIRECT("'"&amp;$B$4&amp;"'!$B$"&amp;$A12&amp;":"&amp;"$H$"&amp;$B12), I$2, FALSE)</f>
        <v>9670</v>
      </c>
      <c r="J12" s="22">
        <f t="shared" ca="1" si="2"/>
        <v>9670</v>
      </c>
      <c r="K12" s="22">
        <f t="shared" ca="1" si="2"/>
        <v>9670</v>
      </c>
      <c r="L12" s="22">
        <f t="shared" ca="1" si="2"/>
        <v>9660</v>
      </c>
      <c r="M12" s="23">
        <f t="shared" ca="1" si="2"/>
        <v>9670</v>
      </c>
      <c r="O12" s="296"/>
      <c r="P12" s="296"/>
      <c r="Q12" s="296"/>
      <c r="R12" s="296"/>
      <c r="S12" s="296"/>
      <c r="T12" s="296"/>
    </row>
    <row r="13" spans="1:20" x14ac:dyDescent="0.2">
      <c r="A13" s="59">
        <v>44</v>
      </c>
      <c r="B13" s="59">
        <v>52</v>
      </c>
      <c r="C13" s="59" t="s">
        <v>69</v>
      </c>
      <c r="F13" s="20" t="s">
        <v>14</v>
      </c>
      <c r="G13" s="8" t="s">
        <v>10</v>
      </c>
      <c r="H13" s="21">
        <f ca="1">VLOOKUP($C13, INDIRECT("'"&amp;$B$4&amp;"'!$B$"&amp;$A13&amp;":"&amp;"$H$"&amp;$B13), H$2, FALSE)</f>
        <v>9450</v>
      </c>
      <c r="I13" s="22">
        <f t="shared" ca="1" si="2"/>
        <v>9460</v>
      </c>
      <c r="J13" s="22">
        <f t="shared" ca="1" si="2"/>
        <v>9440</v>
      </c>
      <c r="K13" s="22">
        <f t="shared" ca="1" si="2"/>
        <v>9440</v>
      </c>
      <c r="L13" s="22">
        <f t="shared" ca="1" si="2"/>
        <v>9440</v>
      </c>
      <c r="M13" s="23">
        <f t="shared" ca="1" si="2"/>
        <v>9440</v>
      </c>
      <c r="O13" s="296"/>
      <c r="P13" s="296"/>
      <c r="Q13" s="296"/>
      <c r="R13" s="296"/>
      <c r="S13" s="296"/>
      <c r="T13" s="296"/>
    </row>
    <row r="14" spans="1:20" x14ac:dyDescent="0.2">
      <c r="A14" s="59">
        <v>56</v>
      </c>
      <c r="B14" s="59">
        <v>64</v>
      </c>
      <c r="C14" s="59" t="s">
        <v>69</v>
      </c>
      <c r="F14" s="282" t="s">
        <v>405</v>
      </c>
      <c r="G14" s="283" t="s">
        <v>10</v>
      </c>
      <c r="H14" s="284">
        <f ca="1">VLOOKUP($C14, INDIRECT("'"&amp;$B$4&amp;"'!$B$"&amp;$A14&amp;":"&amp;"$H$"&amp;$B14), H$2, FALSE)</f>
        <v>9420</v>
      </c>
      <c r="I14" s="285">
        <f t="shared" ca="1" si="2"/>
        <v>9420</v>
      </c>
      <c r="J14" s="285">
        <f t="shared" ca="1" si="2"/>
        <v>9430</v>
      </c>
      <c r="K14" s="285">
        <f t="shared" ca="1" si="2"/>
        <v>9430</v>
      </c>
      <c r="L14" s="285">
        <f t="shared" ca="1" si="2"/>
        <v>9430</v>
      </c>
      <c r="M14" s="286">
        <f t="shared" ca="1" si="2"/>
        <v>9430</v>
      </c>
      <c r="N14" s="287" t="s">
        <v>406</v>
      </c>
      <c r="O14" s="296"/>
      <c r="P14" s="296"/>
      <c r="Q14" s="296"/>
      <c r="R14" s="296"/>
      <c r="S14" s="296"/>
      <c r="T14" s="296"/>
    </row>
    <row r="15" spans="1:20" x14ac:dyDescent="0.2">
      <c r="F15" s="5" t="s">
        <v>17</v>
      </c>
      <c r="G15" s="24"/>
      <c r="H15" s="7"/>
      <c r="I15" s="8"/>
      <c r="J15" s="8"/>
      <c r="K15" s="8"/>
      <c r="L15" s="8"/>
      <c r="M15" s="9"/>
      <c r="O15" s="296"/>
      <c r="P15" s="296"/>
      <c r="Q15" s="296"/>
      <c r="R15" s="296"/>
      <c r="S15" s="296"/>
      <c r="T15" s="296"/>
    </row>
    <row r="16" spans="1:20" ht="14.25" x14ac:dyDescent="0.2">
      <c r="A16" s="59">
        <v>205</v>
      </c>
      <c r="B16" s="59">
        <v>209</v>
      </c>
      <c r="C16" s="59" t="s">
        <v>70</v>
      </c>
      <c r="F16" s="20" t="s">
        <v>25</v>
      </c>
      <c r="G16" s="25" t="s">
        <v>15</v>
      </c>
      <c r="H16" s="190">
        <f ca="1">VLOOKUP($C16, INDIRECT("'"&amp;$B$4&amp;"'!$B$"&amp;$A16&amp;":"&amp;"$H$"&amp;$B16), H$2, FALSE)*H$12/H$14</f>
        <v>171.22675159235669</v>
      </c>
      <c r="I16" s="27">
        <f t="shared" ref="I16:M18" ca="1" si="3">VLOOKUP($C16, INDIRECT("'"&amp;$B$4&amp;"'!$B$"&amp;$A16&amp;":"&amp;"$H$"&amp;$B16), I$2, FALSE)*I$12/I$14</f>
        <v>171.22675159235669</v>
      </c>
      <c r="J16" s="27">
        <f t="shared" ca="1" si="3"/>
        <v>171.04517497348886</v>
      </c>
      <c r="K16" s="27">
        <f t="shared" ca="1" si="3"/>
        <v>171.04517497348886</v>
      </c>
      <c r="L16" s="27">
        <f t="shared" ca="1" si="3"/>
        <v>170.86829268292684</v>
      </c>
      <c r="M16" s="28">
        <f t="shared" ca="1" si="3"/>
        <v>171.04517497348886</v>
      </c>
      <c r="O16" s="296"/>
      <c r="P16" s="296"/>
      <c r="Q16" s="296"/>
      <c r="R16" s="296"/>
      <c r="S16" s="296"/>
      <c r="T16" s="296"/>
    </row>
    <row r="17" spans="1:20" ht="14.25" x14ac:dyDescent="0.2">
      <c r="A17" s="59">
        <v>205</v>
      </c>
      <c r="B17" s="59">
        <v>209</v>
      </c>
      <c r="C17" s="59" t="s">
        <v>71</v>
      </c>
      <c r="F17" s="20" t="s">
        <v>26</v>
      </c>
      <c r="G17" s="25" t="s">
        <v>15</v>
      </c>
      <c r="H17" s="26">
        <f t="shared" ref="H17:H18" ca="1" si="4">VLOOKUP($C17, INDIRECT("'"&amp;$B$4&amp;"'!$B$"&amp;$A17&amp;":"&amp;"$H$"&amp;$B17), H$2, FALSE)*H$12/H$14</f>
        <v>3.5928874734607219</v>
      </c>
      <c r="I17" s="27">
        <f t="shared" ca="1" si="3"/>
        <v>3.5928874734607219</v>
      </c>
      <c r="J17" s="27">
        <f t="shared" ca="1" si="3"/>
        <v>3.5890774125132556</v>
      </c>
      <c r="K17" s="27">
        <f t="shared" ca="1" si="3"/>
        <v>3.5890774125132556</v>
      </c>
      <c r="L17" s="27">
        <f t="shared" ca="1" si="3"/>
        <v>3.5853658536585367</v>
      </c>
      <c r="M17" s="28">
        <f t="shared" ca="1" si="3"/>
        <v>3.5890774125132556</v>
      </c>
      <c r="O17" s="296"/>
      <c r="P17" s="296"/>
      <c r="Q17" s="296"/>
      <c r="R17" s="296"/>
      <c r="S17" s="296"/>
      <c r="T17" s="296"/>
    </row>
    <row r="18" spans="1:20" ht="14.25" x14ac:dyDescent="0.2">
      <c r="A18" s="59">
        <v>205</v>
      </c>
      <c r="B18" s="59">
        <v>209</v>
      </c>
      <c r="C18" s="59" t="s">
        <v>72</v>
      </c>
      <c r="F18" s="20" t="s">
        <v>27</v>
      </c>
      <c r="G18" s="25" t="s">
        <v>15</v>
      </c>
      <c r="H18" s="21">
        <f t="shared" ca="1" si="4"/>
        <v>214341.40127388536</v>
      </c>
      <c r="I18" s="22">
        <f t="shared" ca="1" si="3"/>
        <v>214341.40127388536</v>
      </c>
      <c r="J18" s="22">
        <f t="shared" ca="1" si="3"/>
        <v>214114.10392364793</v>
      </c>
      <c r="K18" s="22">
        <f t="shared" ca="1" si="3"/>
        <v>214114.10392364793</v>
      </c>
      <c r="L18" s="22">
        <f t="shared" ca="1" si="3"/>
        <v>213892.68292682926</v>
      </c>
      <c r="M18" s="23">
        <f t="shared" ca="1" si="3"/>
        <v>214114.10392364793</v>
      </c>
      <c r="O18" s="296"/>
      <c r="P18" s="296"/>
      <c r="Q18" s="296"/>
      <c r="R18" s="296"/>
      <c r="S18" s="296"/>
      <c r="T18" s="296"/>
    </row>
    <row r="19" spans="1:20" x14ac:dyDescent="0.2">
      <c r="F19" s="5" t="s">
        <v>18</v>
      </c>
      <c r="G19" s="24"/>
      <c r="H19" s="29"/>
      <c r="I19" s="24"/>
      <c r="J19" s="24"/>
      <c r="K19" s="24"/>
      <c r="L19" s="24"/>
      <c r="M19" s="30"/>
      <c r="O19" s="296"/>
      <c r="P19" s="296"/>
      <c r="Q19" s="296"/>
      <c r="R19" s="296"/>
      <c r="S19" s="296"/>
      <c r="T19" s="296"/>
    </row>
    <row r="20" spans="1:20" ht="14.25" x14ac:dyDescent="0.2">
      <c r="A20" s="59">
        <v>205</v>
      </c>
      <c r="B20" s="59">
        <v>209</v>
      </c>
      <c r="C20" s="59" t="s">
        <v>70</v>
      </c>
      <c r="F20" s="20" t="s">
        <v>25</v>
      </c>
      <c r="G20" s="25" t="s">
        <v>15</v>
      </c>
      <c r="H20" s="26">
        <f ca="1">VLOOKUP($C20, INDIRECT("'"&amp;$B$4&amp;"'!$B$"&amp;$A20&amp;":"&amp;"$H$"&amp;$B20), H$2, FALSE)*H$13/H$14</f>
        <v>167.33121019108279</v>
      </c>
      <c r="I20" s="27">
        <f t="shared" ref="I20:M22" ca="1" si="5">VLOOKUP($C20, INDIRECT("'"&amp;$B$4&amp;"'!$B$"&amp;$A20&amp;":"&amp;"$H$"&amp;$B20), I$2, FALSE)*I$13/I$14</f>
        <v>167.50828025477708</v>
      </c>
      <c r="J20" s="27">
        <f t="shared" ca="1" si="5"/>
        <v>166.97688229056203</v>
      </c>
      <c r="K20" s="27">
        <f t="shared" ca="1" si="5"/>
        <v>166.97688229056203</v>
      </c>
      <c r="L20" s="27">
        <f t="shared" ca="1" si="5"/>
        <v>166.97688229056203</v>
      </c>
      <c r="M20" s="28">
        <f t="shared" ca="1" si="5"/>
        <v>166.97688229056203</v>
      </c>
      <c r="O20" s="296"/>
      <c r="P20" s="296"/>
      <c r="Q20" s="296"/>
      <c r="R20" s="296"/>
      <c r="S20" s="296"/>
      <c r="T20" s="296"/>
    </row>
    <row r="21" spans="1:20" ht="14.25" x14ac:dyDescent="0.2">
      <c r="A21" s="59">
        <v>205</v>
      </c>
      <c r="B21" s="59">
        <v>209</v>
      </c>
      <c r="C21" s="59" t="s">
        <v>71</v>
      </c>
      <c r="F21" s="20" t="s">
        <v>26</v>
      </c>
      <c r="G21" s="25" t="s">
        <v>15</v>
      </c>
      <c r="H21" s="26">
        <f t="shared" ref="H21:H22" ca="1" si="6">VLOOKUP($C21, INDIRECT("'"&amp;$B$4&amp;"'!$B$"&amp;$A21&amp;":"&amp;"$H$"&amp;$B21), H$2, FALSE)*H$13/H$14</f>
        <v>3.5111464968152868</v>
      </c>
      <c r="I21" s="27">
        <f t="shared" ca="1" si="5"/>
        <v>3.5148619957537157</v>
      </c>
      <c r="J21" s="27">
        <f t="shared" ca="1" si="5"/>
        <v>3.503711558854719</v>
      </c>
      <c r="K21" s="27">
        <f t="shared" ca="1" si="5"/>
        <v>3.503711558854719</v>
      </c>
      <c r="L21" s="27">
        <f t="shared" ca="1" si="5"/>
        <v>3.503711558854719</v>
      </c>
      <c r="M21" s="28">
        <f t="shared" ca="1" si="5"/>
        <v>3.503711558854719</v>
      </c>
      <c r="O21" s="296"/>
      <c r="P21" s="296"/>
      <c r="Q21" s="296"/>
      <c r="R21" s="296"/>
      <c r="S21" s="296"/>
      <c r="T21" s="296"/>
    </row>
    <row r="22" spans="1:20" ht="14.25" x14ac:dyDescent="0.2">
      <c r="A22" s="59">
        <v>205</v>
      </c>
      <c r="B22" s="59">
        <v>209</v>
      </c>
      <c r="C22" s="59" t="s">
        <v>72</v>
      </c>
      <c r="F22" s="20" t="s">
        <v>27</v>
      </c>
      <c r="G22" s="25" t="s">
        <v>15</v>
      </c>
      <c r="H22" s="21">
        <f t="shared" ca="1" si="6"/>
        <v>209464.96815286623</v>
      </c>
      <c r="I22" s="22">
        <f t="shared" ca="1" si="5"/>
        <v>209686.62420382164</v>
      </c>
      <c r="J22" s="22">
        <f t="shared" ca="1" si="5"/>
        <v>209021.42099681866</v>
      </c>
      <c r="K22" s="22">
        <f t="shared" ca="1" si="5"/>
        <v>209021.42099681866</v>
      </c>
      <c r="L22" s="22">
        <f t="shared" ca="1" si="5"/>
        <v>209021.42099681866</v>
      </c>
      <c r="M22" s="23">
        <f t="shared" ca="1" si="5"/>
        <v>209021.42099681866</v>
      </c>
      <c r="O22" s="296"/>
      <c r="P22" s="296"/>
      <c r="Q22" s="296"/>
      <c r="R22" s="296"/>
      <c r="S22" s="296"/>
      <c r="T22" s="296"/>
    </row>
    <row r="23" spans="1:20" x14ac:dyDescent="0.2">
      <c r="F23" s="5" t="s">
        <v>315</v>
      </c>
      <c r="G23" s="24"/>
      <c r="H23" s="21"/>
      <c r="I23" s="22"/>
      <c r="J23" s="22"/>
      <c r="K23" s="22"/>
      <c r="L23" s="22"/>
      <c r="M23" s="23"/>
      <c r="O23" s="296"/>
      <c r="P23" s="296"/>
      <c r="Q23" s="296"/>
      <c r="R23" s="296"/>
      <c r="S23" s="296"/>
      <c r="T23" s="296"/>
    </row>
    <row r="24" spans="1:20" ht="14.25" x14ac:dyDescent="0.2">
      <c r="A24" s="59">
        <v>219</v>
      </c>
      <c r="B24" s="59">
        <v>223</v>
      </c>
      <c r="C24" s="59" t="s">
        <v>70</v>
      </c>
      <c r="F24" s="20" t="s">
        <v>25</v>
      </c>
      <c r="G24" s="25" t="s">
        <v>15</v>
      </c>
      <c r="H24" s="190">
        <f ca="1">VLOOKUP($C24, INDIRECT("'"&amp;$B$4&amp;"'!$B$"&amp;$A24&amp;":"&amp;"$H$"&amp;$B24), H$2, FALSE)*H$12/H$14</f>
        <v>285.37791932059446</v>
      </c>
      <c r="I24" s="27">
        <f t="shared" ref="I24:M26" ca="1" si="7">VLOOKUP($C24, INDIRECT("'"&amp;$B$4&amp;"'!$B$"&amp;$A24&amp;":"&amp;"$H$"&amp;$B24), I$2, FALSE)*I$12/I$14</f>
        <v>285.37791932059446</v>
      </c>
      <c r="J24" s="27">
        <f t="shared" ca="1" si="7"/>
        <v>285.07529162248142</v>
      </c>
      <c r="K24" s="27">
        <f t="shared" ca="1" si="7"/>
        <v>285.07529162248142</v>
      </c>
      <c r="L24" s="27">
        <f t="shared" ca="1" si="7"/>
        <v>284.78048780487802</v>
      </c>
      <c r="M24" s="28">
        <f t="shared" ca="1" si="7"/>
        <v>285.07529162248142</v>
      </c>
      <c r="O24" s="296"/>
      <c r="P24" s="296"/>
      <c r="Q24" s="296"/>
      <c r="R24" s="296"/>
      <c r="S24" s="296"/>
      <c r="T24" s="296"/>
    </row>
    <row r="25" spans="1:20" ht="14.25" x14ac:dyDescent="0.2">
      <c r="A25" s="59">
        <v>219</v>
      </c>
      <c r="B25" s="59">
        <v>223</v>
      </c>
      <c r="C25" s="59" t="s">
        <v>71</v>
      </c>
      <c r="F25" s="20" t="s">
        <v>26</v>
      </c>
      <c r="G25" s="25" t="s">
        <v>15</v>
      </c>
      <c r="H25" s="26">
        <f t="shared" ref="H25:H26" ca="1" si="8">VLOOKUP($C25, INDIRECT("'"&amp;$B$4&amp;"'!$B$"&amp;$A25&amp;":"&amp;"$H$"&amp;$B25), H$2, FALSE)*H$12/H$14</f>
        <v>2.6690021231422505</v>
      </c>
      <c r="I25" s="27">
        <f t="shared" ca="1" si="7"/>
        <v>2.6690021231422505</v>
      </c>
      <c r="J25" s="27">
        <f t="shared" ca="1" si="7"/>
        <v>2.6661717921527042</v>
      </c>
      <c r="K25" s="27">
        <f t="shared" ca="1" si="7"/>
        <v>2.6661717921527042</v>
      </c>
      <c r="L25" s="27">
        <f t="shared" ca="1" si="7"/>
        <v>2.6634146341463416</v>
      </c>
      <c r="M25" s="28">
        <f t="shared" ca="1" si="7"/>
        <v>2.6661717921527042</v>
      </c>
      <c r="O25" s="296"/>
      <c r="P25" s="296"/>
      <c r="Q25" s="296"/>
      <c r="R25" s="296"/>
      <c r="S25" s="296"/>
      <c r="T25" s="296"/>
    </row>
    <row r="26" spans="1:20" ht="14.25" x14ac:dyDescent="0.2">
      <c r="A26" s="59">
        <v>219</v>
      </c>
      <c r="B26" s="59">
        <v>223</v>
      </c>
      <c r="C26" s="59" t="s">
        <v>72</v>
      </c>
      <c r="F26" s="20" t="s">
        <v>27</v>
      </c>
      <c r="G26" s="25" t="s">
        <v>15</v>
      </c>
      <c r="H26" s="21">
        <f t="shared" ca="1" si="8"/>
        <v>285788.53503184713</v>
      </c>
      <c r="I26" s="22">
        <f t="shared" ca="1" si="7"/>
        <v>285788.53503184713</v>
      </c>
      <c r="J26" s="22">
        <f t="shared" ca="1" si="7"/>
        <v>285485.47189819725</v>
      </c>
      <c r="K26" s="22">
        <f t="shared" ca="1" si="7"/>
        <v>285485.47189819725</v>
      </c>
      <c r="L26" s="22">
        <f t="shared" ca="1" si="7"/>
        <v>285190.24390243902</v>
      </c>
      <c r="M26" s="23">
        <f t="shared" ca="1" si="7"/>
        <v>285485.47189819725</v>
      </c>
      <c r="O26" s="296"/>
      <c r="P26" s="296"/>
      <c r="Q26" s="296"/>
      <c r="R26" s="296"/>
      <c r="S26" s="296"/>
      <c r="T26" s="296"/>
    </row>
    <row r="27" spans="1:20" x14ac:dyDescent="0.2">
      <c r="F27" s="5" t="s">
        <v>16</v>
      </c>
      <c r="G27" s="24"/>
      <c r="H27" s="29"/>
      <c r="I27" s="24"/>
      <c r="J27" s="24"/>
      <c r="K27" s="24"/>
      <c r="L27" s="24"/>
      <c r="M27" s="30"/>
      <c r="O27" s="296"/>
      <c r="P27" s="296"/>
      <c r="Q27" s="296"/>
      <c r="R27" s="296"/>
      <c r="S27" s="296"/>
      <c r="T27" s="296"/>
    </row>
    <row r="28" spans="1:20" ht="14.25" x14ac:dyDescent="0.2">
      <c r="A28" s="59">
        <v>219</v>
      </c>
      <c r="B28" s="59">
        <v>223</v>
      </c>
      <c r="C28" s="59" t="s">
        <v>70</v>
      </c>
      <c r="F28" s="20" t="s">
        <v>25</v>
      </c>
      <c r="G28" s="25" t="s">
        <v>15</v>
      </c>
      <c r="H28" s="26">
        <f ca="1">VLOOKUP($C28, INDIRECT("'"&amp;$B$4&amp;"'!$B$"&amp;$A28&amp;":"&amp;"$H$"&amp;$B28), H$2, FALSE)*H$13/H$14</f>
        <v>278.88535031847135</v>
      </c>
      <c r="I28" s="27">
        <f t="shared" ref="I28:M30" ca="1" si="9">VLOOKUP($C28, INDIRECT("'"&amp;$B$4&amp;"'!$B$"&amp;$A28&amp;":"&amp;"$H$"&amp;$B28), I$2, FALSE)*I$13/I$14</f>
        <v>279.1804670912951</v>
      </c>
      <c r="J28" s="27">
        <f t="shared" ca="1" si="9"/>
        <v>278.29480381760339</v>
      </c>
      <c r="K28" s="27">
        <f t="shared" ca="1" si="9"/>
        <v>278.29480381760339</v>
      </c>
      <c r="L28" s="27">
        <f t="shared" ca="1" si="9"/>
        <v>278.29480381760339</v>
      </c>
      <c r="M28" s="28">
        <f t="shared" ca="1" si="9"/>
        <v>278.29480381760339</v>
      </c>
      <c r="O28" s="296"/>
      <c r="P28" s="296"/>
      <c r="Q28" s="296"/>
      <c r="R28" s="296"/>
      <c r="S28" s="296"/>
      <c r="T28" s="296"/>
    </row>
    <row r="29" spans="1:20" ht="14.25" x14ac:dyDescent="0.2">
      <c r="A29" s="59">
        <v>219</v>
      </c>
      <c r="B29" s="59">
        <v>223</v>
      </c>
      <c r="C29" s="59" t="s">
        <v>71</v>
      </c>
      <c r="F29" s="20" t="s">
        <v>26</v>
      </c>
      <c r="G29" s="25" t="s">
        <v>15</v>
      </c>
      <c r="H29" s="26">
        <f t="shared" ref="H29:H30" ca="1" si="10">VLOOKUP($C29, INDIRECT("'"&amp;$B$4&amp;"'!$B$"&amp;$A29&amp;":"&amp;"$H$"&amp;$B29), H$2, FALSE)*H$13/H$14</f>
        <v>2.6082802547770703</v>
      </c>
      <c r="I29" s="27">
        <f t="shared" ca="1" si="9"/>
        <v>2.6110403397027602</v>
      </c>
      <c r="J29" s="27">
        <f t="shared" ca="1" si="9"/>
        <v>2.6027571580063626</v>
      </c>
      <c r="K29" s="27">
        <f t="shared" ca="1" si="9"/>
        <v>2.6027571580063626</v>
      </c>
      <c r="L29" s="27">
        <f t="shared" ca="1" si="9"/>
        <v>2.6027571580063626</v>
      </c>
      <c r="M29" s="28">
        <f t="shared" ca="1" si="9"/>
        <v>2.6027571580063626</v>
      </c>
      <c r="O29" s="296"/>
      <c r="P29" s="296"/>
      <c r="Q29" s="296"/>
      <c r="R29" s="296"/>
      <c r="S29" s="296"/>
      <c r="T29" s="296"/>
    </row>
    <row r="30" spans="1:20" ht="14.25" x14ac:dyDescent="0.2">
      <c r="A30" s="59">
        <v>219</v>
      </c>
      <c r="B30" s="59">
        <v>223</v>
      </c>
      <c r="C30" s="59" t="s">
        <v>72</v>
      </c>
      <c r="F30" s="20" t="s">
        <v>27</v>
      </c>
      <c r="G30" s="25" t="s">
        <v>15</v>
      </c>
      <c r="H30" s="21">
        <f t="shared" ca="1" si="10"/>
        <v>279286.62420382164</v>
      </c>
      <c r="I30" s="22">
        <f t="shared" ca="1" si="9"/>
        <v>279582.16560509556</v>
      </c>
      <c r="J30" s="22">
        <f t="shared" ca="1" si="9"/>
        <v>278695.22799575824</v>
      </c>
      <c r="K30" s="22">
        <f t="shared" ca="1" si="9"/>
        <v>278695.22799575824</v>
      </c>
      <c r="L30" s="22">
        <f t="shared" ca="1" si="9"/>
        <v>278695.22799575824</v>
      </c>
      <c r="M30" s="23">
        <f t="shared" ca="1" si="9"/>
        <v>278695.22799575824</v>
      </c>
      <c r="O30" s="296"/>
      <c r="P30" s="296"/>
      <c r="Q30" s="296"/>
      <c r="R30" s="296"/>
      <c r="S30" s="296"/>
      <c r="T30" s="296"/>
    </row>
    <row r="31" spans="1:20" x14ac:dyDescent="0.2">
      <c r="F31" s="4" t="s">
        <v>19</v>
      </c>
      <c r="G31" s="25"/>
      <c r="H31" s="29"/>
      <c r="I31" s="24"/>
      <c r="J31" s="24"/>
      <c r="K31" s="24"/>
      <c r="L31" s="24"/>
      <c r="M31" s="30"/>
      <c r="O31" s="296"/>
      <c r="P31" s="296"/>
      <c r="Q31" s="296"/>
      <c r="R31" s="296"/>
      <c r="S31" s="296"/>
      <c r="T31" s="296"/>
    </row>
    <row r="32" spans="1:20" x14ac:dyDescent="0.2">
      <c r="F32" s="31"/>
      <c r="G32" s="8"/>
      <c r="H32" s="53"/>
      <c r="I32" s="54"/>
      <c r="J32" s="54"/>
      <c r="K32" s="54"/>
      <c r="L32" s="54"/>
      <c r="M32" s="55"/>
      <c r="O32" s="296"/>
      <c r="P32" s="296"/>
      <c r="Q32" s="296"/>
      <c r="R32" s="296"/>
      <c r="S32" s="296"/>
      <c r="T32" s="296"/>
    </row>
    <row r="33" spans="1:20" ht="25.5" x14ac:dyDescent="0.2">
      <c r="A33" s="303" t="s">
        <v>343</v>
      </c>
      <c r="B33" s="303"/>
      <c r="C33" s="303"/>
      <c r="D33" s="271"/>
      <c r="F33" s="31" t="s">
        <v>55</v>
      </c>
      <c r="G33" s="8" t="s">
        <v>7</v>
      </c>
      <c r="H33" s="53">
        <v>100</v>
      </c>
      <c r="I33" s="54">
        <v>100</v>
      </c>
      <c r="J33" s="54">
        <v>100</v>
      </c>
      <c r="K33" s="54">
        <v>100</v>
      </c>
      <c r="L33" s="54">
        <v>100</v>
      </c>
      <c r="M33" s="55">
        <v>100</v>
      </c>
      <c r="O33" s="296"/>
      <c r="P33" s="296"/>
      <c r="Q33" s="296"/>
      <c r="R33" s="296"/>
      <c r="S33" s="296"/>
      <c r="T33" s="296"/>
    </row>
    <row r="34" spans="1:20" ht="13.5" thickBot="1" x14ac:dyDescent="0.25">
      <c r="A34" s="59">
        <v>16</v>
      </c>
      <c r="B34" s="59">
        <v>16</v>
      </c>
      <c r="C34" s="59" t="s">
        <v>87</v>
      </c>
      <c r="F34" s="32" t="s">
        <v>6</v>
      </c>
      <c r="G34" s="52" t="s">
        <v>11</v>
      </c>
      <c r="H34" s="56">
        <f ca="1">VLOOKUP($C34, INDIRECT("'"&amp;$B$4&amp;"'!$B$"&amp;$A34&amp;":"&amp;"$H$"&amp;$B34), H$2, FALSE)</f>
        <v>0.1003</v>
      </c>
      <c r="I34" s="57">
        <f t="shared" ref="I34:M34" ca="1" si="11">VLOOKUP($C34, INDIRECT("'"&amp;$B$4&amp;"'!$B$"&amp;$A34&amp;":"&amp;"$H$"&amp;$B34), I$2, FALSE)</f>
        <v>0.1003</v>
      </c>
      <c r="J34" s="57">
        <f t="shared" ca="1" si="11"/>
        <v>0.1003</v>
      </c>
      <c r="K34" s="57">
        <f t="shared" ca="1" si="11"/>
        <v>0.1003</v>
      </c>
      <c r="L34" s="57">
        <f t="shared" ca="1" si="11"/>
        <v>0.1003</v>
      </c>
      <c r="M34" s="58">
        <f t="shared" ca="1" si="11"/>
        <v>0.1003</v>
      </c>
      <c r="O34" s="296"/>
      <c r="P34" s="296"/>
      <c r="Q34" s="296"/>
      <c r="R34" s="296"/>
      <c r="S34" s="296"/>
      <c r="T34" s="296"/>
    </row>
    <row r="35" spans="1:20" ht="12.75" customHeight="1" x14ac:dyDescent="0.2">
      <c r="F35" s="6" t="s">
        <v>403</v>
      </c>
      <c r="G35" s="24"/>
      <c r="H35" s="34"/>
      <c r="I35" s="35"/>
      <c r="J35" s="35"/>
      <c r="K35" s="35"/>
      <c r="L35" s="35"/>
      <c r="M35" s="36"/>
      <c r="O35" s="296"/>
      <c r="P35" s="296"/>
      <c r="Q35" s="296"/>
      <c r="R35" s="296"/>
      <c r="S35" s="296"/>
      <c r="T35" s="296"/>
    </row>
    <row r="36" spans="1:20" x14ac:dyDescent="0.2">
      <c r="A36" s="59">
        <v>184</v>
      </c>
      <c r="B36" s="59">
        <v>187</v>
      </c>
      <c r="C36" s="59" t="s">
        <v>163</v>
      </c>
      <c r="D36" s="59" t="s">
        <v>165</v>
      </c>
      <c r="F36" s="20" t="s">
        <v>22</v>
      </c>
      <c r="G36" s="8" t="s">
        <v>9</v>
      </c>
      <c r="H36" s="191">
        <f ca="1">VLOOKUP($C36, INDIRECT("'"&amp;$B$4&amp;"'!$B$"&amp;$A36&amp;":"&amp;"$H$"&amp;$B36), H$2, FALSE)-VLOOKUP($D36, INDIRECT("'"&amp;$B$4&amp;"'!$B$"&amp;$A36&amp;":"&amp;"$H$"&amp;$B36), H$2, FALSE)</f>
        <v>8.91</v>
      </c>
      <c r="I36" s="41">
        <f t="shared" ref="I36:M36" ca="1" si="12">VLOOKUP($C36, INDIRECT("'"&amp;$B$4&amp;"'!$B$"&amp;$A36&amp;":"&amp;"$H$"&amp;$B36), I$2, FALSE)-VLOOKUP($D36, INDIRECT("'"&amp;$B$4&amp;"'!$B$"&amp;$A36&amp;":"&amp;"$H$"&amp;$B36), I$2, FALSE)</f>
        <v>9.3600000000000012</v>
      </c>
      <c r="J36" s="41">
        <f t="shared" ca="1" si="12"/>
        <v>9.0400000000000009</v>
      </c>
      <c r="K36" s="41">
        <f t="shared" ca="1" si="12"/>
        <v>9.0400000000000009</v>
      </c>
      <c r="L36" s="41">
        <f t="shared" ca="1" si="12"/>
        <v>9.14</v>
      </c>
      <c r="M36" s="42">
        <f t="shared" ca="1" si="12"/>
        <v>9.27</v>
      </c>
      <c r="O36" s="296"/>
      <c r="P36" s="296"/>
      <c r="Q36" s="296"/>
      <c r="R36" s="296"/>
      <c r="S36" s="296"/>
      <c r="T36" s="296"/>
    </row>
    <row r="37" spans="1:20" x14ac:dyDescent="0.2">
      <c r="A37" s="59">
        <v>190</v>
      </c>
      <c r="B37" s="59">
        <v>193</v>
      </c>
      <c r="C37" s="59" t="s">
        <v>163</v>
      </c>
      <c r="D37" s="59" t="s">
        <v>165</v>
      </c>
      <c r="F37" s="20" t="s">
        <v>23</v>
      </c>
      <c r="G37" s="8" t="s">
        <v>9</v>
      </c>
      <c r="H37" s="40">
        <f t="shared" ref="H37:M37" ca="1" si="13">VLOOKUP($C37, INDIRECT("'"&amp;$B$4&amp;"'!$B$"&amp;$A37&amp;":"&amp;"$H$"&amp;$B37), H$2, FALSE)-VLOOKUP($D37, INDIRECT("'"&amp;$B$4&amp;"'!$B$"&amp;$A37&amp;":"&amp;"$H$"&amp;$B37), H$2, FALSE)</f>
        <v>8.7800000000000011</v>
      </c>
      <c r="I37" s="41">
        <f t="shared" ca="1" si="13"/>
        <v>9.2000000000000011</v>
      </c>
      <c r="J37" s="41">
        <f t="shared" ca="1" si="13"/>
        <v>8.92</v>
      </c>
      <c r="K37" s="41">
        <f t="shared" ca="1" si="13"/>
        <v>8.92</v>
      </c>
      <c r="L37" s="41">
        <f t="shared" ca="1" si="13"/>
        <v>9.02</v>
      </c>
      <c r="M37" s="42">
        <f t="shared" ca="1" si="13"/>
        <v>9.120000000000001</v>
      </c>
      <c r="O37" s="296"/>
      <c r="P37" s="296"/>
      <c r="Q37" s="296"/>
      <c r="R37" s="296"/>
      <c r="S37" s="296"/>
      <c r="T37" s="296"/>
    </row>
    <row r="38" spans="1:20" x14ac:dyDescent="0.2">
      <c r="A38" s="59">
        <v>177</v>
      </c>
      <c r="B38" s="59">
        <v>180</v>
      </c>
      <c r="C38" s="59" t="s">
        <v>159</v>
      </c>
      <c r="F38" s="20" t="s">
        <v>420</v>
      </c>
      <c r="G38" s="8" t="s">
        <v>402</v>
      </c>
      <c r="H38" s="40">
        <f ca="1">VLOOKUP($C38, INDIRECT("'"&amp;$B$4&amp;"'!$B$"&amp;$A38&amp;":"&amp;"$H$"&amp;$B38), H$2, FALSE)*3</f>
        <v>570</v>
      </c>
      <c r="I38" s="41">
        <f t="shared" ref="I38:M38" ca="1" si="14">VLOOKUP($C38, INDIRECT("'"&amp;$B$4&amp;"'!$B$"&amp;$A38&amp;":"&amp;"$H$"&amp;$B38), I$2, FALSE)*3</f>
        <v>570</v>
      </c>
      <c r="J38" s="41">
        <f t="shared" ca="1" si="14"/>
        <v>570</v>
      </c>
      <c r="K38" s="41">
        <f t="shared" ca="1" si="14"/>
        <v>570</v>
      </c>
      <c r="L38" s="41">
        <f t="shared" ca="1" si="14"/>
        <v>570</v>
      </c>
      <c r="M38" s="42">
        <f t="shared" ca="1" si="14"/>
        <v>570</v>
      </c>
      <c r="O38" s="296"/>
      <c r="P38" s="296"/>
      <c r="Q38" s="296"/>
      <c r="R38" s="296"/>
      <c r="S38" s="296"/>
      <c r="T38" s="296"/>
    </row>
    <row r="39" spans="1:20" ht="13.5" thickBot="1" x14ac:dyDescent="0.25">
      <c r="A39" s="59">
        <v>177</v>
      </c>
      <c r="B39" s="59">
        <v>180</v>
      </c>
      <c r="C39" s="59" t="s">
        <v>160</v>
      </c>
      <c r="F39" s="32" t="s">
        <v>404</v>
      </c>
      <c r="G39" s="33" t="s">
        <v>8</v>
      </c>
      <c r="H39" s="43" t="str">
        <f t="shared" ref="H39" ca="1" si="15">VLOOKUP($C39, INDIRECT("'"&amp;$B$4&amp;"'!$B$"&amp;$A39&amp;":"&amp;"$H$"&amp;$B39), H$2, FALSE)</f>
        <v>N/A</v>
      </c>
      <c r="I39" s="44" t="str">
        <f t="shared" ref="I39:M39" ca="1" si="16">VLOOKUP($C39, INDIRECT("'"&amp;$B$4&amp;"'!$B$"&amp;$A39&amp;":"&amp;"$H$"&amp;$B39), I$2, FALSE)</f>
        <v>N/A</v>
      </c>
      <c r="J39" s="44" t="str">
        <f t="shared" ca="1" si="16"/>
        <v>N/A</v>
      </c>
      <c r="K39" s="44" t="str">
        <f t="shared" ca="1" si="16"/>
        <v>N/A</v>
      </c>
      <c r="L39" s="44" t="str">
        <f t="shared" ca="1" si="16"/>
        <v>N/A</v>
      </c>
      <c r="M39" s="45" t="str">
        <f t="shared" ca="1" si="16"/>
        <v>N/A</v>
      </c>
    </row>
    <row r="41" spans="1:20" x14ac:dyDescent="0.2">
      <c r="F41" s="10" t="s">
        <v>419</v>
      </c>
    </row>
  </sheetData>
  <mergeCells count="3">
    <mergeCell ref="H4:M4"/>
    <mergeCell ref="H6:M6"/>
    <mergeCell ref="A33:C33"/>
  </mergeCell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41"/>
  <sheetViews>
    <sheetView topLeftCell="D3" workbookViewId="0">
      <selection activeCell="D3" sqref="D3"/>
    </sheetView>
  </sheetViews>
  <sheetFormatPr defaultRowHeight="12.75" outlineLevelRow="1" outlineLevelCol="1" x14ac:dyDescent="0.2"/>
  <cols>
    <col min="1" max="1" width="13" style="59" hidden="1" customWidth="1" outlineLevel="1"/>
    <col min="2" max="2" width="13.33203125" style="59" hidden="1" customWidth="1" outlineLevel="1"/>
    <col min="3" max="3" width="38" style="59" hidden="1" customWidth="1" outlineLevel="1"/>
    <col min="4" max="4" width="1.83203125" style="10" customWidth="1" collapsed="1"/>
    <col min="5" max="5" width="43.5" style="10" customWidth="1"/>
    <col min="6" max="6" width="16" style="10" customWidth="1"/>
    <col min="7" max="7" width="16.33203125" style="10" customWidth="1"/>
    <col min="8" max="8" width="16.5" style="10" customWidth="1"/>
    <col min="9" max="9" width="16.33203125" style="10" customWidth="1"/>
    <col min="10" max="10" width="16.1640625" style="10" customWidth="1"/>
    <col min="11" max="11" width="17.5" style="10" customWidth="1"/>
    <col min="12" max="12" width="17.83203125" style="10" customWidth="1"/>
    <col min="13" max="16384" width="9.33203125" style="10"/>
  </cols>
  <sheetData>
    <row r="1" spans="1:19" s="59" customFormat="1" hidden="1" outlineLevel="1" x14ac:dyDescent="0.2">
      <c r="G1" s="59" t="s">
        <v>58</v>
      </c>
      <c r="H1" s="59" t="s">
        <v>59</v>
      </c>
      <c r="I1" s="59" t="s">
        <v>60</v>
      </c>
      <c r="J1" s="59" t="s">
        <v>61</v>
      </c>
      <c r="K1" s="59" t="s">
        <v>62</v>
      </c>
      <c r="L1" s="59" t="s">
        <v>63</v>
      </c>
    </row>
    <row r="2" spans="1:19" s="59" customFormat="1" hidden="1" outlineLevel="1" x14ac:dyDescent="0.2">
      <c r="G2" s="59">
        <f>MATCH(G1, '[1]1x HA.02 25ppm'!$B$6:$H$6)</f>
        <v>7</v>
      </c>
      <c r="H2" s="59">
        <f>MATCH(H1, '[1]1x HA.02 25ppm'!$B$6:$H$6)</f>
        <v>6</v>
      </c>
      <c r="I2" s="59">
        <f>MATCH(I1, '[1]1x HA.02 25ppm'!$B$6:$H$6)</f>
        <v>4</v>
      </c>
      <c r="J2" s="59">
        <f>MATCH(J1, '[1]1x HA.02 25ppm'!$B$6:$H$6)</f>
        <v>5</v>
      </c>
      <c r="K2" s="59">
        <f>MATCH(K1, '[1]1x HA.02 25ppm'!$B$6:$H$6)</f>
        <v>3</v>
      </c>
      <c r="L2" s="59">
        <f>MATCH(L1, '[1]1x HA.02 25ppm'!$B$6:$H$6)</f>
        <v>2</v>
      </c>
    </row>
    <row r="3" spans="1:19" ht="13.5" collapsed="1" thickBot="1" x14ac:dyDescent="0.25"/>
    <row r="4" spans="1:19" ht="14.25" x14ac:dyDescent="0.2">
      <c r="A4" s="60" t="s">
        <v>73</v>
      </c>
      <c r="B4" s="59" t="s">
        <v>266</v>
      </c>
      <c r="E4" s="11"/>
      <c r="F4" s="12"/>
      <c r="G4" s="297" t="s">
        <v>362</v>
      </c>
      <c r="H4" s="298"/>
      <c r="I4" s="298"/>
      <c r="J4" s="298"/>
      <c r="K4" s="298"/>
      <c r="L4" s="299"/>
    </row>
    <row r="5" spans="1:19" ht="26.25" thickBot="1" x14ac:dyDescent="0.25">
      <c r="E5" s="3" t="s">
        <v>0</v>
      </c>
      <c r="F5" s="2" t="s">
        <v>1</v>
      </c>
      <c r="G5" s="13" t="s">
        <v>3</v>
      </c>
      <c r="H5" s="13" t="s">
        <v>28</v>
      </c>
      <c r="I5" s="13" t="s">
        <v>20</v>
      </c>
      <c r="J5" s="14" t="s">
        <v>21</v>
      </c>
      <c r="K5" s="13" t="s">
        <v>4</v>
      </c>
      <c r="L5" s="15" t="s">
        <v>5</v>
      </c>
    </row>
    <row r="6" spans="1:19" ht="25.5" customHeight="1" x14ac:dyDescent="0.2">
      <c r="A6" s="189" t="s">
        <v>190</v>
      </c>
      <c r="B6" s="189" t="s">
        <v>191</v>
      </c>
      <c r="C6" s="189" t="s">
        <v>192</v>
      </c>
      <c r="E6" s="4" t="s">
        <v>12</v>
      </c>
      <c r="F6" s="1"/>
      <c r="G6" s="300"/>
      <c r="H6" s="301"/>
      <c r="I6" s="301"/>
      <c r="J6" s="301"/>
      <c r="K6" s="301"/>
      <c r="L6" s="302"/>
    </row>
    <row r="7" spans="1:19" x14ac:dyDescent="0.2">
      <c r="E7" s="5" t="s">
        <v>64</v>
      </c>
      <c r="F7" s="1"/>
      <c r="G7" s="16"/>
      <c r="H7" s="17"/>
      <c r="I7" s="17"/>
      <c r="J7" s="18"/>
      <c r="K7" s="17"/>
      <c r="L7" s="19"/>
    </row>
    <row r="8" spans="1:19" x14ac:dyDescent="0.2">
      <c r="A8" s="59">
        <v>32</v>
      </c>
      <c r="B8" s="59">
        <v>40</v>
      </c>
      <c r="C8" s="59" t="s">
        <v>65</v>
      </c>
      <c r="E8" s="20" t="s">
        <v>67</v>
      </c>
      <c r="F8" s="8" t="s">
        <v>2</v>
      </c>
      <c r="G8" s="37">
        <f ca="1">VLOOKUP($C8, INDIRECT("'"&amp;$B$4&amp;"'!$B$"&amp;$A8&amp;":"&amp;"$H$"&amp;$B8), G$2, FALSE)/1000</f>
        <v>166.6</v>
      </c>
      <c r="H8" s="38">
        <f t="shared" ref="H8:L9" ca="1" si="0">VLOOKUP($C8, INDIRECT("'"&amp;$B$4&amp;"'!$B$"&amp;$A8&amp;":"&amp;"$H$"&amp;$B8), H$2, FALSE)/1000</f>
        <v>166.5</v>
      </c>
      <c r="I8" s="38">
        <f t="shared" ca="1" si="0"/>
        <v>166.5</v>
      </c>
      <c r="J8" s="38">
        <f t="shared" ca="1" si="0"/>
        <v>166.5</v>
      </c>
      <c r="K8" s="38">
        <f t="shared" ca="1" si="0"/>
        <v>166.7</v>
      </c>
      <c r="L8" s="39">
        <f t="shared" ca="1" si="0"/>
        <v>166.7</v>
      </c>
      <c r="N8" s="296"/>
      <c r="O8" s="296"/>
      <c r="P8" s="296"/>
      <c r="Q8" s="296"/>
      <c r="R8" s="296"/>
      <c r="S8" s="296"/>
    </row>
    <row r="9" spans="1:19" x14ac:dyDescent="0.2">
      <c r="A9" s="59">
        <v>44</v>
      </c>
      <c r="B9" s="59">
        <v>52</v>
      </c>
      <c r="C9" s="59" t="s">
        <v>65</v>
      </c>
      <c r="E9" s="20" t="s">
        <v>68</v>
      </c>
      <c r="F9" s="8" t="s">
        <v>2</v>
      </c>
      <c r="G9" s="37">
        <f t="shared" ref="G9" ca="1" si="1">VLOOKUP($C9, INDIRECT("'"&amp;$B$4&amp;"'!$B$"&amp;$A9&amp;":"&amp;"$H$"&amp;$B9), G$2, FALSE)/1000</f>
        <v>188.2</v>
      </c>
      <c r="H9" s="38">
        <f t="shared" ca="1" si="0"/>
        <v>188.2</v>
      </c>
      <c r="I9" s="38">
        <f t="shared" ca="1" si="0"/>
        <v>188.2</v>
      </c>
      <c r="J9" s="38">
        <f t="shared" ca="1" si="0"/>
        <v>188.2</v>
      </c>
      <c r="K9" s="38">
        <f t="shared" ca="1" si="0"/>
        <v>188.2</v>
      </c>
      <c r="L9" s="39">
        <f t="shared" ca="1" si="0"/>
        <v>188.2</v>
      </c>
      <c r="N9" s="296"/>
      <c r="O9" s="296"/>
      <c r="P9" s="296"/>
      <c r="Q9" s="296"/>
      <c r="R9" s="296"/>
      <c r="S9" s="296"/>
    </row>
    <row r="10" spans="1:19" x14ac:dyDescent="0.2">
      <c r="E10" s="20"/>
      <c r="F10" s="8"/>
      <c r="G10" s="37"/>
      <c r="H10" s="38"/>
      <c r="I10" s="38"/>
      <c r="J10" s="38"/>
      <c r="K10" s="38"/>
      <c r="L10" s="39"/>
      <c r="N10" s="296"/>
      <c r="O10" s="296"/>
      <c r="P10" s="296"/>
      <c r="Q10" s="296"/>
      <c r="R10" s="296"/>
      <c r="S10" s="296"/>
    </row>
    <row r="11" spans="1:19" x14ac:dyDescent="0.2">
      <c r="E11" s="5" t="s">
        <v>66</v>
      </c>
      <c r="F11" s="8"/>
      <c r="G11" s="7"/>
      <c r="H11" s="8"/>
      <c r="I11" s="8"/>
      <c r="J11" s="8"/>
      <c r="K11" s="8"/>
      <c r="L11" s="9"/>
      <c r="N11" s="296"/>
      <c r="O11" s="296"/>
      <c r="P11" s="296"/>
      <c r="Q11" s="296"/>
      <c r="R11" s="296"/>
      <c r="S11" s="296"/>
    </row>
    <row r="12" spans="1:19" x14ac:dyDescent="0.2">
      <c r="A12" s="59">
        <v>32</v>
      </c>
      <c r="B12" s="59">
        <v>40</v>
      </c>
      <c r="C12" s="59" t="s">
        <v>69</v>
      </c>
      <c r="E12" s="20" t="s">
        <v>13</v>
      </c>
      <c r="F12" s="8" t="s">
        <v>10</v>
      </c>
      <c r="G12" s="21">
        <f ca="1">VLOOKUP($C12, INDIRECT("'"&amp;$B$4&amp;"'!$B$"&amp;$A12&amp;":"&amp;"$H$"&amp;$B12), G$2, FALSE)</f>
        <v>9670</v>
      </c>
      <c r="H12" s="22">
        <f t="shared" ref="H12:L14" ca="1" si="2">VLOOKUP($C12, INDIRECT("'"&amp;$B$4&amp;"'!$B$"&amp;$A12&amp;":"&amp;"$H$"&amp;$B12), H$2, FALSE)</f>
        <v>9670</v>
      </c>
      <c r="I12" s="22">
        <f t="shared" ca="1" si="2"/>
        <v>9670</v>
      </c>
      <c r="J12" s="22">
        <f t="shared" ca="1" si="2"/>
        <v>9670</v>
      </c>
      <c r="K12" s="22">
        <f t="shared" ca="1" si="2"/>
        <v>9660</v>
      </c>
      <c r="L12" s="23">
        <f t="shared" ca="1" si="2"/>
        <v>9670</v>
      </c>
      <c r="N12" s="296"/>
      <c r="O12" s="296"/>
      <c r="P12" s="296"/>
      <c r="Q12" s="296"/>
      <c r="R12" s="296"/>
      <c r="S12" s="296"/>
    </row>
    <row r="13" spans="1:19" x14ac:dyDescent="0.2">
      <c r="A13" s="59">
        <v>44</v>
      </c>
      <c r="B13" s="59">
        <v>52</v>
      </c>
      <c r="C13" s="59" t="s">
        <v>69</v>
      </c>
      <c r="E13" s="20" t="s">
        <v>14</v>
      </c>
      <c r="F13" s="8" t="s">
        <v>10</v>
      </c>
      <c r="G13" s="21">
        <f ca="1">VLOOKUP($C13, INDIRECT("'"&amp;$B$4&amp;"'!$B$"&amp;$A13&amp;":"&amp;"$H$"&amp;$B13), G$2, FALSE)</f>
        <v>9450</v>
      </c>
      <c r="H13" s="22">
        <f t="shared" ca="1" si="2"/>
        <v>9460</v>
      </c>
      <c r="I13" s="22">
        <f t="shared" ca="1" si="2"/>
        <v>9440</v>
      </c>
      <c r="J13" s="22">
        <f t="shared" ca="1" si="2"/>
        <v>9440</v>
      </c>
      <c r="K13" s="22">
        <f t="shared" ca="1" si="2"/>
        <v>9440</v>
      </c>
      <c r="L13" s="23">
        <f t="shared" ca="1" si="2"/>
        <v>9440</v>
      </c>
      <c r="N13" s="296"/>
      <c r="O13" s="296"/>
      <c r="P13" s="296"/>
      <c r="Q13" s="296"/>
      <c r="R13" s="296"/>
      <c r="S13" s="296"/>
    </row>
    <row r="14" spans="1:19" x14ac:dyDescent="0.2">
      <c r="A14" s="59">
        <v>56</v>
      </c>
      <c r="B14" s="59">
        <v>64</v>
      </c>
      <c r="C14" s="59" t="s">
        <v>69</v>
      </c>
      <c r="E14" s="282" t="s">
        <v>405</v>
      </c>
      <c r="F14" s="283" t="s">
        <v>10</v>
      </c>
      <c r="G14" s="284">
        <f ca="1">VLOOKUP($C14, INDIRECT("'"&amp;$B$4&amp;"'!$B$"&amp;$A14&amp;":"&amp;"$H$"&amp;$B14), G$2, FALSE)</f>
        <v>9420</v>
      </c>
      <c r="H14" s="285">
        <f t="shared" ca="1" si="2"/>
        <v>9420</v>
      </c>
      <c r="I14" s="285">
        <f t="shared" ca="1" si="2"/>
        <v>9430</v>
      </c>
      <c r="J14" s="285">
        <f t="shared" ca="1" si="2"/>
        <v>9430</v>
      </c>
      <c r="K14" s="285">
        <f t="shared" ca="1" si="2"/>
        <v>9430</v>
      </c>
      <c r="L14" s="286">
        <f t="shared" ca="1" si="2"/>
        <v>9430</v>
      </c>
      <c r="M14" s="287" t="s">
        <v>406</v>
      </c>
      <c r="N14" s="296"/>
      <c r="O14" s="296"/>
      <c r="P14" s="296"/>
      <c r="Q14" s="296"/>
      <c r="R14" s="296"/>
      <c r="S14" s="296"/>
    </row>
    <row r="15" spans="1:19" x14ac:dyDescent="0.2">
      <c r="E15" s="5" t="s">
        <v>17</v>
      </c>
      <c r="F15" s="24"/>
      <c r="G15" s="7"/>
      <c r="H15" s="8"/>
      <c r="I15" s="8"/>
      <c r="J15" s="8"/>
      <c r="K15" s="8"/>
      <c r="L15" s="9"/>
      <c r="N15" s="296"/>
      <c r="O15" s="296"/>
      <c r="P15" s="296"/>
      <c r="Q15" s="296"/>
      <c r="R15" s="296"/>
      <c r="S15" s="296"/>
    </row>
    <row r="16" spans="1:19" ht="14.25" x14ac:dyDescent="0.2">
      <c r="A16" s="59">
        <v>211</v>
      </c>
      <c r="B16" s="59">
        <v>215</v>
      </c>
      <c r="C16" s="59" t="s">
        <v>70</v>
      </c>
      <c r="E16" s="20" t="s">
        <v>25</v>
      </c>
      <c r="F16" s="25" t="s">
        <v>15</v>
      </c>
      <c r="G16" s="190">
        <f ca="1">VLOOKUP($C16, INDIRECT("'"&amp;$B$4&amp;"'!$B$"&amp;$A16&amp;":"&amp;"$H$"&amp;$B16), G$2, FALSE)*G$12/G$14</f>
        <v>13.652972399150743</v>
      </c>
      <c r="H16" s="27">
        <f t="shared" ref="H16:L18" ca="1" si="3">VLOOKUP($C16, INDIRECT("'"&amp;$B$4&amp;"'!$B$"&amp;$A16&amp;":"&amp;"$H$"&amp;$B16), H$2, FALSE)*H$12/H$14</f>
        <v>13.652972399150743</v>
      </c>
      <c r="I16" s="27">
        <f t="shared" ca="1" si="3"/>
        <v>13.638494167550371</v>
      </c>
      <c r="J16" s="288">
        <f ca="1">VLOOKUP($C16, INDIRECT("'"&amp;$B$4&amp;"'!$B$"&amp;$A16&amp;":"&amp;"$H$"&amp;$B16), J$2, FALSE)*J$12/J$14</f>
        <v>13.638494167550371</v>
      </c>
      <c r="K16" s="27">
        <f t="shared" ca="1" si="3"/>
        <v>13.62439024390244</v>
      </c>
      <c r="L16" s="28">
        <f t="shared" ca="1" si="3"/>
        <v>13.638494167550371</v>
      </c>
      <c r="N16" s="296"/>
      <c r="O16" s="296"/>
      <c r="P16" s="296"/>
      <c r="Q16" s="296"/>
      <c r="R16" s="296"/>
      <c r="S16" s="296"/>
    </row>
    <row r="17" spans="1:19" ht="14.25" x14ac:dyDescent="0.2">
      <c r="A17" s="59">
        <v>211</v>
      </c>
      <c r="B17" s="59">
        <v>215</v>
      </c>
      <c r="C17" s="59" t="s">
        <v>71</v>
      </c>
      <c r="E17" s="20" t="s">
        <v>26</v>
      </c>
      <c r="F17" s="25" t="s">
        <v>15</v>
      </c>
      <c r="G17" s="26">
        <f t="shared" ref="G17:J18" ca="1" si="4">VLOOKUP($C17, INDIRECT("'"&amp;$B$4&amp;"'!$B$"&amp;$A17&amp;":"&amp;"$H$"&amp;$B17), G$2, FALSE)*G$12/G$14</f>
        <v>3.5928874734607219</v>
      </c>
      <c r="H17" s="27">
        <f t="shared" ca="1" si="3"/>
        <v>3.5928874734607219</v>
      </c>
      <c r="I17" s="27">
        <f t="shared" ca="1" si="3"/>
        <v>3.5890774125132556</v>
      </c>
      <c r="J17" s="27">
        <f t="shared" ca="1" si="4"/>
        <v>3.5890774125132556</v>
      </c>
      <c r="K17" s="27">
        <f t="shared" ca="1" si="3"/>
        <v>3.5853658536585367</v>
      </c>
      <c r="L17" s="28">
        <f t="shared" ca="1" si="3"/>
        <v>3.5890774125132556</v>
      </c>
      <c r="N17" s="296"/>
      <c r="O17" s="296"/>
      <c r="P17" s="296"/>
      <c r="Q17" s="296"/>
      <c r="R17" s="296"/>
      <c r="S17" s="296"/>
    </row>
    <row r="18" spans="1:19" ht="14.25" x14ac:dyDescent="0.2">
      <c r="A18" s="59">
        <v>211</v>
      </c>
      <c r="B18" s="59">
        <v>215</v>
      </c>
      <c r="C18" s="59" t="s">
        <v>72</v>
      </c>
      <c r="E18" s="20" t="s">
        <v>27</v>
      </c>
      <c r="F18" s="25" t="s">
        <v>15</v>
      </c>
      <c r="G18" s="21">
        <f t="shared" ca="1" si="4"/>
        <v>214341.40127388536</v>
      </c>
      <c r="H18" s="22">
        <f t="shared" ca="1" si="3"/>
        <v>214341.40127388536</v>
      </c>
      <c r="I18" s="22">
        <f t="shared" ca="1" si="3"/>
        <v>214114.10392364793</v>
      </c>
      <c r="J18" s="22">
        <f t="shared" ca="1" si="4"/>
        <v>214114.10392364793</v>
      </c>
      <c r="K18" s="22">
        <f t="shared" ca="1" si="3"/>
        <v>213892.68292682926</v>
      </c>
      <c r="L18" s="23">
        <f t="shared" ca="1" si="3"/>
        <v>214114.10392364793</v>
      </c>
      <c r="N18" s="296"/>
      <c r="O18" s="296"/>
      <c r="P18" s="296"/>
      <c r="Q18" s="296"/>
      <c r="R18" s="296"/>
      <c r="S18" s="296"/>
    </row>
    <row r="19" spans="1:19" x14ac:dyDescent="0.2">
      <c r="E19" s="5" t="s">
        <v>18</v>
      </c>
      <c r="F19" s="24"/>
      <c r="G19" s="29"/>
      <c r="H19" s="24"/>
      <c r="I19" s="24"/>
      <c r="J19" s="24"/>
      <c r="K19" s="24"/>
      <c r="L19" s="30"/>
      <c r="N19" s="296"/>
      <c r="O19" s="296"/>
      <c r="P19" s="296"/>
      <c r="Q19" s="296"/>
      <c r="R19" s="296"/>
      <c r="S19" s="296"/>
    </row>
    <row r="20" spans="1:19" ht="14.25" x14ac:dyDescent="0.2">
      <c r="A20" s="59">
        <v>211</v>
      </c>
      <c r="B20" s="59">
        <v>215</v>
      </c>
      <c r="C20" s="59" t="s">
        <v>70</v>
      </c>
      <c r="E20" s="20" t="s">
        <v>25</v>
      </c>
      <c r="F20" s="25" t="s">
        <v>15</v>
      </c>
      <c r="G20" s="26">
        <f ca="1">VLOOKUP($C20, INDIRECT("'"&amp;$B$4&amp;"'!$B$"&amp;$A20&amp;":"&amp;"$H$"&amp;$B20), G$2, FALSE)*G$13/G$14</f>
        <v>13.342356687898089</v>
      </c>
      <c r="H20" s="27">
        <f t="shared" ref="H20:L22" ca="1" si="5">VLOOKUP($C20, INDIRECT("'"&amp;$B$4&amp;"'!$B$"&amp;$A20&amp;":"&amp;"$H$"&amp;$B20), H$2, FALSE)*H$13/H$14</f>
        <v>13.356475583864119</v>
      </c>
      <c r="I20" s="27">
        <f t="shared" ca="1" si="5"/>
        <v>13.314103923647933</v>
      </c>
      <c r="J20" s="27">
        <f ca="1">VLOOKUP($C20, INDIRECT("'"&amp;$B$4&amp;"'!$B$"&amp;$A20&amp;":"&amp;"$H$"&amp;$B20), J$2, FALSE)*J$13/J$14</f>
        <v>13.314103923647933</v>
      </c>
      <c r="K20" s="27">
        <f t="shared" ca="1" si="5"/>
        <v>13.314103923647933</v>
      </c>
      <c r="L20" s="28">
        <f t="shared" ca="1" si="5"/>
        <v>13.314103923647933</v>
      </c>
      <c r="N20" s="296"/>
      <c r="O20" s="296"/>
      <c r="P20" s="296"/>
      <c r="Q20" s="296"/>
      <c r="R20" s="296"/>
      <c r="S20" s="296"/>
    </row>
    <row r="21" spans="1:19" ht="14.25" x14ac:dyDescent="0.2">
      <c r="A21" s="59">
        <v>211</v>
      </c>
      <c r="B21" s="59">
        <v>215</v>
      </c>
      <c r="C21" s="59" t="s">
        <v>71</v>
      </c>
      <c r="E21" s="20" t="s">
        <v>26</v>
      </c>
      <c r="F21" s="25" t="s">
        <v>15</v>
      </c>
      <c r="G21" s="26">
        <f t="shared" ref="G21:J22" ca="1" si="6">VLOOKUP($C21, INDIRECT("'"&amp;$B$4&amp;"'!$B$"&amp;$A21&amp;":"&amp;"$H$"&amp;$B21), G$2, FALSE)*G$13/G$14</f>
        <v>3.5111464968152868</v>
      </c>
      <c r="H21" s="27">
        <f t="shared" ca="1" si="5"/>
        <v>3.5148619957537157</v>
      </c>
      <c r="I21" s="27">
        <f t="shared" ca="1" si="5"/>
        <v>3.503711558854719</v>
      </c>
      <c r="J21" s="27">
        <f t="shared" ca="1" si="6"/>
        <v>3.503711558854719</v>
      </c>
      <c r="K21" s="27">
        <f t="shared" ca="1" si="5"/>
        <v>3.503711558854719</v>
      </c>
      <c r="L21" s="28">
        <f t="shared" ca="1" si="5"/>
        <v>3.503711558854719</v>
      </c>
      <c r="N21" s="296"/>
      <c r="O21" s="296"/>
      <c r="P21" s="296"/>
      <c r="Q21" s="296"/>
      <c r="R21" s="296"/>
      <c r="S21" s="296"/>
    </row>
    <row r="22" spans="1:19" ht="14.25" x14ac:dyDescent="0.2">
      <c r="A22" s="59">
        <v>211</v>
      </c>
      <c r="B22" s="59">
        <v>215</v>
      </c>
      <c r="C22" s="59" t="s">
        <v>72</v>
      </c>
      <c r="E22" s="20" t="s">
        <v>27</v>
      </c>
      <c r="F22" s="25" t="s">
        <v>15</v>
      </c>
      <c r="G22" s="21">
        <f t="shared" ca="1" si="6"/>
        <v>209464.96815286623</v>
      </c>
      <c r="H22" s="22">
        <f t="shared" ca="1" si="5"/>
        <v>209686.62420382164</v>
      </c>
      <c r="I22" s="22">
        <f t="shared" ca="1" si="5"/>
        <v>209021.42099681866</v>
      </c>
      <c r="J22" s="22">
        <f t="shared" ca="1" si="6"/>
        <v>209021.42099681866</v>
      </c>
      <c r="K22" s="22">
        <f t="shared" ca="1" si="5"/>
        <v>209021.42099681866</v>
      </c>
      <c r="L22" s="23">
        <f t="shared" ca="1" si="5"/>
        <v>209021.42099681866</v>
      </c>
      <c r="N22" s="296"/>
      <c r="O22" s="296"/>
      <c r="P22" s="296"/>
      <c r="Q22" s="296"/>
      <c r="R22" s="296"/>
      <c r="S22" s="296"/>
    </row>
    <row r="23" spans="1:19" x14ac:dyDescent="0.2">
      <c r="E23" s="5" t="s">
        <v>315</v>
      </c>
      <c r="F23" s="24"/>
      <c r="G23" s="21"/>
      <c r="H23" s="22"/>
      <c r="I23" s="22"/>
      <c r="J23" s="22"/>
      <c r="K23" s="22"/>
      <c r="L23" s="23"/>
      <c r="N23" s="296"/>
      <c r="O23" s="296"/>
      <c r="P23" s="296"/>
      <c r="Q23" s="296"/>
      <c r="R23" s="296"/>
      <c r="S23" s="296"/>
    </row>
    <row r="24" spans="1:19" ht="14.25" x14ac:dyDescent="0.2">
      <c r="A24" s="59">
        <v>226</v>
      </c>
      <c r="B24" s="59">
        <v>229</v>
      </c>
      <c r="C24" s="59" t="s">
        <v>70</v>
      </c>
      <c r="E24" s="20" t="s">
        <v>25</v>
      </c>
      <c r="F24" s="25" t="s">
        <v>15</v>
      </c>
      <c r="G24" s="190">
        <f ca="1">VLOOKUP($C24, INDIRECT("'"&amp;$B$4&amp;"'!$B$"&amp;$A24&amp;":"&amp;"$H$"&amp;$B24), G$2, FALSE)*G$12/G$14</f>
        <v>42.806687898089173</v>
      </c>
      <c r="H24" s="27">
        <f t="shared" ref="H24:L26" ca="1" si="7">VLOOKUP($C24, INDIRECT("'"&amp;$B$4&amp;"'!$B$"&amp;$A24&amp;":"&amp;"$H$"&amp;$B24), H$2, FALSE)*H$12/H$14</f>
        <v>42.806687898089173</v>
      </c>
      <c r="I24" s="27">
        <f t="shared" ca="1" si="7"/>
        <v>42.761293743372214</v>
      </c>
      <c r="J24" s="288">
        <f ca="1">VLOOKUP($C24, INDIRECT("'"&amp;$B$4&amp;"'!$B$"&amp;$A24&amp;":"&amp;"$H$"&amp;$B24), J$2, FALSE)*J$12/J$14</f>
        <v>42.761293743372214</v>
      </c>
      <c r="K24" s="27">
        <f t="shared" ca="1" si="7"/>
        <v>42.717073170731709</v>
      </c>
      <c r="L24" s="28">
        <f t="shared" ca="1" si="7"/>
        <v>42.761293743372214</v>
      </c>
      <c r="N24" s="296"/>
      <c r="O24" s="296"/>
      <c r="P24" s="296"/>
      <c r="Q24" s="296"/>
      <c r="R24" s="296"/>
      <c r="S24" s="296"/>
    </row>
    <row r="25" spans="1:19" ht="14.25" x14ac:dyDescent="0.2">
      <c r="A25" s="59">
        <v>226</v>
      </c>
      <c r="B25" s="59">
        <v>229</v>
      </c>
      <c r="C25" s="59" t="s">
        <v>71</v>
      </c>
      <c r="E25" s="20" t="s">
        <v>26</v>
      </c>
      <c r="F25" s="25" t="s">
        <v>15</v>
      </c>
      <c r="G25" s="26">
        <f t="shared" ref="G25:J26" ca="1" si="8">VLOOKUP($C25, INDIRECT("'"&amp;$B$4&amp;"'!$B$"&amp;$A25&amp;":"&amp;"$H$"&amp;$B25), G$2, FALSE)*G$12/G$14</f>
        <v>2.6690021231422505</v>
      </c>
      <c r="H25" s="27">
        <f t="shared" ca="1" si="7"/>
        <v>2.6690021231422505</v>
      </c>
      <c r="I25" s="27">
        <f t="shared" ca="1" si="7"/>
        <v>2.6661717921527042</v>
      </c>
      <c r="J25" s="27">
        <f t="shared" ca="1" si="8"/>
        <v>2.6661717921527042</v>
      </c>
      <c r="K25" s="27">
        <f t="shared" ca="1" si="7"/>
        <v>2.6634146341463416</v>
      </c>
      <c r="L25" s="28">
        <f t="shared" ca="1" si="7"/>
        <v>2.6661717921527042</v>
      </c>
      <c r="N25" s="296"/>
      <c r="O25" s="296"/>
      <c r="P25" s="296"/>
      <c r="Q25" s="296"/>
      <c r="R25" s="296"/>
      <c r="S25" s="296"/>
    </row>
    <row r="26" spans="1:19" ht="14.25" x14ac:dyDescent="0.2">
      <c r="A26" s="59">
        <v>226</v>
      </c>
      <c r="B26" s="59">
        <v>229</v>
      </c>
      <c r="C26" s="59" t="s">
        <v>72</v>
      </c>
      <c r="E26" s="20" t="s">
        <v>27</v>
      </c>
      <c r="F26" s="25" t="s">
        <v>15</v>
      </c>
      <c r="G26" s="21">
        <f t="shared" ca="1" si="8"/>
        <v>285788.53503184713</v>
      </c>
      <c r="H26" s="22">
        <f t="shared" ca="1" si="7"/>
        <v>285788.53503184713</v>
      </c>
      <c r="I26" s="22">
        <f t="shared" ca="1" si="7"/>
        <v>285485.47189819725</v>
      </c>
      <c r="J26" s="22">
        <f t="shared" ca="1" si="8"/>
        <v>285485.47189819725</v>
      </c>
      <c r="K26" s="22">
        <f t="shared" ca="1" si="7"/>
        <v>285190.24390243902</v>
      </c>
      <c r="L26" s="23">
        <f t="shared" ca="1" si="7"/>
        <v>285485.47189819725</v>
      </c>
      <c r="N26" s="296"/>
      <c r="O26" s="296"/>
      <c r="P26" s="296"/>
      <c r="Q26" s="296"/>
      <c r="R26" s="296"/>
      <c r="S26" s="296"/>
    </row>
    <row r="27" spans="1:19" x14ac:dyDescent="0.2">
      <c r="E27" s="5" t="s">
        <v>16</v>
      </c>
      <c r="F27" s="24"/>
      <c r="G27" s="29"/>
      <c r="H27" s="24"/>
      <c r="I27" s="24"/>
      <c r="J27" s="24"/>
      <c r="K27" s="24"/>
      <c r="L27" s="30"/>
      <c r="N27" s="296"/>
      <c r="O27" s="296"/>
      <c r="P27" s="296"/>
      <c r="Q27" s="296"/>
      <c r="R27" s="296"/>
      <c r="S27" s="296"/>
    </row>
    <row r="28" spans="1:19" ht="14.25" x14ac:dyDescent="0.2">
      <c r="A28" s="59">
        <v>226</v>
      </c>
      <c r="B28" s="59">
        <v>229</v>
      </c>
      <c r="C28" s="59" t="s">
        <v>70</v>
      </c>
      <c r="E28" s="20" t="s">
        <v>25</v>
      </c>
      <c r="F28" s="25" t="s">
        <v>15</v>
      </c>
      <c r="G28" s="26">
        <f ca="1">VLOOKUP($C28, INDIRECT("'"&amp;$B$4&amp;"'!$B$"&amp;$A28&amp;":"&amp;"$H$"&amp;$B28), G$2, FALSE)*G$13/G$14</f>
        <v>41.832802547770697</v>
      </c>
      <c r="H28" s="27">
        <f t="shared" ref="H28:L30" ca="1" si="9">VLOOKUP($C28, INDIRECT("'"&amp;$B$4&amp;"'!$B$"&amp;$A28&amp;":"&amp;"$H$"&amp;$B28), H$2, FALSE)*H$13/H$14</f>
        <v>41.877070063694269</v>
      </c>
      <c r="I28" s="27">
        <f t="shared" ca="1" si="9"/>
        <v>41.744220572640508</v>
      </c>
      <c r="J28" s="27">
        <f ca="1">VLOOKUP($C28, INDIRECT("'"&amp;$B$4&amp;"'!$B$"&amp;$A28&amp;":"&amp;"$H$"&amp;$B28), J$2, FALSE)*J$13/J$14</f>
        <v>41.744220572640508</v>
      </c>
      <c r="K28" s="27">
        <f t="shared" ca="1" si="9"/>
        <v>41.744220572640508</v>
      </c>
      <c r="L28" s="28">
        <f t="shared" ca="1" si="9"/>
        <v>41.744220572640508</v>
      </c>
      <c r="N28" s="296"/>
      <c r="O28" s="296"/>
      <c r="P28" s="296"/>
      <c r="Q28" s="296"/>
      <c r="R28" s="296"/>
      <c r="S28" s="296"/>
    </row>
    <row r="29" spans="1:19" ht="14.25" x14ac:dyDescent="0.2">
      <c r="A29" s="59">
        <v>226</v>
      </c>
      <c r="B29" s="59">
        <v>229</v>
      </c>
      <c r="C29" s="59" t="s">
        <v>71</v>
      </c>
      <c r="E29" s="20" t="s">
        <v>26</v>
      </c>
      <c r="F29" s="25" t="s">
        <v>15</v>
      </c>
      <c r="G29" s="26">
        <f t="shared" ref="G29:J30" ca="1" si="10">VLOOKUP($C29, INDIRECT("'"&amp;$B$4&amp;"'!$B$"&amp;$A29&amp;":"&amp;"$H$"&amp;$B29), G$2, FALSE)*G$13/G$14</f>
        <v>2.6082802547770703</v>
      </c>
      <c r="H29" s="27">
        <f t="shared" ca="1" si="9"/>
        <v>2.6110403397027602</v>
      </c>
      <c r="I29" s="27">
        <f t="shared" ca="1" si="9"/>
        <v>2.6027571580063626</v>
      </c>
      <c r="J29" s="27">
        <f t="shared" ca="1" si="10"/>
        <v>2.6027571580063626</v>
      </c>
      <c r="K29" s="27">
        <f t="shared" ca="1" si="9"/>
        <v>2.6027571580063626</v>
      </c>
      <c r="L29" s="28">
        <f t="shared" ca="1" si="9"/>
        <v>2.6027571580063626</v>
      </c>
      <c r="N29" s="296"/>
      <c r="O29" s="296"/>
      <c r="P29" s="296"/>
      <c r="Q29" s="296"/>
      <c r="R29" s="296"/>
      <c r="S29" s="296"/>
    </row>
    <row r="30" spans="1:19" ht="14.25" x14ac:dyDescent="0.2">
      <c r="A30" s="59">
        <v>226</v>
      </c>
      <c r="B30" s="59">
        <v>229</v>
      </c>
      <c r="C30" s="59" t="s">
        <v>72</v>
      </c>
      <c r="E30" s="20" t="s">
        <v>27</v>
      </c>
      <c r="F30" s="25" t="s">
        <v>15</v>
      </c>
      <c r="G30" s="21">
        <f t="shared" ca="1" si="10"/>
        <v>279286.62420382164</v>
      </c>
      <c r="H30" s="22">
        <f t="shared" ca="1" si="9"/>
        <v>279582.16560509556</v>
      </c>
      <c r="I30" s="22">
        <f t="shared" ca="1" si="9"/>
        <v>278695.22799575824</v>
      </c>
      <c r="J30" s="22">
        <f t="shared" ca="1" si="10"/>
        <v>278695.22799575824</v>
      </c>
      <c r="K30" s="22">
        <f t="shared" ca="1" si="9"/>
        <v>278695.22799575824</v>
      </c>
      <c r="L30" s="23">
        <f t="shared" ca="1" si="9"/>
        <v>278695.22799575824</v>
      </c>
      <c r="N30" s="296"/>
      <c r="O30" s="296"/>
      <c r="P30" s="296"/>
      <c r="Q30" s="296"/>
      <c r="R30" s="296"/>
      <c r="S30" s="296"/>
    </row>
    <row r="31" spans="1:19" x14ac:dyDescent="0.2">
      <c r="E31" s="4" t="s">
        <v>19</v>
      </c>
      <c r="F31" s="25"/>
      <c r="G31" s="29"/>
      <c r="H31" s="24"/>
      <c r="I31" s="24"/>
      <c r="J31" s="24"/>
      <c r="K31" s="24"/>
      <c r="L31" s="30"/>
      <c r="N31" s="296"/>
      <c r="O31" s="296"/>
      <c r="P31" s="296"/>
      <c r="Q31" s="296"/>
      <c r="R31" s="296"/>
      <c r="S31" s="296"/>
    </row>
    <row r="32" spans="1:19" x14ac:dyDescent="0.2">
      <c r="E32" s="31"/>
      <c r="F32" s="8"/>
      <c r="G32" s="53"/>
      <c r="H32" s="54"/>
      <c r="I32" s="54"/>
      <c r="J32" s="54"/>
      <c r="K32" s="54"/>
      <c r="L32" s="55"/>
      <c r="N32" s="296"/>
      <c r="O32" s="296"/>
      <c r="P32" s="296"/>
      <c r="Q32" s="296"/>
      <c r="R32" s="296"/>
      <c r="S32" s="296"/>
    </row>
    <row r="33" spans="1:19" ht="25.5" x14ac:dyDescent="0.2">
      <c r="A33" s="303" t="s">
        <v>343</v>
      </c>
      <c r="B33" s="303"/>
      <c r="C33" s="303"/>
      <c r="E33" s="31" t="s">
        <v>55</v>
      </c>
      <c r="F33" s="8" t="s">
        <v>7</v>
      </c>
      <c r="G33" s="53">
        <v>100</v>
      </c>
      <c r="H33" s="54">
        <v>100</v>
      </c>
      <c r="I33" s="54">
        <v>100</v>
      </c>
      <c r="J33" s="54">
        <v>100</v>
      </c>
      <c r="K33" s="54">
        <v>100</v>
      </c>
      <c r="L33" s="55">
        <v>100</v>
      </c>
      <c r="N33" s="296"/>
      <c r="O33" s="296"/>
      <c r="P33" s="296"/>
      <c r="Q33" s="296"/>
      <c r="R33" s="296"/>
      <c r="S33" s="296"/>
    </row>
    <row r="34" spans="1:19" ht="13.5" thickBot="1" x14ac:dyDescent="0.25">
      <c r="A34" s="59">
        <v>16</v>
      </c>
      <c r="B34" s="59">
        <v>16</v>
      </c>
      <c r="C34" s="59" t="s">
        <v>87</v>
      </c>
      <c r="E34" s="32" t="s">
        <v>6</v>
      </c>
      <c r="F34" s="52" t="s">
        <v>11</v>
      </c>
      <c r="G34" s="56">
        <f ca="1">VLOOKUP($C34, INDIRECT("'"&amp;$B$4&amp;"'!$B$"&amp;$A34&amp;":"&amp;"$H$"&amp;$B34), G$2, FALSE)</f>
        <v>0.1003</v>
      </c>
      <c r="H34" s="57">
        <f t="shared" ref="H34:L34" ca="1" si="11">VLOOKUP($C34, INDIRECT("'"&amp;$B$4&amp;"'!$B$"&amp;$A34&amp;":"&amp;"$H$"&amp;$B34), H$2, FALSE)</f>
        <v>0.1003</v>
      </c>
      <c r="I34" s="57">
        <f t="shared" ca="1" si="11"/>
        <v>0.1003</v>
      </c>
      <c r="J34" s="57">
        <f t="shared" ca="1" si="11"/>
        <v>0.1003</v>
      </c>
      <c r="K34" s="57">
        <f t="shared" ca="1" si="11"/>
        <v>0.1003</v>
      </c>
      <c r="L34" s="58">
        <f t="shared" ca="1" si="11"/>
        <v>0.1003</v>
      </c>
      <c r="N34" s="296"/>
      <c r="O34" s="296"/>
      <c r="P34" s="296"/>
      <c r="Q34" s="296"/>
      <c r="R34" s="296"/>
      <c r="S34" s="296"/>
    </row>
    <row r="35" spans="1:19" ht="12.75" customHeight="1" x14ac:dyDescent="0.2">
      <c r="E35" s="6" t="s">
        <v>403</v>
      </c>
      <c r="F35" s="24"/>
      <c r="G35" s="34"/>
      <c r="H35" s="35"/>
      <c r="I35" s="35"/>
      <c r="J35" s="35"/>
      <c r="K35" s="35"/>
      <c r="L35" s="36"/>
      <c r="N35" s="296"/>
      <c r="O35" s="296"/>
      <c r="P35" s="296"/>
      <c r="Q35" s="296"/>
      <c r="R35" s="296"/>
      <c r="S35" s="296"/>
    </row>
    <row r="36" spans="1:19" x14ac:dyDescent="0.2">
      <c r="A36" s="59">
        <v>184</v>
      </c>
      <c r="B36" s="59">
        <v>187</v>
      </c>
      <c r="C36" s="59" t="s">
        <v>163</v>
      </c>
      <c r="E36" s="20" t="s">
        <v>22</v>
      </c>
      <c r="F36" s="8" t="s">
        <v>9</v>
      </c>
      <c r="G36" s="191">
        <f ca="1">VLOOKUP($C36, INDIRECT("'"&amp;$B$4&amp;"'!$B$"&amp;$A36&amp;":"&amp;"$H$"&amp;$B36), G$2, FALSE)</f>
        <v>9.74</v>
      </c>
      <c r="H36" s="41">
        <f t="shared" ref="H36:L39" ca="1" si="12">VLOOKUP($C36, INDIRECT("'"&amp;$B$4&amp;"'!$B$"&amp;$A36&amp;":"&amp;"$H$"&amp;$B36), H$2, FALSE)</f>
        <v>10.190000000000001</v>
      </c>
      <c r="I36" s="41">
        <f t="shared" ca="1" si="12"/>
        <v>9.870000000000001</v>
      </c>
      <c r="J36" s="41">
        <f t="shared" ca="1" si="12"/>
        <v>9.870000000000001</v>
      </c>
      <c r="K36" s="41">
        <f t="shared" ca="1" si="12"/>
        <v>9.9700000000000006</v>
      </c>
      <c r="L36" s="42">
        <f t="shared" ca="1" si="12"/>
        <v>10.09</v>
      </c>
      <c r="N36" s="296"/>
      <c r="O36" s="296"/>
      <c r="P36" s="296"/>
      <c r="Q36" s="296"/>
      <c r="R36" s="296"/>
      <c r="S36" s="296"/>
    </row>
    <row r="37" spans="1:19" x14ac:dyDescent="0.2">
      <c r="A37" s="59">
        <v>190</v>
      </c>
      <c r="B37" s="59">
        <v>193</v>
      </c>
      <c r="C37" s="59" t="s">
        <v>163</v>
      </c>
      <c r="E37" s="20" t="s">
        <v>23</v>
      </c>
      <c r="F37" s="8" t="s">
        <v>9</v>
      </c>
      <c r="G37" s="40">
        <f t="shared" ref="G37:G39" ca="1" si="13">VLOOKUP($C37, INDIRECT("'"&amp;$B$4&amp;"'!$B$"&amp;$A37&amp;":"&amp;"$H$"&amp;$B37), G$2, FALSE)</f>
        <v>9.81</v>
      </c>
      <c r="H37" s="41">
        <f t="shared" ca="1" si="12"/>
        <v>10.23</v>
      </c>
      <c r="I37" s="41">
        <f t="shared" ca="1" si="12"/>
        <v>9.92</v>
      </c>
      <c r="J37" s="41">
        <f t="shared" ca="1" si="12"/>
        <v>9.92</v>
      </c>
      <c r="K37" s="41">
        <f t="shared" ca="1" si="12"/>
        <v>10.02</v>
      </c>
      <c r="L37" s="42">
        <f t="shared" ca="1" si="12"/>
        <v>10.120000000000001</v>
      </c>
      <c r="N37" s="296"/>
      <c r="O37" s="296"/>
      <c r="P37" s="296"/>
      <c r="Q37" s="296"/>
      <c r="R37" s="296"/>
      <c r="S37" s="296"/>
    </row>
    <row r="38" spans="1:19" x14ac:dyDescent="0.2">
      <c r="A38" s="59">
        <v>177</v>
      </c>
      <c r="B38" s="59">
        <v>180</v>
      </c>
      <c r="C38" s="59" t="s">
        <v>159</v>
      </c>
      <c r="E38" s="20" t="s">
        <v>420</v>
      </c>
      <c r="F38" s="8" t="s">
        <v>402</v>
      </c>
      <c r="G38" s="40">
        <f ca="1">VLOOKUP($C38, INDIRECT("'"&amp;$B$4&amp;"'!$B$"&amp;$A38&amp;":"&amp;"$H$"&amp;$B38), G$2, FALSE)*3</f>
        <v>570</v>
      </c>
      <c r="H38" s="41">
        <f t="shared" ref="H38:L38" ca="1" si="14">VLOOKUP($C38, INDIRECT("'"&amp;$B$4&amp;"'!$B$"&amp;$A38&amp;":"&amp;"$H$"&amp;$B38), H$2, FALSE)*3</f>
        <v>570</v>
      </c>
      <c r="I38" s="41">
        <f t="shared" ca="1" si="14"/>
        <v>570</v>
      </c>
      <c r="J38" s="41">
        <f t="shared" ca="1" si="14"/>
        <v>570</v>
      </c>
      <c r="K38" s="41">
        <f t="shared" ca="1" si="14"/>
        <v>570</v>
      </c>
      <c r="L38" s="42">
        <f t="shared" ca="1" si="14"/>
        <v>570</v>
      </c>
      <c r="N38" s="296"/>
      <c r="O38" s="296"/>
      <c r="P38" s="296"/>
      <c r="Q38" s="296"/>
      <c r="R38" s="296"/>
      <c r="S38" s="296"/>
    </row>
    <row r="39" spans="1:19" ht="13.5" thickBot="1" x14ac:dyDescent="0.25">
      <c r="A39" s="59">
        <v>177</v>
      </c>
      <c r="B39" s="59">
        <v>180</v>
      </c>
      <c r="C39" s="59" t="s">
        <v>160</v>
      </c>
      <c r="E39" s="32" t="s">
        <v>404</v>
      </c>
      <c r="F39" s="33" t="s">
        <v>8</v>
      </c>
      <c r="G39" s="43" t="str">
        <f t="shared" ca="1" si="13"/>
        <v>N/A</v>
      </c>
      <c r="H39" s="44" t="str">
        <f t="shared" ca="1" si="12"/>
        <v>N/A</v>
      </c>
      <c r="I39" s="44" t="str">
        <f t="shared" ca="1" si="12"/>
        <v>N/A</v>
      </c>
      <c r="J39" s="44" t="str">
        <f t="shared" ca="1" si="12"/>
        <v>N/A</v>
      </c>
      <c r="K39" s="44" t="str">
        <f t="shared" ca="1" si="12"/>
        <v>N/A</v>
      </c>
      <c r="L39" s="45" t="str">
        <f t="shared" ca="1" si="12"/>
        <v>N/A</v>
      </c>
    </row>
    <row r="41" spans="1:19" x14ac:dyDescent="0.2">
      <c r="E41" s="10" t="s">
        <v>419</v>
      </c>
    </row>
  </sheetData>
  <mergeCells count="3">
    <mergeCell ref="G4:L4"/>
    <mergeCell ref="G6:L6"/>
    <mergeCell ref="A33:C33"/>
  </mergeCells>
  <printOptions horizontalCentered="1" gridLines="1"/>
  <pageMargins left="0.7" right="0.7" top="0.75" bottom="0.75" header="0.3" footer="0.3"/>
  <pageSetup scale="85" orientation="landscape" r:id="rId1"/>
  <headerFooter>
    <oddHeader>&amp;C&amp;F</oddHeader>
    <oddFooter>&amp;L&amp;D&amp;C&amp;A</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40"/>
  <sheetViews>
    <sheetView topLeftCell="E3" workbookViewId="0">
      <selection activeCell="E3" sqref="E3"/>
    </sheetView>
  </sheetViews>
  <sheetFormatPr defaultRowHeight="12.75" outlineLevelRow="1" outlineLevelCol="1" x14ac:dyDescent="0.2"/>
  <cols>
    <col min="1" max="1" width="13" style="59" hidden="1" customWidth="1" outlineLevel="1"/>
    <col min="2" max="2" width="13.33203125" style="59" hidden="1" customWidth="1" outlineLevel="1"/>
    <col min="3" max="4" width="38" style="59" hidden="1" customWidth="1" outlineLevel="1"/>
    <col min="5" max="5" width="1.83203125" style="10" customWidth="1" collapsed="1"/>
    <col min="6" max="6" width="43.5" style="10" customWidth="1"/>
    <col min="7" max="7" width="16" style="10" customWidth="1"/>
    <col min="8" max="8" width="16.33203125" style="10" customWidth="1"/>
    <col min="9" max="9" width="16.5" style="10" customWidth="1"/>
    <col min="10" max="10" width="16.33203125" style="10" customWidth="1"/>
    <col min="11" max="11" width="16.1640625" style="10" customWidth="1"/>
    <col min="12" max="12" width="17.5" style="10" customWidth="1"/>
    <col min="13" max="13" width="17.83203125" style="10" customWidth="1"/>
    <col min="14" max="16384" width="9.33203125" style="10"/>
  </cols>
  <sheetData>
    <row r="1" spans="1:20" s="59" customFormat="1" hidden="1" outlineLevel="1" x14ac:dyDescent="0.2">
      <c r="H1" s="59" t="s">
        <v>58</v>
      </c>
      <c r="I1" s="59" t="s">
        <v>59</v>
      </c>
      <c r="J1" s="59" t="s">
        <v>60</v>
      </c>
      <c r="K1" s="59" t="s">
        <v>61</v>
      </c>
      <c r="L1" s="59" t="s">
        <v>62</v>
      </c>
      <c r="M1" s="59" t="s">
        <v>63</v>
      </c>
    </row>
    <row r="2" spans="1:20" s="59" customFormat="1" hidden="1" outlineLevel="1" x14ac:dyDescent="0.2">
      <c r="H2" s="59">
        <f>MATCH(H1, '[1]1x HA.02 25ppm'!$B$6:$H$6)</f>
        <v>7</v>
      </c>
      <c r="I2" s="59">
        <f>MATCH(I1, '[1]1x HA.02 25ppm'!$B$6:$H$6)</f>
        <v>6</v>
      </c>
      <c r="J2" s="59">
        <f>MATCH(J1, '[1]1x HA.02 25ppm'!$B$6:$H$6)</f>
        <v>4</v>
      </c>
      <c r="K2" s="59">
        <f>MATCH(K1, '[1]1x HA.02 25ppm'!$B$6:$H$6)</f>
        <v>5</v>
      </c>
      <c r="L2" s="59">
        <f>MATCH(L1, '[1]1x HA.02 25ppm'!$B$6:$H$6)</f>
        <v>3</v>
      </c>
      <c r="M2" s="59">
        <f>MATCH(M1, '[1]1x HA.02 25ppm'!$B$6:$H$6)</f>
        <v>2</v>
      </c>
    </row>
    <row r="3" spans="1:20" ht="13.5" collapsed="1" thickBot="1" x14ac:dyDescent="0.25"/>
    <row r="4" spans="1:20" ht="14.25" x14ac:dyDescent="0.2">
      <c r="A4" s="60" t="s">
        <v>73</v>
      </c>
      <c r="B4" s="59" t="s">
        <v>196</v>
      </c>
      <c r="F4" s="11"/>
      <c r="G4" s="12"/>
      <c r="H4" s="297" t="s">
        <v>347</v>
      </c>
      <c r="I4" s="298"/>
      <c r="J4" s="298"/>
      <c r="K4" s="298"/>
      <c r="L4" s="298"/>
      <c r="M4" s="299"/>
    </row>
    <row r="5" spans="1:20" ht="26.25" thickBot="1" x14ac:dyDescent="0.25">
      <c r="F5" s="3" t="s">
        <v>0</v>
      </c>
      <c r="G5" s="2" t="s">
        <v>1</v>
      </c>
      <c r="H5" s="13" t="s">
        <v>3</v>
      </c>
      <c r="I5" s="13" t="s">
        <v>28</v>
      </c>
      <c r="J5" s="13" t="s">
        <v>20</v>
      </c>
      <c r="K5" s="14" t="s">
        <v>21</v>
      </c>
      <c r="L5" s="13" t="s">
        <v>4</v>
      </c>
      <c r="M5" s="15" t="s">
        <v>5</v>
      </c>
    </row>
    <row r="6" spans="1:20" ht="25.5" customHeight="1" x14ac:dyDescent="0.2">
      <c r="A6" s="189" t="s">
        <v>190</v>
      </c>
      <c r="B6" s="189" t="s">
        <v>191</v>
      </c>
      <c r="C6" s="189" t="s">
        <v>268</v>
      </c>
      <c r="D6" s="189" t="s">
        <v>269</v>
      </c>
      <c r="F6" s="4" t="s">
        <v>12</v>
      </c>
      <c r="G6" s="1"/>
      <c r="H6" s="300"/>
      <c r="I6" s="301"/>
      <c r="J6" s="301"/>
      <c r="K6" s="301"/>
      <c r="L6" s="301"/>
      <c r="M6" s="302"/>
    </row>
    <row r="7" spans="1:20" x14ac:dyDescent="0.2">
      <c r="F7" s="5" t="s">
        <v>64</v>
      </c>
      <c r="G7" s="1"/>
      <c r="H7" s="16"/>
      <c r="I7" s="17"/>
      <c r="J7" s="17"/>
      <c r="K7" s="18"/>
      <c r="L7" s="17"/>
      <c r="M7" s="19"/>
    </row>
    <row r="8" spans="1:20" x14ac:dyDescent="0.2">
      <c r="A8" s="59">
        <v>32</v>
      </c>
      <c r="B8" s="59">
        <v>40</v>
      </c>
      <c r="C8" s="59" t="s">
        <v>65</v>
      </c>
      <c r="F8" s="20" t="s">
        <v>67</v>
      </c>
      <c r="G8" s="8" t="s">
        <v>2</v>
      </c>
      <c r="H8" s="37">
        <f t="shared" ref="H8:M9" ca="1" si="0">VLOOKUP($C8, INDIRECT("'"&amp;$B$4&amp;"'!$B$"&amp;$A8&amp;":"&amp;"$H$"&amp;$B8), H$2, FALSE)/1000</f>
        <v>218</v>
      </c>
      <c r="I8" s="38">
        <f t="shared" ca="1" si="0"/>
        <v>217.8</v>
      </c>
      <c r="J8" s="38">
        <f t="shared" ca="1" si="0"/>
        <v>217</v>
      </c>
      <c r="K8" s="38">
        <f t="shared" ca="1" si="0"/>
        <v>217</v>
      </c>
      <c r="L8" s="38">
        <f t="shared" ca="1" si="0"/>
        <v>217</v>
      </c>
      <c r="M8" s="39">
        <f t="shared" ca="1" si="0"/>
        <v>215.8</v>
      </c>
      <c r="O8" s="296"/>
      <c r="P8" s="296"/>
      <c r="Q8" s="296"/>
      <c r="R8" s="296"/>
      <c r="S8" s="296"/>
      <c r="T8" s="296"/>
    </row>
    <row r="9" spans="1:20" x14ac:dyDescent="0.2">
      <c r="A9" s="59">
        <v>44</v>
      </c>
      <c r="B9" s="59">
        <v>52</v>
      </c>
      <c r="C9" s="59" t="s">
        <v>65</v>
      </c>
      <c r="F9" s="20" t="s">
        <v>68</v>
      </c>
      <c r="G9" s="8" t="s">
        <v>2</v>
      </c>
      <c r="H9" s="37">
        <f t="shared" ca="1" si="0"/>
        <v>227.2</v>
      </c>
      <c r="I9" s="38">
        <f t="shared" ca="1" si="0"/>
        <v>226.9</v>
      </c>
      <c r="J9" s="38">
        <f t="shared" ca="1" si="0"/>
        <v>226.5</v>
      </c>
      <c r="K9" s="38">
        <f t="shared" ca="1" si="0"/>
        <v>226.5</v>
      </c>
      <c r="L9" s="38">
        <f t="shared" ca="1" si="0"/>
        <v>225.9</v>
      </c>
      <c r="M9" s="39">
        <f t="shared" ca="1" si="0"/>
        <v>224.9</v>
      </c>
      <c r="O9" s="296"/>
      <c r="P9" s="296"/>
      <c r="Q9" s="296"/>
      <c r="R9" s="296"/>
      <c r="S9" s="296"/>
      <c r="T9" s="296"/>
    </row>
    <row r="10" spans="1:20" x14ac:dyDescent="0.2">
      <c r="F10" s="20"/>
      <c r="G10" s="8"/>
      <c r="H10" s="37"/>
      <c r="I10" s="38"/>
      <c r="J10" s="38"/>
      <c r="K10" s="38"/>
      <c r="L10" s="38"/>
      <c r="M10" s="39"/>
      <c r="O10" s="296"/>
      <c r="P10" s="296"/>
      <c r="Q10" s="296"/>
      <c r="R10" s="296"/>
      <c r="S10" s="296"/>
      <c r="T10" s="296"/>
    </row>
    <row r="11" spans="1:20" x14ac:dyDescent="0.2">
      <c r="F11" s="5" t="s">
        <v>66</v>
      </c>
      <c r="G11" s="8"/>
      <c r="H11" s="7"/>
      <c r="I11" s="8"/>
      <c r="J11" s="8"/>
      <c r="K11" s="8"/>
      <c r="L11" s="8"/>
      <c r="M11" s="9"/>
      <c r="O11" s="296"/>
      <c r="P11" s="296"/>
      <c r="Q11" s="296"/>
      <c r="R11" s="296"/>
      <c r="S11" s="296"/>
      <c r="T11" s="296"/>
    </row>
    <row r="12" spans="1:20" x14ac:dyDescent="0.2">
      <c r="A12" s="59">
        <v>32</v>
      </c>
      <c r="B12" s="59">
        <v>40</v>
      </c>
      <c r="C12" s="59" t="s">
        <v>69</v>
      </c>
      <c r="F12" s="20" t="s">
        <v>13</v>
      </c>
      <c r="G12" s="8" t="s">
        <v>10</v>
      </c>
      <c r="H12" s="21">
        <f t="shared" ref="H12:M14" ca="1" si="1">VLOOKUP($C12, INDIRECT("'"&amp;$B$4&amp;"'!$B$"&amp;$A12&amp;":"&amp;"$H$"&amp;$B12), H$2, FALSE)</f>
        <v>10200</v>
      </c>
      <c r="I12" s="22">
        <f t="shared" ca="1" si="1"/>
        <v>10210</v>
      </c>
      <c r="J12" s="22">
        <f t="shared" ca="1" si="1"/>
        <v>10200</v>
      </c>
      <c r="K12" s="22">
        <f t="shared" ca="1" si="1"/>
        <v>10200</v>
      </c>
      <c r="L12" s="22">
        <f t="shared" ca="1" si="1"/>
        <v>10180</v>
      </c>
      <c r="M12" s="23">
        <f t="shared" ca="1" si="1"/>
        <v>10180</v>
      </c>
      <c r="O12" s="296"/>
      <c r="P12" s="296"/>
      <c r="Q12" s="296"/>
      <c r="R12" s="296"/>
      <c r="S12" s="296"/>
      <c r="T12" s="296"/>
    </row>
    <row r="13" spans="1:20" x14ac:dyDescent="0.2">
      <c r="A13" s="59">
        <v>44</v>
      </c>
      <c r="B13" s="59">
        <v>52</v>
      </c>
      <c r="C13" s="59" t="s">
        <v>69</v>
      </c>
      <c r="F13" s="20" t="s">
        <v>14</v>
      </c>
      <c r="G13" s="8" t="s">
        <v>10</v>
      </c>
      <c r="H13" s="21">
        <f t="shared" ca="1" si="1"/>
        <v>9890</v>
      </c>
      <c r="I13" s="22">
        <f t="shared" ca="1" si="1"/>
        <v>9900</v>
      </c>
      <c r="J13" s="22">
        <f t="shared" ca="1" si="1"/>
        <v>9890</v>
      </c>
      <c r="K13" s="22">
        <f t="shared" ca="1" si="1"/>
        <v>9890</v>
      </c>
      <c r="L13" s="22">
        <f t="shared" ca="1" si="1"/>
        <v>9880</v>
      </c>
      <c r="M13" s="23">
        <f t="shared" ca="1" si="1"/>
        <v>9880</v>
      </c>
      <c r="O13" s="296"/>
      <c r="P13" s="296"/>
      <c r="Q13" s="296"/>
      <c r="R13" s="296"/>
      <c r="S13" s="296"/>
      <c r="T13" s="296"/>
    </row>
    <row r="14" spans="1:20" x14ac:dyDescent="0.2">
      <c r="A14" s="59">
        <v>56</v>
      </c>
      <c r="B14" s="59">
        <v>64</v>
      </c>
      <c r="C14" s="59" t="s">
        <v>69</v>
      </c>
      <c r="F14" s="282" t="s">
        <v>405</v>
      </c>
      <c r="G14" s="283" t="s">
        <v>10</v>
      </c>
      <c r="H14" s="284">
        <f ca="1">VLOOKUP($C14, INDIRECT("'"&amp;$B$4&amp;"'!$B$"&amp;$A14&amp;":"&amp;"$H$"&amp;$B14), H$2, FALSE)</f>
        <v>10160</v>
      </c>
      <c r="I14" s="285">
        <f t="shared" ca="1" si="1"/>
        <v>10160</v>
      </c>
      <c r="J14" s="285">
        <f t="shared" ca="1" si="1"/>
        <v>10160</v>
      </c>
      <c r="K14" s="285">
        <f t="shared" ca="1" si="1"/>
        <v>10160</v>
      </c>
      <c r="L14" s="285">
        <f t="shared" ca="1" si="1"/>
        <v>10160</v>
      </c>
      <c r="M14" s="286">
        <f t="shared" ca="1" si="1"/>
        <v>10160</v>
      </c>
      <c r="N14" s="287" t="s">
        <v>406</v>
      </c>
      <c r="O14" s="296"/>
      <c r="P14" s="296"/>
      <c r="Q14" s="296"/>
      <c r="R14" s="296"/>
      <c r="S14" s="296"/>
      <c r="T14" s="296"/>
    </row>
    <row r="15" spans="1:20" x14ac:dyDescent="0.2">
      <c r="F15" s="5" t="s">
        <v>17</v>
      </c>
      <c r="G15" s="24"/>
      <c r="H15" s="7"/>
      <c r="I15" s="8"/>
      <c r="J15" s="8"/>
      <c r="K15" s="8"/>
      <c r="L15" s="8"/>
      <c r="M15" s="9"/>
      <c r="O15" s="296"/>
      <c r="P15" s="296"/>
      <c r="Q15" s="296"/>
      <c r="R15" s="296"/>
      <c r="S15" s="296"/>
      <c r="T15" s="296"/>
    </row>
    <row r="16" spans="1:20" ht="14.25" x14ac:dyDescent="0.2">
      <c r="A16" s="59">
        <v>205</v>
      </c>
      <c r="B16" s="59">
        <v>209</v>
      </c>
      <c r="C16" s="59" t="s">
        <v>70</v>
      </c>
      <c r="F16" s="20" t="s">
        <v>25</v>
      </c>
      <c r="G16" s="25" t="s">
        <v>15</v>
      </c>
      <c r="H16" s="190">
        <f ca="1">VLOOKUP($C16, INDIRECT("'"&amp;$B$4&amp;"'!$B$"&amp;$A16&amp;":"&amp;"$H$"&amp;$B16), H$2, FALSE)*H$12/H$14</f>
        <v>80.214566929133852</v>
      </c>
      <c r="I16" s="27">
        <f t="shared" ref="I16:K18" ca="1" si="2">VLOOKUP($C16, INDIRECT("'"&amp;$B$4&amp;"'!$B$"&amp;$A16&amp;":"&amp;"$H$"&amp;$B16), I$2, FALSE)*I$12/I$14</f>
        <v>80.293208661417324</v>
      </c>
      <c r="J16" s="27">
        <f t="shared" ca="1" si="2"/>
        <v>80.214566929133852</v>
      </c>
      <c r="K16" s="288">
        <f ca="1">VLOOKUP($C16, INDIRECT("'"&amp;$B$4&amp;"'!$B$"&amp;$A16&amp;":"&amp;"$H$"&amp;$B16), K$2, FALSE)*K$12/K$14</f>
        <v>80.214566929133852</v>
      </c>
      <c r="L16" s="27">
        <f t="shared" ref="L16:M18" ca="1" si="3">VLOOKUP($C16, INDIRECT("'"&amp;$B$4&amp;"'!$B$"&amp;$A16&amp;":"&amp;"$H$"&amp;$B16), L$2, FALSE)*L$12/L$14</f>
        <v>80.057283464566936</v>
      </c>
      <c r="M16" s="28">
        <f t="shared" ca="1" si="3"/>
        <v>80.057283464566936</v>
      </c>
      <c r="O16" s="296"/>
      <c r="P16" s="296"/>
      <c r="Q16" s="296"/>
      <c r="R16" s="296"/>
      <c r="S16" s="296"/>
      <c r="T16" s="296"/>
    </row>
    <row r="17" spans="1:20" ht="14.25" x14ac:dyDescent="0.2">
      <c r="A17" s="59">
        <v>205</v>
      </c>
      <c r="B17" s="59">
        <v>209</v>
      </c>
      <c r="C17" s="59" t="s">
        <v>71</v>
      </c>
      <c r="F17" s="20" t="s">
        <v>26</v>
      </c>
      <c r="G17" s="25" t="s">
        <v>15</v>
      </c>
      <c r="H17" s="26">
        <f t="shared" ref="H17:H18" ca="1" si="4">VLOOKUP($C17, INDIRECT("'"&amp;$B$4&amp;"'!$B$"&amp;$A17&amp;":"&amp;"$H$"&amp;$B17), H$2, FALSE)*H$12/H$14</f>
        <v>4.6181102362204722</v>
      </c>
      <c r="I17" s="27">
        <f t="shared" ca="1" si="2"/>
        <v>4.6226377952755904</v>
      </c>
      <c r="J17" s="27">
        <f t="shared" ca="1" si="2"/>
        <v>4.6181102362204722</v>
      </c>
      <c r="K17" s="27">
        <f t="shared" ca="1" si="2"/>
        <v>4.6181102362204722</v>
      </c>
      <c r="L17" s="27">
        <f t="shared" ca="1" si="3"/>
        <v>4.5088582677165352</v>
      </c>
      <c r="M17" s="28">
        <f t="shared" ca="1" si="3"/>
        <v>4.5088582677165352</v>
      </c>
      <c r="O17" s="296"/>
      <c r="P17" s="296"/>
      <c r="Q17" s="296"/>
      <c r="R17" s="296"/>
      <c r="S17" s="296"/>
      <c r="T17" s="296"/>
    </row>
    <row r="18" spans="1:20" ht="14.25" x14ac:dyDescent="0.2">
      <c r="A18" s="59">
        <v>205</v>
      </c>
      <c r="B18" s="59">
        <v>209</v>
      </c>
      <c r="C18" s="59" t="s">
        <v>72</v>
      </c>
      <c r="F18" s="20" t="s">
        <v>27</v>
      </c>
      <c r="G18" s="25" t="s">
        <v>15</v>
      </c>
      <c r="H18" s="21">
        <f t="shared" ca="1" si="4"/>
        <v>277086.61417322833</v>
      </c>
      <c r="I18" s="22">
        <f t="shared" ca="1" si="2"/>
        <v>277358.26771653543</v>
      </c>
      <c r="J18" s="22">
        <f t="shared" ca="1" si="2"/>
        <v>274677.16535433073</v>
      </c>
      <c r="K18" s="22">
        <f t="shared" ca="1" si="2"/>
        <v>274677.16535433073</v>
      </c>
      <c r="L18" s="22">
        <f t="shared" ca="1" si="3"/>
        <v>272936.22047244094</v>
      </c>
      <c r="M18" s="23">
        <f t="shared" ca="1" si="3"/>
        <v>271733.85826771654</v>
      </c>
      <c r="O18" s="296"/>
      <c r="P18" s="296"/>
      <c r="Q18" s="296"/>
      <c r="R18" s="296"/>
      <c r="S18" s="296"/>
      <c r="T18" s="296"/>
    </row>
    <row r="19" spans="1:20" x14ac:dyDescent="0.2">
      <c r="F19" s="5" t="s">
        <v>18</v>
      </c>
      <c r="G19" s="24"/>
      <c r="H19" s="29"/>
      <c r="I19" s="24"/>
      <c r="J19" s="24"/>
      <c r="K19" s="24"/>
      <c r="L19" s="24"/>
      <c r="M19" s="30"/>
      <c r="O19" s="296"/>
      <c r="P19" s="296"/>
      <c r="Q19" s="296"/>
      <c r="R19" s="296"/>
      <c r="S19" s="296"/>
      <c r="T19" s="296"/>
    </row>
    <row r="20" spans="1:20" ht="14.25" x14ac:dyDescent="0.2">
      <c r="A20" s="59">
        <v>205</v>
      </c>
      <c r="B20" s="59">
        <v>209</v>
      </c>
      <c r="C20" s="59" t="s">
        <v>70</v>
      </c>
      <c r="F20" s="20" t="s">
        <v>25</v>
      </c>
      <c r="G20" s="25" t="s">
        <v>15</v>
      </c>
      <c r="H20" s="26">
        <f ca="1">VLOOKUP($C20, INDIRECT("'"&amp;$B$4&amp;"'!$B$"&amp;$A20&amp;":"&amp;"$H$"&amp;$B20), H$2, FALSE)*H$13/H$14</f>
        <v>77.776673228346453</v>
      </c>
      <c r="I20" s="27">
        <f t="shared" ref="I20:K22" ca="1" si="5">VLOOKUP($C20, INDIRECT("'"&amp;$B$4&amp;"'!$B$"&amp;$A20&amp;":"&amp;"$H$"&amp;$B20), I$2, FALSE)*I$13/I$14</f>
        <v>77.855314960629926</v>
      </c>
      <c r="J20" s="27">
        <f t="shared" ca="1" si="5"/>
        <v>77.776673228346453</v>
      </c>
      <c r="K20" s="27">
        <f ca="1">VLOOKUP($C20, INDIRECT("'"&amp;$B$4&amp;"'!$B$"&amp;$A20&amp;":"&amp;"$H$"&amp;$B20), K$2, FALSE)*K$13/K$14</f>
        <v>77.776673228346453</v>
      </c>
      <c r="L20" s="27">
        <f t="shared" ref="L20:M22" ca="1" si="6">VLOOKUP($C20, INDIRECT("'"&amp;$B$4&amp;"'!$B$"&amp;$A20&amp;":"&amp;"$H$"&amp;$B20), L$2, FALSE)*L$13/L$14</f>
        <v>77.698031496062995</v>
      </c>
      <c r="M20" s="28">
        <f t="shared" ca="1" si="6"/>
        <v>77.698031496062995</v>
      </c>
      <c r="O20" s="296"/>
      <c r="P20" s="296"/>
      <c r="Q20" s="296"/>
      <c r="R20" s="296"/>
      <c r="S20" s="296"/>
      <c r="T20" s="296"/>
    </row>
    <row r="21" spans="1:20" ht="14.25" x14ac:dyDescent="0.2">
      <c r="A21" s="59">
        <v>205</v>
      </c>
      <c r="B21" s="59">
        <v>209</v>
      </c>
      <c r="C21" s="59" t="s">
        <v>71</v>
      </c>
      <c r="F21" s="20" t="s">
        <v>26</v>
      </c>
      <c r="G21" s="25" t="s">
        <v>15</v>
      </c>
      <c r="H21" s="26">
        <f t="shared" ref="H21:H22" ca="1" si="7">VLOOKUP($C21, INDIRECT("'"&amp;$B$4&amp;"'!$B$"&amp;$A21&amp;":"&amp;"$H$"&amp;$B21), H$2, FALSE)*H$13/H$14</f>
        <v>4.4777559055118115</v>
      </c>
      <c r="I21" s="27">
        <f t="shared" ca="1" si="5"/>
        <v>4.4822834645669287</v>
      </c>
      <c r="J21" s="27">
        <f t="shared" ca="1" si="5"/>
        <v>4.4777559055118115</v>
      </c>
      <c r="K21" s="27">
        <f t="shared" ca="1" si="5"/>
        <v>4.4777559055118115</v>
      </c>
      <c r="L21" s="27">
        <f t="shared" ca="1" si="6"/>
        <v>4.3759842519685037</v>
      </c>
      <c r="M21" s="28">
        <f t="shared" ca="1" si="6"/>
        <v>4.3759842519685037</v>
      </c>
      <c r="O21" s="296"/>
      <c r="P21" s="296"/>
      <c r="Q21" s="296"/>
      <c r="R21" s="296"/>
      <c r="S21" s="296"/>
      <c r="T21" s="296"/>
    </row>
    <row r="22" spans="1:20" ht="14.25" x14ac:dyDescent="0.2">
      <c r="A22" s="59">
        <v>205</v>
      </c>
      <c r="B22" s="59">
        <v>209</v>
      </c>
      <c r="C22" s="59" t="s">
        <v>72</v>
      </c>
      <c r="F22" s="20" t="s">
        <v>27</v>
      </c>
      <c r="G22" s="25" t="s">
        <v>15</v>
      </c>
      <c r="H22" s="21">
        <f t="shared" ca="1" si="7"/>
        <v>268665.35433070868</v>
      </c>
      <c r="I22" s="22">
        <f t="shared" ca="1" si="5"/>
        <v>268937.00787401578</v>
      </c>
      <c r="J22" s="22">
        <f t="shared" ca="1" si="5"/>
        <v>266329.13385826774</v>
      </c>
      <c r="K22" s="22">
        <f t="shared" ca="1" si="5"/>
        <v>266329.13385826774</v>
      </c>
      <c r="L22" s="22">
        <f t="shared" ca="1" si="6"/>
        <v>264892.91338582675</v>
      </c>
      <c r="M22" s="23">
        <f t="shared" ca="1" si="6"/>
        <v>263725.9842519685</v>
      </c>
      <c r="O22" s="296"/>
      <c r="P22" s="296"/>
      <c r="Q22" s="296"/>
      <c r="R22" s="296"/>
      <c r="S22" s="296"/>
      <c r="T22" s="296"/>
    </row>
    <row r="23" spans="1:20" x14ac:dyDescent="0.2">
      <c r="F23" s="5" t="s">
        <v>315</v>
      </c>
      <c r="G23" s="24"/>
      <c r="H23" s="21"/>
      <c r="I23" s="22"/>
      <c r="J23" s="22"/>
      <c r="K23" s="22"/>
      <c r="L23" s="22"/>
      <c r="M23" s="23"/>
      <c r="O23" s="296"/>
      <c r="P23" s="296"/>
      <c r="Q23" s="296"/>
      <c r="R23" s="296"/>
      <c r="S23" s="296"/>
      <c r="T23" s="296"/>
    </row>
    <row r="24" spans="1:20" ht="14.25" x14ac:dyDescent="0.2">
      <c r="A24" s="59">
        <v>219</v>
      </c>
      <c r="B24" s="59">
        <v>223</v>
      </c>
      <c r="C24" s="59" t="s">
        <v>70</v>
      </c>
      <c r="F24" s="20" t="s">
        <v>25</v>
      </c>
      <c r="G24" s="25" t="s">
        <v>15</v>
      </c>
      <c r="H24" s="190">
        <f ca="1">VLOOKUP($C24, INDIRECT("'"&amp;$B$4&amp;"'!$B$"&amp;$A24&amp;":"&amp;"$H$"&amp;$B24), H$2, FALSE)*H$12/H$14</f>
        <v>431.69291338582678</v>
      </c>
      <c r="I24" s="27">
        <f t="shared" ref="I24:K26" ca="1" si="8">VLOOKUP($C24, INDIRECT("'"&amp;$B$4&amp;"'!$B$"&amp;$A24&amp;":"&amp;"$H$"&amp;$B24), I$2, FALSE)*I$12/I$14</f>
        <v>432.11614173228344</v>
      </c>
      <c r="J24" s="27">
        <f t="shared" ca="1" si="8"/>
        <v>431.69291338582678</v>
      </c>
      <c r="K24" s="288">
        <f ca="1">VLOOKUP($C24, INDIRECT("'"&amp;$B$4&amp;"'!$B$"&amp;$A24&amp;":"&amp;"$H$"&amp;$B24), K$2, FALSE)*K$12/K$14</f>
        <v>431.69291338582678</v>
      </c>
      <c r="L24" s="27">
        <f t="shared" ref="L24:M26" ca="1" si="9">VLOOKUP($C24, INDIRECT("'"&amp;$B$4&amp;"'!$B$"&amp;$A24&amp;":"&amp;"$H$"&amp;$B24), L$2, FALSE)*L$12/L$14</f>
        <v>430.84645669291336</v>
      </c>
      <c r="M24" s="28">
        <f t="shared" ca="1" si="9"/>
        <v>430.84645669291336</v>
      </c>
      <c r="O24" s="296"/>
      <c r="P24" s="296"/>
      <c r="Q24" s="296"/>
      <c r="R24" s="296"/>
      <c r="S24" s="296"/>
      <c r="T24" s="296"/>
    </row>
    <row r="25" spans="1:20" ht="14.25" x14ac:dyDescent="0.2">
      <c r="A25" s="59">
        <v>219</v>
      </c>
      <c r="B25" s="59">
        <v>223</v>
      </c>
      <c r="C25" s="59" t="s">
        <v>71</v>
      </c>
      <c r="F25" s="20" t="s">
        <v>26</v>
      </c>
      <c r="G25" s="25" t="s">
        <v>15</v>
      </c>
      <c r="H25" s="26">
        <f t="shared" ref="H25:H26" ca="1" si="10">VLOOKUP($C25, INDIRECT("'"&amp;$B$4&amp;"'!$B$"&amp;$A25&amp;":"&amp;"$H$"&amp;$B25), H$2, FALSE)*H$12/H$14</f>
        <v>3.5137795275590551</v>
      </c>
      <c r="I25" s="27">
        <f t="shared" ca="1" si="8"/>
        <v>3.517224409448819</v>
      </c>
      <c r="J25" s="27">
        <f t="shared" ca="1" si="8"/>
        <v>3.5137795275590551</v>
      </c>
      <c r="K25" s="27">
        <f t="shared" ca="1" si="8"/>
        <v>3.5137795275590551</v>
      </c>
      <c r="L25" s="27">
        <f t="shared" ca="1" si="9"/>
        <v>3.5068897637795278</v>
      </c>
      <c r="M25" s="28">
        <f t="shared" ca="1" si="9"/>
        <v>3.4066929133858266</v>
      </c>
      <c r="O25" s="296"/>
      <c r="P25" s="296"/>
      <c r="Q25" s="296"/>
      <c r="R25" s="296"/>
      <c r="S25" s="296"/>
      <c r="T25" s="296"/>
    </row>
    <row r="26" spans="1:20" ht="14.25" x14ac:dyDescent="0.2">
      <c r="A26" s="59">
        <v>219</v>
      </c>
      <c r="B26" s="59">
        <v>223</v>
      </c>
      <c r="C26" s="59" t="s">
        <v>72</v>
      </c>
      <c r="F26" s="20" t="s">
        <v>27</v>
      </c>
      <c r="G26" s="25" t="s">
        <v>15</v>
      </c>
      <c r="H26" s="21">
        <f t="shared" ca="1" si="10"/>
        <v>369448.81889763777</v>
      </c>
      <c r="I26" s="22">
        <f t="shared" ca="1" si="8"/>
        <v>369811.02362204727</v>
      </c>
      <c r="J26" s="22">
        <f t="shared" ca="1" si="8"/>
        <v>366236.22047244094</v>
      </c>
      <c r="K26" s="22">
        <f t="shared" ca="1" si="8"/>
        <v>366236.22047244094</v>
      </c>
      <c r="L26" s="22">
        <f t="shared" ca="1" si="9"/>
        <v>363914.96062992123</v>
      </c>
      <c r="M26" s="23">
        <f t="shared" ca="1" si="9"/>
        <v>362311.81102362205</v>
      </c>
      <c r="O26" s="296"/>
      <c r="P26" s="296"/>
      <c r="Q26" s="296"/>
      <c r="R26" s="296"/>
      <c r="S26" s="296"/>
      <c r="T26" s="296"/>
    </row>
    <row r="27" spans="1:20" x14ac:dyDescent="0.2">
      <c r="F27" s="5" t="s">
        <v>16</v>
      </c>
      <c r="G27" s="24"/>
      <c r="H27" s="29"/>
      <c r="I27" s="24"/>
      <c r="J27" s="24"/>
      <c r="K27" s="24"/>
      <c r="L27" s="24"/>
      <c r="M27" s="30"/>
      <c r="O27" s="296"/>
      <c r="P27" s="296"/>
      <c r="Q27" s="296"/>
      <c r="R27" s="296"/>
      <c r="S27" s="296"/>
      <c r="T27" s="296"/>
    </row>
    <row r="28" spans="1:20" ht="14.25" x14ac:dyDescent="0.2">
      <c r="A28" s="59">
        <v>219</v>
      </c>
      <c r="B28" s="59">
        <v>223</v>
      </c>
      <c r="C28" s="59" t="s">
        <v>70</v>
      </c>
      <c r="F28" s="20" t="s">
        <v>25</v>
      </c>
      <c r="G28" s="25" t="s">
        <v>15</v>
      </c>
      <c r="H28" s="26">
        <f ca="1">VLOOKUP($C28, INDIRECT("'"&amp;$B$4&amp;"'!$B$"&amp;$A28&amp;":"&amp;"$H$"&amp;$B28), H$2, FALSE)*H$13/H$14</f>
        <v>418.57283464566927</v>
      </c>
      <c r="I28" s="27">
        <f t="shared" ref="I28:K30" ca="1" si="11">VLOOKUP($C28, INDIRECT("'"&amp;$B$4&amp;"'!$B$"&amp;$A28&amp;":"&amp;"$H$"&amp;$B28), I$2, FALSE)*I$13/I$14</f>
        <v>418.99606299212599</v>
      </c>
      <c r="J28" s="27">
        <f t="shared" ca="1" si="11"/>
        <v>418.57283464566927</v>
      </c>
      <c r="K28" s="27">
        <f ca="1">VLOOKUP($C28, INDIRECT("'"&amp;$B$4&amp;"'!$B$"&amp;$A28&amp;":"&amp;"$H$"&amp;$B28), K$2, FALSE)*K$13/K$14</f>
        <v>418.57283464566927</v>
      </c>
      <c r="L28" s="27">
        <f t="shared" ref="L28:M30" ca="1" si="12">VLOOKUP($C28, INDIRECT("'"&amp;$B$4&amp;"'!$B$"&amp;$A28&amp;":"&amp;"$H$"&amp;$B28), L$2, FALSE)*L$13/L$14</f>
        <v>418.14960629921262</v>
      </c>
      <c r="M28" s="28">
        <f t="shared" ca="1" si="12"/>
        <v>418.14960629921262</v>
      </c>
      <c r="O28" s="296"/>
      <c r="P28" s="296"/>
      <c r="Q28" s="296"/>
      <c r="R28" s="296"/>
      <c r="S28" s="296"/>
      <c r="T28" s="296"/>
    </row>
    <row r="29" spans="1:20" ht="14.25" x14ac:dyDescent="0.2">
      <c r="A29" s="59">
        <v>219</v>
      </c>
      <c r="B29" s="59">
        <v>223</v>
      </c>
      <c r="C29" s="59" t="s">
        <v>71</v>
      </c>
      <c r="F29" s="20" t="s">
        <v>26</v>
      </c>
      <c r="G29" s="25" t="s">
        <v>15</v>
      </c>
      <c r="H29" s="26">
        <f t="shared" ref="H29:H30" ca="1" si="13">VLOOKUP($C29, INDIRECT("'"&amp;$B$4&amp;"'!$B$"&amp;$A29&amp;":"&amp;"$H$"&amp;$B29), H$2, FALSE)*H$13/H$14</f>
        <v>3.4069881889763778</v>
      </c>
      <c r="I29" s="27">
        <f t="shared" ca="1" si="11"/>
        <v>3.4104330708661417</v>
      </c>
      <c r="J29" s="27">
        <f t="shared" ca="1" si="11"/>
        <v>3.4069881889763778</v>
      </c>
      <c r="K29" s="27">
        <f t="shared" ca="1" si="11"/>
        <v>3.4069881889763778</v>
      </c>
      <c r="L29" s="27">
        <f t="shared" ca="1" si="12"/>
        <v>3.4035433070866143</v>
      </c>
      <c r="M29" s="28">
        <f t="shared" ca="1" si="12"/>
        <v>3.3062992125984252</v>
      </c>
      <c r="O29" s="296"/>
      <c r="P29" s="296"/>
      <c r="Q29" s="296"/>
      <c r="R29" s="296"/>
      <c r="S29" s="296"/>
      <c r="T29" s="296"/>
    </row>
    <row r="30" spans="1:20" ht="14.25" x14ac:dyDescent="0.2">
      <c r="A30" s="59">
        <v>219</v>
      </c>
      <c r="B30" s="59">
        <v>223</v>
      </c>
      <c r="C30" s="59" t="s">
        <v>72</v>
      </c>
      <c r="F30" s="20" t="s">
        <v>27</v>
      </c>
      <c r="G30" s="25" t="s">
        <v>15</v>
      </c>
      <c r="H30" s="21">
        <f t="shared" ca="1" si="13"/>
        <v>358220.47244094487</v>
      </c>
      <c r="I30" s="22">
        <f t="shared" ca="1" si="11"/>
        <v>358582.67716535431</v>
      </c>
      <c r="J30" s="22">
        <f t="shared" ca="1" si="11"/>
        <v>355105.51181102364</v>
      </c>
      <c r="K30" s="22">
        <f t="shared" ca="1" si="11"/>
        <v>355105.51181102364</v>
      </c>
      <c r="L30" s="22">
        <f t="shared" ca="1" si="12"/>
        <v>353190.55118110235</v>
      </c>
      <c r="M30" s="23">
        <f t="shared" ca="1" si="12"/>
        <v>351634.64566929132</v>
      </c>
      <c r="O30" s="296"/>
      <c r="P30" s="296"/>
      <c r="Q30" s="296"/>
      <c r="R30" s="296"/>
      <c r="S30" s="296"/>
      <c r="T30" s="296"/>
    </row>
    <row r="31" spans="1:20" x14ac:dyDescent="0.2">
      <c r="F31" s="4" t="s">
        <v>19</v>
      </c>
      <c r="G31" s="25"/>
      <c r="H31" s="29"/>
      <c r="I31" s="24"/>
      <c r="J31" s="24"/>
      <c r="K31" s="24"/>
      <c r="L31" s="24"/>
      <c r="M31" s="30"/>
      <c r="O31" s="296"/>
      <c r="P31" s="296"/>
      <c r="Q31" s="296"/>
      <c r="R31" s="296"/>
      <c r="S31" s="296"/>
      <c r="T31" s="296"/>
    </row>
    <row r="32" spans="1:20" x14ac:dyDescent="0.2">
      <c r="F32" s="31"/>
      <c r="G32" s="8"/>
      <c r="H32" s="53"/>
      <c r="I32" s="54"/>
      <c r="J32" s="54"/>
      <c r="K32" s="54"/>
      <c r="L32" s="54"/>
      <c r="M32" s="55"/>
      <c r="O32" s="296"/>
      <c r="P32" s="296"/>
      <c r="Q32" s="296"/>
      <c r="R32" s="296"/>
      <c r="S32" s="296"/>
      <c r="T32" s="296"/>
    </row>
    <row r="33" spans="1:20" ht="25.5" x14ac:dyDescent="0.2">
      <c r="A33" s="303" t="s">
        <v>343</v>
      </c>
      <c r="B33" s="303"/>
      <c r="C33" s="303"/>
      <c r="D33" s="271"/>
      <c r="F33" s="31" t="s">
        <v>267</v>
      </c>
      <c r="G33" s="8" t="s">
        <v>7</v>
      </c>
      <c r="H33" s="53">
        <v>325</v>
      </c>
      <c r="I33" s="54">
        <v>325</v>
      </c>
      <c r="J33" s="54">
        <v>325</v>
      </c>
      <c r="K33" s="54">
        <v>325</v>
      </c>
      <c r="L33" s="54">
        <v>325</v>
      </c>
      <c r="M33" s="55">
        <v>325</v>
      </c>
      <c r="O33" s="296"/>
      <c r="P33" s="296"/>
      <c r="Q33" s="296"/>
      <c r="R33" s="296"/>
      <c r="S33" s="296"/>
      <c r="T33" s="296"/>
    </row>
    <row r="34" spans="1:20" ht="13.5" thickBot="1" x14ac:dyDescent="0.25">
      <c r="A34" s="59">
        <v>16</v>
      </c>
      <c r="B34" s="59">
        <v>16</v>
      </c>
      <c r="C34" s="59" t="s">
        <v>87</v>
      </c>
      <c r="F34" s="32" t="s">
        <v>6</v>
      </c>
      <c r="G34" s="52" t="s">
        <v>11</v>
      </c>
      <c r="H34" s="56">
        <f t="shared" ref="H34:M34" ca="1" si="14">VLOOKUP($C34, INDIRECT("'"&amp;$B$4&amp;"'!$B$"&amp;$A34&amp;":"&amp;"$H$"&amp;$B34), H$2, FALSE)</f>
        <v>4.3400000000000001E-2</v>
      </c>
      <c r="I34" s="57">
        <f t="shared" ca="1" si="14"/>
        <v>4.3400000000000001E-2</v>
      </c>
      <c r="J34" s="57">
        <f t="shared" ca="1" si="14"/>
        <v>4.3400000000000001E-2</v>
      </c>
      <c r="K34" s="57">
        <f t="shared" ca="1" si="14"/>
        <v>4.3400000000000001E-2</v>
      </c>
      <c r="L34" s="57">
        <f t="shared" ca="1" si="14"/>
        <v>4.3400000000000001E-2</v>
      </c>
      <c r="M34" s="58">
        <f t="shared" ca="1" si="14"/>
        <v>4.3400000000000001E-2</v>
      </c>
      <c r="O34" s="296"/>
      <c r="P34" s="296"/>
      <c r="Q34" s="296"/>
      <c r="R34" s="296"/>
      <c r="S34" s="296"/>
      <c r="T34" s="296"/>
    </row>
    <row r="35" spans="1:20" ht="12.75" customHeight="1" x14ac:dyDescent="0.2">
      <c r="F35" s="6" t="s">
        <v>403</v>
      </c>
      <c r="G35" s="24"/>
      <c r="H35" s="34"/>
      <c r="I35" s="35"/>
      <c r="J35" s="35"/>
      <c r="K35" s="35"/>
      <c r="L35" s="35"/>
      <c r="M35" s="36"/>
      <c r="O35" s="296"/>
      <c r="P35" s="296"/>
      <c r="Q35" s="296"/>
      <c r="R35" s="296"/>
      <c r="S35" s="296"/>
      <c r="T35" s="296"/>
    </row>
    <row r="36" spans="1:20" x14ac:dyDescent="0.2">
      <c r="A36" s="59">
        <v>184</v>
      </c>
      <c r="B36" s="59">
        <v>187</v>
      </c>
      <c r="C36" s="59" t="s">
        <v>163</v>
      </c>
      <c r="D36" s="59" t="s">
        <v>165</v>
      </c>
      <c r="F36" s="20" t="s">
        <v>22</v>
      </c>
      <c r="G36" s="8" t="s">
        <v>9</v>
      </c>
      <c r="H36" s="191">
        <f ca="1">VLOOKUP($C36, INDIRECT("'"&amp;$B$4&amp;"'!$B$"&amp;$A36&amp;":"&amp;"$H$"&amp;$B36), H$2, FALSE)-VLOOKUP($D36, INDIRECT("'"&amp;$B$4&amp;"'!$B$"&amp;$A36&amp;":"&amp;"$H$"&amp;$B36), H$2, FALSE)</f>
        <v>0.95000000000000007</v>
      </c>
      <c r="I36" s="41">
        <f t="shared" ref="I36:M37" ca="1" si="15">VLOOKUP($C36, INDIRECT("'"&amp;$B$4&amp;"'!$B$"&amp;$A36&amp;":"&amp;"$H$"&amp;$B36), I$2, FALSE)-VLOOKUP($D36, INDIRECT("'"&amp;$B$4&amp;"'!$B$"&amp;$A36&amp;":"&amp;"$H$"&amp;$B36), I$2, FALSE)</f>
        <v>0.97000000000000008</v>
      </c>
      <c r="J36" s="41">
        <f t="shared" ca="1" si="15"/>
        <v>0.94000000000000006</v>
      </c>
      <c r="K36" s="41">
        <f t="shared" ca="1" si="15"/>
        <v>0.94000000000000006</v>
      </c>
      <c r="L36" s="41">
        <f t="shared" ca="1" si="15"/>
        <v>0.94000000000000006</v>
      </c>
      <c r="M36" s="42">
        <f t="shared" ca="1" si="15"/>
        <v>0.94000000000000006</v>
      </c>
      <c r="O36" s="296"/>
      <c r="P36" s="296"/>
      <c r="Q36" s="296"/>
      <c r="R36" s="296"/>
      <c r="S36" s="296"/>
      <c r="T36" s="296"/>
    </row>
    <row r="37" spans="1:20" x14ac:dyDescent="0.2">
      <c r="A37" s="59">
        <v>190</v>
      </c>
      <c r="B37" s="59">
        <v>193</v>
      </c>
      <c r="C37" s="59" t="s">
        <v>163</v>
      </c>
      <c r="D37" s="59" t="s">
        <v>165</v>
      </c>
      <c r="F37" s="20" t="s">
        <v>23</v>
      </c>
      <c r="G37" s="8" t="s">
        <v>9</v>
      </c>
      <c r="H37" s="40">
        <f t="shared" ref="H37" ca="1" si="16">VLOOKUP($C37, INDIRECT("'"&amp;$B$4&amp;"'!$B$"&amp;$A37&amp;":"&amp;"$H$"&amp;$B37), H$2, FALSE)-VLOOKUP($D37, INDIRECT("'"&amp;$B$4&amp;"'!$B$"&amp;$A37&amp;":"&amp;"$H$"&amp;$B37), H$2, FALSE)</f>
        <v>8.0399999999999991</v>
      </c>
      <c r="I37" s="41">
        <f t="shared" ca="1" si="15"/>
        <v>8.4199999999999982</v>
      </c>
      <c r="J37" s="41">
        <f t="shared" ca="1" si="15"/>
        <v>8.0399999999999991</v>
      </c>
      <c r="K37" s="41">
        <f t="shared" ca="1" si="15"/>
        <v>8.0399999999999991</v>
      </c>
      <c r="L37" s="41">
        <f t="shared" ca="1" si="15"/>
        <v>8.0399999999999991</v>
      </c>
      <c r="M37" s="42">
        <f t="shared" ca="1" si="15"/>
        <v>8.0399999999999991</v>
      </c>
      <c r="O37" s="296"/>
      <c r="P37" s="296"/>
      <c r="Q37" s="296"/>
      <c r="R37" s="296"/>
      <c r="S37" s="296"/>
      <c r="T37" s="296"/>
    </row>
    <row r="38" spans="1:20" ht="13.5" thickBot="1" x14ac:dyDescent="0.25">
      <c r="A38" s="59">
        <v>177</v>
      </c>
      <c r="B38" s="59">
        <v>180</v>
      </c>
      <c r="C38" s="59" t="s">
        <v>160</v>
      </c>
      <c r="F38" s="32" t="s">
        <v>404</v>
      </c>
      <c r="G38" s="33" t="s">
        <v>8</v>
      </c>
      <c r="H38" s="43">
        <f t="shared" ref="H38:M38" ca="1" si="17">VLOOKUP($C38, INDIRECT("'"&amp;$B$4&amp;"'!$B$"&amp;$A38&amp;":"&amp;"$H$"&amp;$B38), H$2, FALSE)</f>
        <v>9500</v>
      </c>
      <c r="I38" s="44">
        <f t="shared" ca="1" si="17"/>
        <v>9500</v>
      </c>
      <c r="J38" s="44">
        <f t="shared" ca="1" si="17"/>
        <v>9500</v>
      </c>
      <c r="K38" s="44">
        <f t="shared" ca="1" si="17"/>
        <v>9500</v>
      </c>
      <c r="L38" s="44">
        <f t="shared" ca="1" si="17"/>
        <v>9500</v>
      </c>
      <c r="M38" s="45">
        <f t="shared" ca="1" si="17"/>
        <v>9500</v>
      </c>
      <c r="O38" s="296"/>
      <c r="P38" s="296"/>
      <c r="Q38" s="296"/>
      <c r="R38" s="296"/>
      <c r="S38" s="296"/>
      <c r="T38" s="296"/>
    </row>
    <row r="40" spans="1:20" x14ac:dyDescent="0.2">
      <c r="F40" s="10" t="s">
        <v>419</v>
      </c>
    </row>
  </sheetData>
  <mergeCells count="3">
    <mergeCell ref="H4:M4"/>
    <mergeCell ref="H6:M6"/>
    <mergeCell ref="A33:C33"/>
  </mergeCells>
  <printOptions horizontalCentered="1" gridLines="1"/>
  <pageMargins left="0.7" right="0.7" top="0.75" bottom="0.75" header="0.3" footer="0.3"/>
  <pageSetup scale="85" orientation="landscape" r:id="rId1"/>
  <headerFooter>
    <oddHeader>&amp;C&amp;F</oddHeader>
    <oddFooter>&amp;L&amp;D&amp;C&amp;A</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40"/>
  <sheetViews>
    <sheetView topLeftCell="D3" workbookViewId="0">
      <selection activeCell="D3" sqref="D3"/>
    </sheetView>
  </sheetViews>
  <sheetFormatPr defaultRowHeight="12.75" outlineLevelRow="1" outlineLevelCol="1" x14ac:dyDescent="0.2"/>
  <cols>
    <col min="1" max="1" width="13" style="59" hidden="1" customWidth="1" outlineLevel="1"/>
    <col min="2" max="2" width="13.33203125" style="59" hidden="1" customWidth="1" outlineLevel="1"/>
    <col min="3" max="3" width="38" style="59" hidden="1" customWidth="1" outlineLevel="1"/>
    <col min="4" max="4" width="1.83203125" style="10" customWidth="1" collapsed="1"/>
    <col min="5" max="5" width="43.5" style="10" customWidth="1"/>
    <col min="6" max="6" width="16" style="10" customWidth="1"/>
    <col min="7" max="7" width="16.33203125" style="10" customWidth="1"/>
    <col min="8" max="8" width="16.5" style="10" customWidth="1"/>
    <col min="9" max="9" width="16.33203125" style="10" customWidth="1"/>
    <col min="10" max="10" width="16.1640625" style="10" customWidth="1"/>
    <col min="11" max="11" width="17.5" style="10" customWidth="1"/>
    <col min="12" max="12" width="17.83203125" style="10" customWidth="1"/>
    <col min="13" max="16384" width="9.33203125" style="10"/>
  </cols>
  <sheetData>
    <row r="1" spans="1:19" s="59" customFormat="1" hidden="1" outlineLevel="1" x14ac:dyDescent="0.2">
      <c r="G1" s="59" t="s">
        <v>58</v>
      </c>
      <c r="H1" s="59" t="s">
        <v>59</v>
      </c>
      <c r="I1" s="59" t="s">
        <v>60</v>
      </c>
      <c r="J1" s="59" t="s">
        <v>61</v>
      </c>
      <c r="K1" s="59" t="s">
        <v>62</v>
      </c>
      <c r="L1" s="59" t="s">
        <v>63</v>
      </c>
    </row>
    <row r="2" spans="1:19" s="59" customFormat="1" hidden="1" outlineLevel="1" x14ac:dyDescent="0.2">
      <c r="G2" s="59">
        <f>MATCH(G1, '[1]1x HA.02 25ppm'!$B$6:$H$6)</f>
        <v>7</v>
      </c>
      <c r="H2" s="59">
        <f>MATCH(H1, '[1]1x HA.02 25ppm'!$B$6:$H$6)</f>
        <v>6</v>
      </c>
      <c r="I2" s="59">
        <f>MATCH(I1, '[1]1x HA.02 25ppm'!$B$6:$H$6)</f>
        <v>4</v>
      </c>
      <c r="J2" s="59">
        <f>MATCH(J1, '[1]1x HA.02 25ppm'!$B$6:$H$6)</f>
        <v>5</v>
      </c>
      <c r="K2" s="59">
        <f>MATCH(K1, '[1]1x HA.02 25ppm'!$B$6:$H$6)</f>
        <v>3</v>
      </c>
      <c r="L2" s="59">
        <f>MATCH(L1, '[1]1x HA.02 25ppm'!$B$6:$H$6)</f>
        <v>2</v>
      </c>
    </row>
    <row r="3" spans="1:19" ht="13.5" collapsed="1" thickBot="1" x14ac:dyDescent="0.25"/>
    <row r="4" spans="1:19" ht="14.25" x14ac:dyDescent="0.2">
      <c r="A4" s="60" t="s">
        <v>73</v>
      </c>
      <c r="B4" s="59" t="s">
        <v>196</v>
      </c>
      <c r="E4" s="11"/>
      <c r="F4" s="12"/>
      <c r="G4" s="297" t="s">
        <v>345</v>
      </c>
      <c r="H4" s="298"/>
      <c r="I4" s="298"/>
      <c r="J4" s="298"/>
      <c r="K4" s="298"/>
      <c r="L4" s="299"/>
    </row>
    <row r="5" spans="1:19" ht="26.25" thickBot="1" x14ac:dyDescent="0.25">
      <c r="E5" s="3" t="s">
        <v>0</v>
      </c>
      <c r="F5" s="2" t="s">
        <v>1</v>
      </c>
      <c r="G5" s="13" t="s">
        <v>3</v>
      </c>
      <c r="H5" s="13" t="s">
        <v>28</v>
      </c>
      <c r="I5" s="13" t="s">
        <v>20</v>
      </c>
      <c r="J5" s="14" t="s">
        <v>21</v>
      </c>
      <c r="K5" s="13" t="s">
        <v>4</v>
      </c>
      <c r="L5" s="15" t="s">
        <v>5</v>
      </c>
    </row>
    <row r="6" spans="1:19" ht="25.5" customHeight="1" x14ac:dyDescent="0.2">
      <c r="A6" s="189" t="s">
        <v>190</v>
      </c>
      <c r="B6" s="189" t="s">
        <v>191</v>
      </c>
      <c r="C6" s="189" t="s">
        <v>192</v>
      </c>
      <c r="E6" s="4" t="s">
        <v>12</v>
      </c>
      <c r="F6" s="1"/>
      <c r="G6" s="300"/>
      <c r="H6" s="301"/>
      <c r="I6" s="301"/>
      <c r="J6" s="301"/>
      <c r="K6" s="301"/>
      <c r="L6" s="302"/>
    </row>
    <row r="7" spans="1:19" x14ac:dyDescent="0.2">
      <c r="E7" s="5" t="s">
        <v>64</v>
      </c>
      <c r="F7" s="1"/>
      <c r="G7" s="16"/>
      <c r="H7" s="17"/>
      <c r="I7" s="17"/>
      <c r="J7" s="18"/>
      <c r="K7" s="17"/>
      <c r="L7" s="19"/>
    </row>
    <row r="8" spans="1:19" x14ac:dyDescent="0.2">
      <c r="A8" s="59">
        <v>32</v>
      </c>
      <c r="B8" s="59">
        <v>40</v>
      </c>
      <c r="C8" s="59" t="s">
        <v>65</v>
      </c>
      <c r="E8" s="20" t="s">
        <v>67</v>
      </c>
      <c r="F8" s="8" t="s">
        <v>2</v>
      </c>
      <c r="G8" s="37">
        <f ca="1">VLOOKUP($C8, INDIRECT("'"&amp;$B$4&amp;"'!$B$"&amp;$A8&amp;":"&amp;"$H$"&amp;$B8), G$2, FALSE)/1000</f>
        <v>218</v>
      </c>
      <c r="H8" s="38">
        <f t="shared" ref="H8:L9" ca="1" si="0">VLOOKUP($C8, INDIRECT("'"&amp;$B$4&amp;"'!$B$"&amp;$A8&amp;":"&amp;"$H$"&amp;$B8), H$2, FALSE)/1000</f>
        <v>217.8</v>
      </c>
      <c r="I8" s="38">
        <f t="shared" ca="1" si="0"/>
        <v>217</v>
      </c>
      <c r="J8" s="38">
        <f t="shared" ca="1" si="0"/>
        <v>217</v>
      </c>
      <c r="K8" s="38">
        <f t="shared" ca="1" si="0"/>
        <v>217</v>
      </c>
      <c r="L8" s="39">
        <f t="shared" ca="1" si="0"/>
        <v>215.8</v>
      </c>
      <c r="N8" s="296"/>
      <c r="O8" s="296"/>
      <c r="P8" s="296"/>
      <c r="Q8" s="296"/>
      <c r="R8" s="296"/>
      <c r="S8" s="296"/>
    </row>
    <row r="9" spans="1:19" x14ac:dyDescent="0.2">
      <c r="A9" s="59">
        <v>44</v>
      </c>
      <c r="B9" s="59">
        <v>52</v>
      </c>
      <c r="C9" s="59" t="s">
        <v>65</v>
      </c>
      <c r="E9" s="20" t="s">
        <v>68</v>
      </c>
      <c r="F9" s="8" t="s">
        <v>2</v>
      </c>
      <c r="G9" s="37">
        <f t="shared" ref="G9" ca="1" si="1">VLOOKUP($C9, INDIRECT("'"&amp;$B$4&amp;"'!$B$"&amp;$A9&amp;":"&amp;"$H$"&amp;$B9), G$2, FALSE)/1000</f>
        <v>227.2</v>
      </c>
      <c r="H9" s="38">
        <f t="shared" ca="1" si="0"/>
        <v>226.9</v>
      </c>
      <c r="I9" s="38">
        <f t="shared" ca="1" si="0"/>
        <v>226.5</v>
      </c>
      <c r="J9" s="38">
        <f t="shared" ca="1" si="0"/>
        <v>226.5</v>
      </c>
      <c r="K9" s="38">
        <f t="shared" ca="1" si="0"/>
        <v>225.9</v>
      </c>
      <c r="L9" s="39">
        <f t="shared" ca="1" si="0"/>
        <v>224.9</v>
      </c>
      <c r="N9" s="296"/>
      <c r="O9" s="296"/>
      <c r="P9" s="296"/>
      <c r="Q9" s="296"/>
      <c r="R9" s="296"/>
      <c r="S9" s="296"/>
    </row>
    <row r="10" spans="1:19" x14ac:dyDescent="0.2">
      <c r="E10" s="20"/>
      <c r="F10" s="8"/>
      <c r="G10" s="37"/>
      <c r="H10" s="38"/>
      <c r="I10" s="38"/>
      <c r="J10" s="38"/>
      <c r="K10" s="38"/>
      <c r="L10" s="39"/>
      <c r="N10" s="296"/>
      <c r="O10" s="296"/>
      <c r="P10" s="296"/>
      <c r="Q10" s="296"/>
      <c r="R10" s="296"/>
      <c r="S10" s="296"/>
    </row>
    <row r="11" spans="1:19" x14ac:dyDescent="0.2">
      <c r="E11" s="5" t="s">
        <v>66</v>
      </c>
      <c r="F11" s="8"/>
      <c r="G11" s="7"/>
      <c r="H11" s="8"/>
      <c r="I11" s="8"/>
      <c r="J11" s="8"/>
      <c r="K11" s="8"/>
      <c r="L11" s="9"/>
      <c r="N11" s="296"/>
      <c r="O11" s="296"/>
      <c r="P11" s="296"/>
      <c r="Q11" s="296"/>
      <c r="R11" s="296"/>
      <c r="S11" s="296"/>
    </row>
    <row r="12" spans="1:19" x14ac:dyDescent="0.2">
      <c r="A12" s="59">
        <v>32</v>
      </c>
      <c r="B12" s="59">
        <v>40</v>
      </c>
      <c r="C12" s="59" t="s">
        <v>69</v>
      </c>
      <c r="E12" s="20" t="s">
        <v>13</v>
      </c>
      <c r="F12" s="8" t="s">
        <v>10</v>
      </c>
      <c r="G12" s="21">
        <f ca="1">VLOOKUP($C12, INDIRECT("'"&amp;$B$4&amp;"'!$B$"&amp;$A12&amp;":"&amp;"$H$"&amp;$B12), G$2, FALSE)</f>
        <v>10200</v>
      </c>
      <c r="H12" s="22">
        <f t="shared" ref="H12:L14" ca="1" si="2">VLOOKUP($C12, INDIRECT("'"&amp;$B$4&amp;"'!$B$"&amp;$A12&amp;":"&amp;"$H$"&amp;$B12), H$2, FALSE)</f>
        <v>10210</v>
      </c>
      <c r="I12" s="22">
        <f t="shared" ca="1" si="2"/>
        <v>10200</v>
      </c>
      <c r="J12" s="22">
        <f t="shared" ca="1" si="2"/>
        <v>10200</v>
      </c>
      <c r="K12" s="22">
        <f t="shared" ca="1" si="2"/>
        <v>10180</v>
      </c>
      <c r="L12" s="23">
        <f t="shared" ca="1" si="2"/>
        <v>10180</v>
      </c>
      <c r="N12" s="296"/>
      <c r="O12" s="296"/>
      <c r="P12" s="296"/>
      <c r="Q12" s="296"/>
      <c r="R12" s="296"/>
      <c r="S12" s="296"/>
    </row>
    <row r="13" spans="1:19" x14ac:dyDescent="0.2">
      <c r="A13" s="59">
        <v>44</v>
      </c>
      <c r="B13" s="59">
        <v>52</v>
      </c>
      <c r="C13" s="59" t="s">
        <v>69</v>
      </c>
      <c r="E13" s="20" t="s">
        <v>14</v>
      </c>
      <c r="F13" s="8" t="s">
        <v>10</v>
      </c>
      <c r="G13" s="21">
        <f ca="1">VLOOKUP($C13, INDIRECT("'"&amp;$B$4&amp;"'!$B$"&amp;$A13&amp;":"&amp;"$H$"&amp;$B13), G$2, FALSE)</f>
        <v>9890</v>
      </c>
      <c r="H13" s="22">
        <f t="shared" ca="1" si="2"/>
        <v>9900</v>
      </c>
      <c r="I13" s="22">
        <f t="shared" ca="1" si="2"/>
        <v>9890</v>
      </c>
      <c r="J13" s="22">
        <f t="shared" ca="1" si="2"/>
        <v>9890</v>
      </c>
      <c r="K13" s="22">
        <f t="shared" ca="1" si="2"/>
        <v>9880</v>
      </c>
      <c r="L13" s="23">
        <f t="shared" ca="1" si="2"/>
        <v>9880</v>
      </c>
      <c r="N13" s="296"/>
      <c r="O13" s="296"/>
      <c r="P13" s="296"/>
      <c r="Q13" s="296"/>
      <c r="R13" s="296"/>
      <c r="S13" s="296"/>
    </row>
    <row r="14" spans="1:19" x14ac:dyDescent="0.2">
      <c r="A14" s="59">
        <v>56</v>
      </c>
      <c r="B14" s="59">
        <v>64</v>
      </c>
      <c r="C14" s="59" t="s">
        <v>69</v>
      </c>
      <c r="E14" s="282" t="s">
        <v>405</v>
      </c>
      <c r="F14" s="283" t="s">
        <v>10</v>
      </c>
      <c r="G14" s="284">
        <f ca="1">VLOOKUP($C14, INDIRECT("'"&amp;$B$4&amp;"'!$B$"&amp;$A14&amp;":"&amp;"$H$"&amp;$B14), G$2, FALSE)</f>
        <v>10160</v>
      </c>
      <c r="H14" s="285">
        <f t="shared" ca="1" si="2"/>
        <v>10160</v>
      </c>
      <c r="I14" s="285">
        <f t="shared" ca="1" si="2"/>
        <v>10160</v>
      </c>
      <c r="J14" s="285">
        <f t="shared" ca="1" si="2"/>
        <v>10160</v>
      </c>
      <c r="K14" s="285">
        <f t="shared" ca="1" si="2"/>
        <v>10160</v>
      </c>
      <c r="L14" s="286">
        <f t="shared" ca="1" si="2"/>
        <v>10160</v>
      </c>
      <c r="M14" s="287" t="s">
        <v>406</v>
      </c>
      <c r="N14" s="296"/>
      <c r="O14" s="296"/>
      <c r="P14" s="296"/>
      <c r="Q14" s="296"/>
      <c r="R14" s="296"/>
      <c r="S14" s="296"/>
    </row>
    <row r="15" spans="1:19" x14ac:dyDescent="0.2">
      <c r="E15" s="5" t="s">
        <v>17</v>
      </c>
      <c r="F15" s="24"/>
      <c r="G15" s="7"/>
      <c r="H15" s="8"/>
      <c r="I15" s="8"/>
      <c r="J15" s="8"/>
      <c r="K15" s="8"/>
      <c r="L15" s="9"/>
      <c r="N15" s="296"/>
      <c r="O15" s="296"/>
      <c r="P15" s="296"/>
      <c r="Q15" s="296"/>
      <c r="R15" s="296"/>
      <c r="S15" s="296"/>
    </row>
    <row r="16" spans="1:19" ht="14.25" x14ac:dyDescent="0.2">
      <c r="A16" s="59">
        <v>211</v>
      </c>
      <c r="B16" s="59">
        <v>215</v>
      </c>
      <c r="C16" s="59" t="s">
        <v>70</v>
      </c>
      <c r="E16" s="20" t="s">
        <v>25</v>
      </c>
      <c r="F16" s="25" t="s">
        <v>15</v>
      </c>
      <c r="G16" s="190">
        <f ca="1">VLOOKUP($C16, INDIRECT("'"&amp;$B$4&amp;"'!$B$"&amp;$A16&amp;":"&amp;"$H$"&amp;$B16), G$2, FALSE)*G$12/G$14</f>
        <v>17.870078740157481</v>
      </c>
      <c r="H16" s="27">
        <f t="shared" ref="H16:J18" ca="1" si="3">VLOOKUP($C16, INDIRECT("'"&amp;$B$4&amp;"'!$B$"&amp;$A16&amp;":"&amp;"$H$"&amp;$B16), H$2, FALSE)*H$12/H$14</f>
        <v>17.887598425196849</v>
      </c>
      <c r="I16" s="27">
        <f t="shared" ca="1" si="3"/>
        <v>17.870078740157481</v>
      </c>
      <c r="J16" s="288">
        <f ca="1">VLOOKUP($C16, INDIRECT("'"&amp;$B$4&amp;"'!$B$"&amp;$A16&amp;":"&amp;"$H$"&amp;$B16), J$2, FALSE)*J$12/J$14</f>
        <v>17.870078740157481</v>
      </c>
      <c r="K16" s="27">
        <f t="shared" ref="K16:L18" ca="1" si="4">VLOOKUP($C16, INDIRECT("'"&amp;$B$4&amp;"'!$B$"&amp;$A16&amp;":"&amp;"$H$"&amp;$B16), K$2, FALSE)*K$12/K$14</f>
        <v>17.835039370078739</v>
      </c>
      <c r="L16" s="28">
        <f t="shared" ca="1" si="4"/>
        <v>17.835039370078739</v>
      </c>
      <c r="N16" s="296"/>
      <c r="O16" s="296"/>
      <c r="P16" s="296"/>
      <c r="Q16" s="296"/>
      <c r="R16" s="296"/>
      <c r="S16" s="296"/>
    </row>
    <row r="17" spans="1:19" ht="14.25" x14ac:dyDescent="0.2">
      <c r="A17" s="59">
        <v>211</v>
      </c>
      <c r="B17" s="59">
        <v>215</v>
      </c>
      <c r="C17" s="59" t="s">
        <v>71</v>
      </c>
      <c r="E17" s="20" t="s">
        <v>26</v>
      </c>
      <c r="F17" s="25" t="s">
        <v>15</v>
      </c>
      <c r="G17" s="26">
        <f t="shared" ref="G17:G18" ca="1" si="5">VLOOKUP($C17, INDIRECT("'"&amp;$B$4&amp;"'!$B$"&amp;$A17&amp;":"&amp;"$H$"&amp;$B17), G$2, FALSE)*G$12/G$14</f>
        <v>4.6181102362204722</v>
      </c>
      <c r="H17" s="27">
        <f t="shared" ca="1" si="3"/>
        <v>4.6226377952755904</v>
      </c>
      <c r="I17" s="27">
        <f t="shared" ca="1" si="3"/>
        <v>4.6181102362204722</v>
      </c>
      <c r="J17" s="27">
        <f t="shared" ca="1" si="3"/>
        <v>4.6181102362204722</v>
      </c>
      <c r="K17" s="27">
        <f t="shared" ca="1" si="4"/>
        <v>4.5088582677165352</v>
      </c>
      <c r="L17" s="28">
        <f t="shared" ca="1" si="4"/>
        <v>4.5088582677165352</v>
      </c>
      <c r="N17" s="296"/>
      <c r="O17" s="296"/>
      <c r="P17" s="296"/>
      <c r="Q17" s="296"/>
      <c r="R17" s="296"/>
      <c r="S17" s="296"/>
    </row>
    <row r="18" spans="1:19" ht="14.25" x14ac:dyDescent="0.2">
      <c r="A18" s="59">
        <v>211</v>
      </c>
      <c r="B18" s="59">
        <v>215</v>
      </c>
      <c r="C18" s="59" t="s">
        <v>72</v>
      </c>
      <c r="E18" s="20" t="s">
        <v>27</v>
      </c>
      <c r="F18" s="25" t="s">
        <v>15</v>
      </c>
      <c r="G18" s="21">
        <f t="shared" ca="1" si="5"/>
        <v>277086.61417322833</v>
      </c>
      <c r="H18" s="22">
        <f t="shared" ca="1" si="3"/>
        <v>277358.26771653543</v>
      </c>
      <c r="I18" s="22">
        <f t="shared" ca="1" si="3"/>
        <v>274677.16535433073</v>
      </c>
      <c r="J18" s="22">
        <f t="shared" ca="1" si="3"/>
        <v>274677.16535433073</v>
      </c>
      <c r="K18" s="22">
        <f t="shared" ca="1" si="4"/>
        <v>272936.22047244094</v>
      </c>
      <c r="L18" s="23">
        <f t="shared" ca="1" si="4"/>
        <v>271733.85826771654</v>
      </c>
      <c r="N18" s="296"/>
      <c r="O18" s="296"/>
      <c r="P18" s="296"/>
      <c r="Q18" s="296"/>
      <c r="R18" s="296"/>
      <c r="S18" s="296"/>
    </row>
    <row r="19" spans="1:19" x14ac:dyDescent="0.2">
      <c r="E19" s="5" t="s">
        <v>18</v>
      </c>
      <c r="F19" s="24"/>
      <c r="G19" s="29"/>
      <c r="H19" s="24"/>
      <c r="I19" s="24"/>
      <c r="J19" s="24"/>
      <c r="K19" s="24"/>
      <c r="L19" s="30"/>
      <c r="N19" s="296"/>
      <c r="O19" s="296"/>
      <c r="P19" s="296"/>
      <c r="Q19" s="296"/>
      <c r="R19" s="296"/>
      <c r="S19" s="296"/>
    </row>
    <row r="20" spans="1:19" ht="14.25" x14ac:dyDescent="0.2">
      <c r="A20" s="59">
        <v>211</v>
      </c>
      <c r="B20" s="59">
        <v>215</v>
      </c>
      <c r="C20" s="59" t="s">
        <v>70</v>
      </c>
      <c r="E20" s="20" t="s">
        <v>25</v>
      </c>
      <c r="F20" s="25" t="s">
        <v>15</v>
      </c>
      <c r="G20" s="26">
        <f ca="1">VLOOKUP($C20, INDIRECT("'"&amp;$B$4&amp;"'!$B$"&amp;$A20&amp;":"&amp;"$H$"&amp;$B20), G$2, FALSE)*G$13/G$14</f>
        <v>17.326968503937007</v>
      </c>
      <c r="H20" s="27">
        <f t="shared" ref="H20:J22" ca="1" si="6">VLOOKUP($C20, INDIRECT("'"&amp;$B$4&amp;"'!$B$"&amp;$A20&amp;":"&amp;"$H$"&amp;$B20), H$2, FALSE)*H$13/H$14</f>
        <v>17.344488188976378</v>
      </c>
      <c r="I20" s="27">
        <f t="shared" ca="1" si="6"/>
        <v>17.326968503937007</v>
      </c>
      <c r="J20" s="27">
        <f ca="1">VLOOKUP($C20, INDIRECT("'"&amp;$B$4&amp;"'!$B$"&amp;$A20&amp;":"&amp;"$H$"&amp;$B20), J$2, FALSE)*J$13/J$14</f>
        <v>17.326968503937007</v>
      </c>
      <c r="K20" s="27">
        <f t="shared" ref="K20:L22" ca="1" si="7">VLOOKUP($C20, INDIRECT("'"&amp;$B$4&amp;"'!$B$"&amp;$A20&amp;":"&amp;"$H$"&amp;$B20), K$2, FALSE)*K$13/K$14</f>
        <v>17.309448818897639</v>
      </c>
      <c r="L20" s="28">
        <f t="shared" ca="1" si="7"/>
        <v>17.309448818897639</v>
      </c>
      <c r="N20" s="296"/>
      <c r="O20" s="296"/>
      <c r="P20" s="296"/>
      <c r="Q20" s="296"/>
      <c r="R20" s="296"/>
      <c r="S20" s="296"/>
    </row>
    <row r="21" spans="1:19" ht="14.25" x14ac:dyDescent="0.2">
      <c r="A21" s="59">
        <v>211</v>
      </c>
      <c r="B21" s="59">
        <v>215</v>
      </c>
      <c r="C21" s="59" t="s">
        <v>71</v>
      </c>
      <c r="E21" s="20" t="s">
        <v>26</v>
      </c>
      <c r="F21" s="25" t="s">
        <v>15</v>
      </c>
      <c r="G21" s="26">
        <f t="shared" ref="G21:G22" ca="1" si="8">VLOOKUP($C21, INDIRECT("'"&amp;$B$4&amp;"'!$B$"&amp;$A21&amp;":"&amp;"$H$"&amp;$B21), G$2, FALSE)*G$13/G$14</f>
        <v>4.4777559055118115</v>
      </c>
      <c r="H21" s="27">
        <f t="shared" ca="1" si="6"/>
        <v>4.4822834645669287</v>
      </c>
      <c r="I21" s="27">
        <f t="shared" ca="1" si="6"/>
        <v>4.4777559055118115</v>
      </c>
      <c r="J21" s="27">
        <f t="shared" ca="1" si="6"/>
        <v>4.4777559055118115</v>
      </c>
      <c r="K21" s="27">
        <f t="shared" ca="1" si="7"/>
        <v>4.3759842519685037</v>
      </c>
      <c r="L21" s="28">
        <f t="shared" ca="1" si="7"/>
        <v>4.3759842519685037</v>
      </c>
      <c r="N21" s="296"/>
      <c r="O21" s="296"/>
      <c r="P21" s="296"/>
      <c r="Q21" s="296"/>
      <c r="R21" s="296"/>
      <c r="S21" s="296"/>
    </row>
    <row r="22" spans="1:19" ht="14.25" x14ac:dyDescent="0.2">
      <c r="A22" s="59">
        <v>211</v>
      </c>
      <c r="B22" s="59">
        <v>215</v>
      </c>
      <c r="C22" s="59" t="s">
        <v>72</v>
      </c>
      <c r="E22" s="20" t="s">
        <v>27</v>
      </c>
      <c r="F22" s="25" t="s">
        <v>15</v>
      </c>
      <c r="G22" s="21">
        <f t="shared" ca="1" si="8"/>
        <v>268665.35433070868</v>
      </c>
      <c r="H22" s="22">
        <f t="shared" ca="1" si="6"/>
        <v>268937.00787401578</v>
      </c>
      <c r="I22" s="22">
        <f t="shared" ca="1" si="6"/>
        <v>266329.13385826774</v>
      </c>
      <c r="J22" s="22">
        <f t="shared" ca="1" si="6"/>
        <v>266329.13385826774</v>
      </c>
      <c r="K22" s="22">
        <f t="shared" ca="1" si="7"/>
        <v>264892.91338582675</v>
      </c>
      <c r="L22" s="23">
        <f t="shared" ca="1" si="7"/>
        <v>263725.9842519685</v>
      </c>
      <c r="N22" s="296"/>
      <c r="O22" s="296"/>
      <c r="P22" s="296"/>
      <c r="Q22" s="296"/>
      <c r="R22" s="296"/>
      <c r="S22" s="296"/>
    </row>
    <row r="23" spans="1:19" x14ac:dyDescent="0.2">
      <c r="E23" s="5" t="s">
        <v>315</v>
      </c>
      <c r="F23" s="24"/>
      <c r="G23" s="21"/>
      <c r="H23" s="22"/>
      <c r="I23" s="22"/>
      <c r="J23" s="22"/>
      <c r="K23" s="22"/>
      <c r="L23" s="23"/>
      <c r="N23" s="296"/>
      <c r="O23" s="296"/>
      <c r="P23" s="296"/>
      <c r="Q23" s="296"/>
      <c r="R23" s="296"/>
      <c r="S23" s="296"/>
    </row>
    <row r="24" spans="1:19" ht="14.25" x14ac:dyDescent="0.2">
      <c r="A24" s="59">
        <v>226</v>
      </c>
      <c r="B24" s="59">
        <v>229</v>
      </c>
      <c r="C24" s="59" t="s">
        <v>70</v>
      </c>
      <c r="E24" s="20" t="s">
        <v>25</v>
      </c>
      <c r="F24" s="25" t="s">
        <v>15</v>
      </c>
      <c r="G24" s="190">
        <f ca="1">VLOOKUP($C24, INDIRECT("'"&amp;$B$4&amp;"'!$B$"&amp;$A24&amp;":"&amp;"$H$"&amp;$B24), G$2, FALSE)*G$12/G$14</f>
        <v>64.753937007874015</v>
      </c>
      <c r="H24" s="27">
        <f t="shared" ref="H24:J26" ca="1" si="9">VLOOKUP($C24, INDIRECT("'"&amp;$B$4&amp;"'!$B$"&amp;$A24&amp;":"&amp;"$H$"&amp;$B24), H$2, FALSE)*H$12/H$14</f>
        <v>64.817421259842519</v>
      </c>
      <c r="I24" s="27">
        <f t="shared" ca="1" si="9"/>
        <v>64.753937007874015</v>
      </c>
      <c r="J24" s="288">
        <f ca="1">VLOOKUP($C24, INDIRECT("'"&amp;$B$4&amp;"'!$B$"&amp;$A24&amp;":"&amp;"$H$"&amp;$B24), J$2, FALSE)*J$12/J$14</f>
        <v>64.753937007874015</v>
      </c>
      <c r="K24" s="27">
        <f t="shared" ref="K24:L26" ca="1" si="10">VLOOKUP($C24, INDIRECT("'"&amp;$B$4&amp;"'!$B$"&amp;$A24&amp;":"&amp;"$H$"&amp;$B24), K$2, FALSE)*K$12/K$14</f>
        <v>64.626968503937007</v>
      </c>
      <c r="L24" s="28">
        <f t="shared" ca="1" si="10"/>
        <v>64.626968503937007</v>
      </c>
      <c r="N24" s="296"/>
      <c r="O24" s="296"/>
      <c r="P24" s="296"/>
      <c r="Q24" s="296"/>
      <c r="R24" s="296"/>
      <c r="S24" s="296"/>
    </row>
    <row r="25" spans="1:19" ht="14.25" x14ac:dyDescent="0.2">
      <c r="A25" s="59">
        <v>226</v>
      </c>
      <c r="B25" s="59">
        <v>229</v>
      </c>
      <c r="C25" s="59" t="s">
        <v>71</v>
      </c>
      <c r="E25" s="20" t="s">
        <v>26</v>
      </c>
      <c r="F25" s="25" t="s">
        <v>15</v>
      </c>
      <c r="G25" s="26">
        <f t="shared" ref="G25:G26" ca="1" si="11">VLOOKUP($C25, INDIRECT("'"&amp;$B$4&amp;"'!$B$"&amp;$A25&amp;":"&amp;"$H$"&amp;$B25), G$2, FALSE)*G$12/G$14</f>
        <v>3.5137795275590551</v>
      </c>
      <c r="H25" s="27">
        <f t="shared" ca="1" si="9"/>
        <v>3.517224409448819</v>
      </c>
      <c r="I25" s="27">
        <f t="shared" ca="1" si="9"/>
        <v>3.5137795275590551</v>
      </c>
      <c r="J25" s="27">
        <f t="shared" ca="1" si="9"/>
        <v>3.5137795275590551</v>
      </c>
      <c r="K25" s="27">
        <f t="shared" ca="1" si="10"/>
        <v>3.5068897637795278</v>
      </c>
      <c r="L25" s="28">
        <f t="shared" ca="1" si="10"/>
        <v>3.4066929133858266</v>
      </c>
      <c r="N25" s="296"/>
      <c r="O25" s="296"/>
      <c r="P25" s="296"/>
      <c r="Q25" s="296"/>
      <c r="R25" s="296"/>
      <c r="S25" s="296"/>
    </row>
    <row r="26" spans="1:19" ht="14.25" x14ac:dyDescent="0.2">
      <c r="A26" s="59">
        <v>226</v>
      </c>
      <c r="B26" s="59">
        <v>229</v>
      </c>
      <c r="C26" s="59" t="s">
        <v>72</v>
      </c>
      <c r="E26" s="20" t="s">
        <v>27</v>
      </c>
      <c r="F26" s="25" t="s">
        <v>15</v>
      </c>
      <c r="G26" s="21">
        <f t="shared" ca="1" si="11"/>
        <v>369448.81889763777</v>
      </c>
      <c r="H26" s="22">
        <f t="shared" ca="1" si="9"/>
        <v>369811.02362204727</v>
      </c>
      <c r="I26" s="22">
        <f t="shared" ca="1" si="9"/>
        <v>366236.22047244094</v>
      </c>
      <c r="J26" s="22">
        <f t="shared" ca="1" si="9"/>
        <v>366236.22047244094</v>
      </c>
      <c r="K26" s="22">
        <f t="shared" ca="1" si="10"/>
        <v>363914.96062992123</v>
      </c>
      <c r="L26" s="23">
        <f t="shared" ca="1" si="10"/>
        <v>362311.81102362205</v>
      </c>
      <c r="N26" s="296"/>
      <c r="O26" s="296"/>
      <c r="P26" s="296"/>
      <c r="Q26" s="296"/>
      <c r="R26" s="296"/>
      <c r="S26" s="296"/>
    </row>
    <row r="27" spans="1:19" x14ac:dyDescent="0.2">
      <c r="E27" s="5" t="s">
        <v>16</v>
      </c>
      <c r="F27" s="24"/>
      <c r="G27" s="29"/>
      <c r="H27" s="24"/>
      <c r="I27" s="24"/>
      <c r="J27" s="24"/>
      <c r="K27" s="24"/>
      <c r="L27" s="30"/>
      <c r="N27" s="296"/>
      <c r="O27" s="296"/>
      <c r="P27" s="296"/>
      <c r="Q27" s="296"/>
      <c r="R27" s="296"/>
      <c r="S27" s="296"/>
    </row>
    <row r="28" spans="1:19" ht="14.25" x14ac:dyDescent="0.2">
      <c r="A28" s="59">
        <v>226</v>
      </c>
      <c r="B28" s="59">
        <v>229</v>
      </c>
      <c r="C28" s="59" t="s">
        <v>70</v>
      </c>
      <c r="E28" s="20" t="s">
        <v>25</v>
      </c>
      <c r="F28" s="25" t="s">
        <v>15</v>
      </c>
      <c r="G28" s="26">
        <f ca="1">VLOOKUP($C28, INDIRECT("'"&amp;$B$4&amp;"'!$B$"&amp;$A28&amp;":"&amp;"$H$"&amp;$B28), G$2, FALSE)*G$13/G$14</f>
        <v>62.785925196850393</v>
      </c>
      <c r="H28" s="27">
        <f t="shared" ref="H28:J30" ca="1" si="12">VLOOKUP($C28, INDIRECT("'"&amp;$B$4&amp;"'!$B$"&amp;$A28&amp;":"&amp;"$H$"&amp;$B28), H$2, FALSE)*H$13/H$14</f>
        <v>62.849409448818896</v>
      </c>
      <c r="I28" s="27">
        <f t="shared" ca="1" si="12"/>
        <v>62.785925196850393</v>
      </c>
      <c r="J28" s="27">
        <f ca="1">VLOOKUP($C28, INDIRECT("'"&amp;$B$4&amp;"'!$B$"&amp;$A28&amp;":"&amp;"$H$"&amp;$B28), J$2, FALSE)*J$13/J$14</f>
        <v>62.785925196850393</v>
      </c>
      <c r="K28" s="27">
        <f t="shared" ref="K28:L30" ca="1" si="13">VLOOKUP($C28, INDIRECT("'"&amp;$B$4&amp;"'!$B$"&amp;$A28&amp;":"&amp;"$H$"&amp;$B28), K$2, FALSE)*K$13/K$14</f>
        <v>62.722440944881889</v>
      </c>
      <c r="L28" s="28">
        <f t="shared" ca="1" si="13"/>
        <v>62.722440944881889</v>
      </c>
      <c r="N28" s="296"/>
      <c r="O28" s="296"/>
      <c r="P28" s="296"/>
      <c r="Q28" s="296"/>
      <c r="R28" s="296"/>
      <c r="S28" s="296"/>
    </row>
    <row r="29" spans="1:19" ht="14.25" x14ac:dyDescent="0.2">
      <c r="A29" s="59">
        <v>226</v>
      </c>
      <c r="B29" s="59">
        <v>229</v>
      </c>
      <c r="C29" s="59" t="s">
        <v>71</v>
      </c>
      <c r="E29" s="20" t="s">
        <v>26</v>
      </c>
      <c r="F29" s="25" t="s">
        <v>15</v>
      </c>
      <c r="G29" s="26">
        <f t="shared" ref="G29:G30" ca="1" si="14">VLOOKUP($C29, INDIRECT("'"&amp;$B$4&amp;"'!$B$"&amp;$A29&amp;":"&amp;"$H$"&amp;$B29), G$2, FALSE)*G$13/G$14</f>
        <v>3.4069881889763778</v>
      </c>
      <c r="H29" s="27">
        <f t="shared" ca="1" si="12"/>
        <v>3.4104330708661417</v>
      </c>
      <c r="I29" s="27">
        <f t="shared" ca="1" si="12"/>
        <v>3.4069881889763778</v>
      </c>
      <c r="J29" s="27">
        <f t="shared" ca="1" si="12"/>
        <v>3.4069881889763778</v>
      </c>
      <c r="K29" s="27">
        <f t="shared" ca="1" si="13"/>
        <v>3.4035433070866143</v>
      </c>
      <c r="L29" s="28">
        <f t="shared" ca="1" si="13"/>
        <v>3.3062992125984252</v>
      </c>
      <c r="N29" s="296"/>
      <c r="O29" s="296"/>
      <c r="P29" s="296"/>
      <c r="Q29" s="296"/>
      <c r="R29" s="296"/>
      <c r="S29" s="296"/>
    </row>
    <row r="30" spans="1:19" ht="14.25" x14ac:dyDescent="0.2">
      <c r="A30" s="59">
        <v>226</v>
      </c>
      <c r="B30" s="59">
        <v>229</v>
      </c>
      <c r="C30" s="59" t="s">
        <v>72</v>
      </c>
      <c r="E30" s="20" t="s">
        <v>27</v>
      </c>
      <c r="F30" s="25" t="s">
        <v>15</v>
      </c>
      <c r="G30" s="21">
        <f t="shared" ca="1" si="14"/>
        <v>358220.47244094487</v>
      </c>
      <c r="H30" s="22">
        <f t="shared" ca="1" si="12"/>
        <v>358582.67716535431</v>
      </c>
      <c r="I30" s="22">
        <f t="shared" ca="1" si="12"/>
        <v>355105.51181102364</v>
      </c>
      <c r="J30" s="22">
        <f t="shared" ca="1" si="12"/>
        <v>355105.51181102364</v>
      </c>
      <c r="K30" s="22">
        <f t="shared" ca="1" si="13"/>
        <v>353190.55118110235</v>
      </c>
      <c r="L30" s="23">
        <f t="shared" ca="1" si="13"/>
        <v>351634.64566929132</v>
      </c>
      <c r="N30" s="296"/>
      <c r="O30" s="296"/>
      <c r="P30" s="296"/>
      <c r="Q30" s="296"/>
      <c r="R30" s="296"/>
      <c r="S30" s="296"/>
    </row>
    <row r="31" spans="1:19" x14ac:dyDescent="0.2">
      <c r="E31" s="4" t="s">
        <v>19</v>
      </c>
      <c r="F31" s="25"/>
      <c r="G31" s="29"/>
      <c r="H31" s="24"/>
      <c r="I31" s="24"/>
      <c r="J31" s="24"/>
      <c r="K31" s="24"/>
      <c r="L31" s="30"/>
      <c r="N31" s="296"/>
      <c r="O31" s="296"/>
      <c r="P31" s="296"/>
      <c r="Q31" s="296"/>
      <c r="R31" s="296"/>
      <c r="S31" s="296"/>
    </row>
    <row r="32" spans="1:19" x14ac:dyDescent="0.2">
      <c r="E32" s="31"/>
      <c r="F32" s="8"/>
      <c r="G32" s="53"/>
      <c r="H32" s="54"/>
      <c r="I32" s="54"/>
      <c r="J32" s="54"/>
      <c r="K32" s="54"/>
      <c r="L32" s="55"/>
      <c r="N32" s="296"/>
      <c r="O32" s="296"/>
      <c r="P32" s="296"/>
      <c r="Q32" s="296"/>
      <c r="R32" s="296"/>
      <c r="S32" s="296"/>
    </row>
    <row r="33" spans="1:19" ht="25.5" x14ac:dyDescent="0.2">
      <c r="A33" s="303" t="s">
        <v>343</v>
      </c>
      <c r="B33" s="303"/>
      <c r="C33" s="303"/>
      <c r="E33" s="31" t="s">
        <v>267</v>
      </c>
      <c r="F33" s="8" t="s">
        <v>7</v>
      </c>
      <c r="G33" s="53">
        <v>325</v>
      </c>
      <c r="H33" s="54">
        <v>325</v>
      </c>
      <c r="I33" s="54">
        <v>325</v>
      </c>
      <c r="J33" s="54">
        <v>325</v>
      </c>
      <c r="K33" s="54">
        <v>325</v>
      </c>
      <c r="L33" s="55">
        <v>325</v>
      </c>
      <c r="N33" s="296"/>
      <c r="O33" s="296"/>
      <c r="P33" s="296"/>
      <c r="Q33" s="296"/>
      <c r="R33" s="296"/>
      <c r="S33" s="296"/>
    </row>
    <row r="34" spans="1:19" ht="13.5" thickBot="1" x14ac:dyDescent="0.25">
      <c r="A34" s="59">
        <v>16</v>
      </c>
      <c r="B34" s="59">
        <v>16</v>
      </c>
      <c r="C34" s="59" t="s">
        <v>87</v>
      </c>
      <c r="E34" s="32" t="s">
        <v>6</v>
      </c>
      <c r="F34" s="52" t="s">
        <v>11</v>
      </c>
      <c r="G34" s="56">
        <f ca="1">VLOOKUP($C34, INDIRECT("'"&amp;$B$4&amp;"'!$B$"&amp;$A34&amp;":"&amp;"$H$"&amp;$B34), G$2, FALSE)</f>
        <v>4.3400000000000001E-2</v>
      </c>
      <c r="H34" s="57">
        <f t="shared" ref="H34:L34" ca="1" si="15">VLOOKUP($C34, INDIRECT("'"&amp;$B$4&amp;"'!$B$"&amp;$A34&amp;":"&amp;"$H$"&amp;$B34), H$2, FALSE)</f>
        <v>4.3400000000000001E-2</v>
      </c>
      <c r="I34" s="57">
        <f t="shared" ca="1" si="15"/>
        <v>4.3400000000000001E-2</v>
      </c>
      <c r="J34" s="57">
        <f t="shared" ca="1" si="15"/>
        <v>4.3400000000000001E-2</v>
      </c>
      <c r="K34" s="57">
        <f t="shared" ca="1" si="15"/>
        <v>4.3400000000000001E-2</v>
      </c>
      <c r="L34" s="58">
        <f t="shared" ca="1" si="15"/>
        <v>4.3400000000000001E-2</v>
      </c>
      <c r="N34" s="296"/>
      <c r="O34" s="296"/>
      <c r="P34" s="296"/>
      <c r="Q34" s="296"/>
      <c r="R34" s="296"/>
      <c r="S34" s="296"/>
    </row>
    <row r="35" spans="1:19" ht="12.75" customHeight="1" x14ac:dyDescent="0.2">
      <c r="E35" s="6" t="s">
        <v>403</v>
      </c>
      <c r="F35" s="24"/>
      <c r="G35" s="34"/>
      <c r="H35" s="35"/>
      <c r="I35" s="35"/>
      <c r="J35" s="35"/>
      <c r="K35" s="35"/>
      <c r="L35" s="36"/>
      <c r="N35" s="296"/>
      <c r="O35" s="296"/>
      <c r="P35" s="296"/>
      <c r="Q35" s="296"/>
      <c r="R35" s="296"/>
      <c r="S35" s="296"/>
    </row>
    <row r="36" spans="1:19" x14ac:dyDescent="0.2">
      <c r="A36" s="59">
        <v>184</v>
      </c>
      <c r="B36" s="59">
        <v>187</v>
      </c>
      <c r="C36" s="59" t="s">
        <v>163</v>
      </c>
      <c r="E36" s="20" t="s">
        <v>22</v>
      </c>
      <c r="F36" s="8" t="s">
        <v>9</v>
      </c>
      <c r="G36" s="191">
        <f ca="1">VLOOKUP($C36, INDIRECT("'"&amp;$B$4&amp;"'!$B$"&amp;$A36&amp;":"&amp;"$H$"&amp;$B36), G$2, FALSE)</f>
        <v>1.52</v>
      </c>
      <c r="H36" s="41">
        <f t="shared" ref="H36:L38" ca="1" si="16">VLOOKUP($C36, INDIRECT("'"&amp;$B$4&amp;"'!$B$"&amp;$A36&amp;":"&amp;"$H$"&amp;$B36), H$2, FALSE)</f>
        <v>1.54</v>
      </c>
      <c r="I36" s="41">
        <f t="shared" ca="1" si="16"/>
        <v>1.52</v>
      </c>
      <c r="J36" s="41">
        <f t="shared" ca="1" si="16"/>
        <v>1.52</v>
      </c>
      <c r="K36" s="41">
        <f t="shared" ca="1" si="16"/>
        <v>1.52</v>
      </c>
      <c r="L36" s="42">
        <f t="shared" ca="1" si="16"/>
        <v>1.52</v>
      </c>
      <c r="N36" s="296"/>
      <c r="O36" s="296"/>
      <c r="P36" s="296"/>
      <c r="Q36" s="296"/>
      <c r="R36" s="296"/>
      <c r="S36" s="296"/>
    </row>
    <row r="37" spans="1:19" x14ac:dyDescent="0.2">
      <c r="A37" s="59">
        <v>190</v>
      </c>
      <c r="B37" s="59">
        <v>193</v>
      </c>
      <c r="C37" s="59" t="s">
        <v>163</v>
      </c>
      <c r="E37" s="20" t="s">
        <v>23</v>
      </c>
      <c r="F37" s="8" t="s">
        <v>9</v>
      </c>
      <c r="G37" s="40">
        <f t="shared" ref="G37:G38" ca="1" si="17">VLOOKUP($C37, INDIRECT("'"&amp;$B$4&amp;"'!$B$"&amp;$A37&amp;":"&amp;"$H$"&amp;$B37), G$2, FALSE)</f>
        <v>8.8299999999999983</v>
      </c>
      <c r="H37" s="41">
        <f t="shared" ca="1" si="16"/>
        <v>9.2099999999999991</v>
      </c>
      <c r="I37" s="41">
        <f t="shared" ca="1" si="16"/>
        <v>8.84</v>
      </c>
      <c r="J37" s="41">
        <f t="shared" ca="1" si="16"/>
        <v>8.84</v>
      </c>
      <c r="K37" s="41">
        <f t="shared" ca="1" si="16"/>
        <v>8.84</v>
      </c>
      <c r="L37" s="42">
        <f t="shared" ca="1" si="16"/>
        <v>8.84</v>
      </c>
      <c r="N37" s="296"/>
      <c r="O37" s="296"/>
      <c r="P37" s="296"/>
      <c r="Q37" s="296"/>
      <c r="R37" s="296"/>
      <c r="S37" s="296"/>
    </row>
    <row r="38" spans="1:19" ht="13.5" thickBot="1" x14ac:dyDescent="0.25">
      <c r="A38" s="59">
        <v>177</v>
      </c>
      <c r="B38" s="59">
        <v>180</v>
      </c>
      <c r="C38" s="59" t="s">
        <v>160</v>
      </c>
      <c r="E38" s="32" t="s">
        <v>404</v>
      </c>
      <c r="F38" s="33" t="s">
        <v>8</v>
      </c>
      <c r="G38" s="43">
        <f t="shared" ca="1" si="17"/>
        <v>9500</v>
      </c>
      <c r="H38" s="44">
        <f t="shared" ca="1" si="16"/>
        <v>9500</v>
      </c>
      <c r="I38" s="44">
        <f t="shared" ca="1" si="16"/>
        <v>9500</v>
      </c>
      <c r="J38" s="44">
        <f t="shared" ca="1" si="16"/>
        <v>9500</v>
      </c>
      <c r="K38" s="44">
        <f t="shared" ca="1" si="16"/>
        <v>9500</v>
      </c>
      <c r="L38" s="45">
        <f t="shared" ca="1" si="16"/>
        <v>9500</v>
      </c>
      <c r="N38" s="296"/>
      <c r="O38" s="296"/>
      <c r="P38" s="296"/>
      <c r="Q38" s="296"/>
      <c r="R38" s="296"/>
      <c r="S38" s="296"/>
    </row>
    <row r="40" spans="1:19" x14ac:dyDescent="0.2">
      <c r="E40" s="10" t="s">
        <v>419</v>
      </c>
    </row>
  </sheetData>
  <mergeCells count="3">
    <mergeCell ref="G4:L4"/>
    <mergeCell ref="G6:L6"/>
    <mergeCell ref="A33:C33"/>
  </mergeCells>
  <printOptions horizontalCentered="1" gridLines="1"/>
  <pageMargins left="0.7" right="0.7" top="0.75" bottom="0.75" header="0.3" footer="0.3"/>
  <pageSetup scale="85" orientation="landscape" r:id="rId1"/>
  <headerFooter>
    <oddHeader>&amp;C&amp;F</oddHeader>
    <oddFooter>&amp;L&amp;D&amp;C&amp;A</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40"/>
  <sheetViews>
    <sheetView topLeftCell="E3" workbookViewId="0">
      <selection activeCell="E3" sqref="E3"/>
    </sheetView>
  </sheetViews>
  <sheetFormatPr defaultRowHeight="12.75" outlineLevelRow="1" outlineLevelCol="1" x14ac:dyDescent="0.2"/>
  <cols>
    <col min="1" max="1" width="13" style="59" hidden="1" customWidth="1" outlineLevel="1"/>
    <col min="2" max="2" width="13.33203125" style="59" hidden="1" customWidth="1" outlineLevel="1"/>
    <col min="3" max="4" width="38" style="59" hidden="1" customWidth="1" outlineLevel="1"/>
    <col min="5" max="5" width="1.83203125" style="10" customWidth="1" collapsed="1"/>
    <col min="6" max="6" width="43.5" style="10" customWidth="1"/>
    <col min="7" max="7" width="16" style="10" customWidth="1"/>
    <col min="8" max="8" width="16.33203125" style="10" customWidth="1"/>
    <col min="9" max="9" width="16.5" style="10" customWidth="1"/>
    <col min="10" max="10" width="16.33203125" style="10" customWidth="1"/>
    <col min="11" max="11" width="16.1640625" style="10" customWidth="1"/>
    <col min="12" max="12" width="17.5" style="10" customWidth="1"/>
    <col min="13" max="13" width="17.83203125" style="10" customWidth="1"/>
    <col min="14" max="16384" width="9.33203125" style="10"/>
  </cols>
  <sheetData>
    <row r="1" spans="1:20" s="59" customFormat="1" hidden="1" outlineLevel="1" x14ac:dyDescent="0.2">
      <c r="H1" s="59" t="s">
        <v>58</v>
      </c>
      <c r="I1" s="59" t="s">
        <v>59</v>
      </c>
      <c r="J1" s="59" t="s">
        <v>60</v>
      </c>
      <c r="K1" s="59" t="s">
        <v>61</v>
      </c>
      <c r="L1" s="59" t="s">
        <v>62</v>
      </c>
      <c r="M1" s="59" t="s">
        <v>63</v>
      </c>
    </row>
    <row r="2" spans="1:20" s="59" customFormat="1" hidden="1" outlineLevel="1" x14ac:dyDescent="0.2">
      <c r="H2" s="59">
        <f>MATCH(H1, '[1]1x HA.02 25ppm'!$B$6:$H$6)</f>
        <v>7</v>
      </c>
      <c r="I2" s="59">
        <f>MATCH(I1, '[1]1x HA.02 25ppm'!$B$6:$H$6)</f>
        <v>6</v>
      </c>
      <c r="J2" s="59">
        <f>MATCH(J1, '[1]1x HA.02 25ppm'!$B$6:$H$6)</f>
        <v>4</v>
      </c>
      <c r="K2" s="59">
        <f>MATCH(K1, '[1]1x HA.02 25ppm'!$B$6:$H$6)</f>
        <v>5</v>
      </c>
      <c r="L2" s="59">
        <f>MATCH(L1, '[1]1x HA.02 25ppm'!$B$6:$H$6)</f>
        <v>3</v>
      </c>
      <c r="M2" s="59">
        <f>MATCH(M1, '[1]1x HA.02 25ppm'!$B$6:$H$6)</f>
        <v>2</v>
      </c>
    </row>
    <row r="3" spans="1:20" ht="13.5" collapsed="1" thickBot="1" x14ac:dyDescent="0.25"/>
    <row r="4" spans="1:20" ht="14.25" x14ac:dyDescent="0.2">
      <c r="A4" s="60" t="s">
        <v>73</v>
      </c>
      <c r="B4" s="59" t="s">
        <v>316</v>
      </c>
      <c r="F4" s="11"/>
      <c r="G4" s="12"/>
      <c r="H4" s="297" t="s">
        <v>348</v>
      </c>
      <c r="I4" s="298"/>
      <c r="J4" s="298"/>
      <c r="K4" s="298"/>
      <c r="L4" s="298"/>
      <c r="M4" s="299"/>
    </row>
    <row r="5" spans="1:20" ht="26.25" thickBot="1" x14ac:dyDescent="0.25">
      <c r="F5" s="3" t="s">
        <v>0</v>
      </c>
      <c r="G5" s="2" t="s">
        <v>1</v>
      </c>
      <c r="H5" s="13" t="s">
        <v>3</v>
      </c>
      <c r="I5" s="13" t="s">
        <v>28</v>
      </c>
      <c r="J5" s="13" t="s">
        <v>20</v>
      </c>
      <c r="K5" s="14" t="s">
        <v>21</v>
      </c>
      <c r="L5" s="13" t="s">
        <v>4</v>
      </c>
      <c r="M5" s="15" t="s">
        <v>5</v>
      </c>
    </row>
    <row r="6" spans="1:20" ht="25.5" customHeight="1" x14ac:dyDescent="0.2">
      <c r="A6" s="189" t="s">
        <v>190</v>
      </c>
      <c r="B6" s="189" t="s">
        <v>191</v>
      </c>
      <c r="C6" s="189" t="s">
        <v>192</v>
      </c>
      <c r="D6" s="189"/>
      <c r="F6" s="4" t="s">
        <v>12</v>
      </c>
      <c r="G6" s="1"/>
      <c r="H6" s="300"/>
      <c r="I6" s="301"/>
      <c r="J6" s="301"/>
      <c r="K6" s="301"/>
      <c r="L6" s="301"/>
      <c r="M6" s="302"/>
    </row>
    <row r="7" spans="1:20" x14ac:dyDescent="0.2">
      <c r="F7" s="5" t="s">
        <v>64</v>
      </c>
      <c r="G7" s="1"/>
      <c r="H7" s="16"/>
      <c r="I7" s="17"/>
      <c r="J7" s="17"/>
      <c r="K7" s="18"/>
      <c r="L7" s="17"/>
      <c r="M7" s="19"/>
    </row>
    <row r="8" spans="1:20" x14ac:dyDescent="0.2">
      <c r="A8" s="59">
        <v>32</v>
      </c>
      <c r="B8" s="59">
        <v>40</v>
      </c>
      <c r="C8" s="59" t="s">
        <v>65</v>
      </c>
      <c r="F8" s="20" t="s">
        <v>67</v>
      </c>
      <c r="G8" s="8" t="s">
        <v>2</v>
      </c>
      <c r="H8" s="37">
        <f t="shared" ref="H8:M9" ca="1" si="0">VLOOKUP($C8, INDIRECT("'"&amp;$B$4&amp;"'!$B$"&amp;$A8&amp;":"&amp;"$H$"&amp;$B8), H$2, FALSE)/1000</f>
        <v>359</v>
      </c>
      <c r="I8" s="38">
        <f t="shared" ca="1" si="0"/>
        <v>358.7</v>
      </c>
      <c r="J8" s="38">
        <f t="shared" ca="1" si="0"/>
        <v>357.4</v>
      </c>
      <c r="K8" s="38">
        <f t="shared" ca="1" si="0"/>
        <v>357.4</v>
      </c>
      <c r="L8" s="38">
        <f t="shared" ca="1" si="0"/>
        <v>357.7</v>
      </c>
      <c r="M8" s="39">
        <f t="shared" ca="1" si="0"/>
        <v>355.6</v>
      </c>
      <c r="O8" s="296"/>
      <c r="P8" s="296"/>
      <c r="Q8" s="296"/>
      <c r="R8" s="296"/>
      <c r="S8" s="296"/>
      <c r="T8" s="296"/>
    </row>
    <row r="9" spans="1:20" x14ac:dyDescent="0.2">
      <c r="A9" s="59">
        <v>44</v>
      </c>
      <c r="B9" s="59">
        <v>52</v>
      </c>
      <c r="C9" s="59" t="s">
        <v>65</v>
      </c>
      <c r="F9" s="20" t="s">
        <v>68</v>
      </c>
      <c r="G9" s="8" t="s">
        <v>2</v>
      </c>
      <c r="H9" s="37">
        <f t="shared" ca="1" si="0"/>
        <v>371.1</v>
      </c>
      <c r="I9" s="38">
        <f t="shared" ca="1" si="0"/>
        <v>370.2</v>
      </c>
      <c r="J9" s="38">
        <f t="shared" ca="1" si="0"/>
        <v>370.2</v>
      </c>
      <c r="K9" s="38">
        <f t="shared" ca="1" si="0"/>
        <v>370.2</v>
      </c>
      <c r="L9" s="38">
        <f t="shared" ca="1" si="0"/>
        <v>369.2</v>
      </c>
      <c r="M9" s="39">
        <f t="shared" ca="1" si="0"/>
        <v>367.4</v>
      </c>
      <c r="O9" s="296"/>
      <c r="P9" s="296"/>
      <c r="Q9" s="296"/>
      <c r="R9" s="296"/>
      <c r="S9" s="296"/>
      <c r="T9" s="296"/>
    </row>
    <row r="10" spans="1:20" x14ac:dyDescent="0.2">
      <c r="F10" s="20"/>
      <c r="G10" s="8"/>
      <c r="H10" s="37"/>
      <c r="I10" s="38"/>
      <c r="J10" s="38"/>
      <c r="K10" s="38"/>
      <c r="L10" s="38"/>
      <c r="M10" s="39"/>
      <c r="O10" s="296"/>
      <c r="P10" s="296"/>
      <c r="Q10" s="296"/>
      <c r="R10" s="296"/>
      <c r="S10" s="296"/>
      <c r="T10" s="296"/>
    </row>
    <row r="11" spans="1:20" x14ac:dyDescent="0.2">
      <c r="F11" s="5" t="s">
        <v>66</v>
      </c>
      <c r="G11" s="8"/>
      <c r="H11" s="7"/>
      <c r="I11" s="8"/>
      <c r="J11" s="8"/>
      <c r="K11" s="8"/>
      <c r="L11" s="8"/>
      <c r="M11" s="9"/>
      <c r="O11" s="296"/>
      <c r="P11" s="296"/>
      <c r="Q11" s="296"/>
      <c r="R11" s="296"/>
      <c r="S11" s="296"/>
      <c r="T11" s="296"/>
    </row>
    <row r="12" spans="1:20" x14ac:dyDescent="0.2">
      <c r="A12" s="59">
        <v>32</v>
      </c>
      <c r="B12" s="59">
        <v>40</v>
      </c>
      <c r="C12" s="59" t="s">
        <v>69</v>
      </c>
      <c r="F12" s="20" t="s">
        <v>13</v>
      </c>
      <c r="G12" s="8" t="s">
        <v>10</v>
      </c>
      <c r="H12" s="21">
        <f t="shared" ref="H12:M14" ca="1" si="1">VLOOKUP($C12, INDIRECT("'"&amp;$B$4&amp;"'!$B$"&amp;$A12&amp;":"&amp;"$H$"&amp;$B12), H$2, FALSE)</f>
        <v>9370</v>
      </c>
      <c r="I12" s="22">
        <f t="shared" ca="1" si="1"/>
        <v>9370</v>
      </c>
      <c r="J12" s="22">
        <f t="shared" ca="1" si="1"/>
        <v>9360</v>
      </c>
      <c r="K12" s="22">
        <f t="shared" ca="1" si="1"/>
        <v>9360</v>
      </c>
      <c r="L12" s="22">
        <f t="shared" ca="1" si="1"/>
        <v>9350</v>
      </c>
      <c r="M12" s="23">
        <f t="shared" ca="1" si="1"/>
        <v>9350</v>
      </c>
      <c r="O12" s="296"/>
      <c r="P12" s="296"/>
      <c r="Q12" s="296"/>
      <c r="R12" s="296"/>
      <c r="S12" s="296"/>
      <c r="T12" s="296"/>
    </row>
    <row r="13" spans="1:20" x14ac:dyDescent="0.2">
      <c r="A13" s="59">
        <v>44</v>
      </c>
      <c r="B13" s="59">
        <v>52</v>
      </c>
      <c r="C13" s="59" t="s">
        <v>69</v>
      </c>
      <c r="F13" s="20" t="s">
        <v>14</v>
      </c>
      <c r="G13" s="8" t="s">
        <v>10</v>
      </c>
      <c r="H13" s="21">
        <f t="shared" ca="1" si="1"/>
        <v>9300</v>
      </c>
      <c r="I13" s="22">
        <f t="shared" ca="1" si="1"/>
        <v>9300</v>
      </c>
      <c r="J13" s="22">
        <f t="shared" ca="1" si="1"/>
        <v>9300</v>
      </c>
      <c r="K13" s="22">
        <f t="shared" ca="1" si="1"/>
        <v>9300</v>
      </c>
      <c r="L13" s="22">
        <f t="shared" ca="1" si="1"/>
        <v>9290</v>
      </c>
      <c r="M13" s="23">
        <f t="shared" ca="1" si="1"/>
        <v>9280</v>
      </c>
      <c r="O13" s="296"/>
      <c r="P13" s="296"/>
      <c r="Q13" s="296"/>
      <c r="R13" s="296"/>
      <c r="S13" s="296"/>
      <c r="T13" s="296"/>
    </row>
    <row r="14" spans="1:20" x14ac:dyDescent="0.2">
      <c r="A14" s="59">
        <v>56</v>
      </c>
      <c r="B14" s="59">
        <v>64</v>
      </c>
      <c r="C14" s="59" t="s">
        <v>69</v>
      </c>
      <c r="F14" s="282" t="s">
        <v>405</v>
      </c>
      <c r="G14" s="283" t="s">
        <v>10</v>
      </c>
      <c r="H14" s="284">
        <f t="shared" ca="1" si="1"/>
        <v>9340</v>
      </c>
      <c r="I14" s="285">
        <f t="shared" ca="1" si="1"/>
        <v>9340</v>
      </c>
      <c r="J14" s="285">
        <f t="shared" ca="1" si="1"/>
        <v>9340</v>
      </c>
      <c r="K14" s="285">
        <f t="shared" ca="1" si="1"/>
        <v>9340</v>
      </c>
      <c r="L14" s="285">
        <f t="shared" ca="1" si="1"/>
        <v>9340</v>
      </c>
      <c r="M14" s="286">
        <f t="shared" ca="1" si="1"/>
        <v>9340</v>
      </c>
      <c r="N14" s="287" t="s">
        <v>406</v>
      </c>
      <c r="O14" s="296"/>
      <c r="P14" s="296"/>
      <c r="Q14" s="296"/>
      <c r="R14" s="296"/>
      <c r="S14" s="296"/>
      <c r="T14" s="296"/>
    </row>
    <row r="15" spans="1:20" x14ac:dyDescent="0.2">
      <c r="F15" s="5" t="s">
        <v>17</v>
      </c>
      <c r="G15" s="24"/>
      <c r="H15" s="7"/>
      <c r="I15" s="8"/>
      <c r="J15" s="8"/>
      <c r="K15" s="8"/>
      <c r="L15" s="8"/>
      <c r="M15" s="9"/>
      <c r="O15" s="296"/>
      <c r="P15" s="296"/>
      <c r="Q15" s="296"/>
      <c r="R15" s="296"/>
      <c r="S15" s="296"/>
      <c r="T15" s="296"/>
    </row>
    <row r="16" spans="1:20" ht="14.25" x14ac:dyDescent="0.2">
      <c r="A16" s="59">
        <v>205</v>
      </c>
      <c r="B16" s="59">
        <v>209</v>
      </c>
      <c r="C16" s="59" t="s">
        <v>70</v>
      </c>
      <c r="F16" s="20" t="s">
        <v>25</v>
      </c>
      <c r="G16" s="25" t="s">
        <v>15</v>
      </c>
      <c r="H16" s="190">
        <f t="shared" ref="H16:M18" ca="1" si="2">VLOOKUP($C16, INDIRECT("'"&amp;$B$4&amp;"'!$B$"&amp;$A16&amp;":"&amp;"$H$"&amp;$B16), H$2, FALSE)*H$12/H$14</f>
        <v>331.56156316916486</v>
      </c>
      <c r="I16" s="27">
        <f t="shared" ca="1" si="2"/>
        <v>331.56156316916486</v>
      </c>
      <c r="J16" s="27">
        <f t="shared" ca="1" si="2"/>
        <v>331.20770877944324</v>
      </c>
      <c r="K16" s="288">
        <f t="shared" ca="1" si="2"/>
        <v>331.20770877944324</v>
      </c>
      <c r="L16" s="27">
        <f t="shared" ca="1" si="2"/>
        <v>330.85385438972162</v>
      </c>
      <c r="M16" s="28">
        <f t="shared" ca="1" si="2"/>
        <v>330.85385438972162</v>
      </c>
      <c r="O16" s="296"/>
      <c r="P16" s="296"/>
      <c r="Q16" s="296"/>
      <c r="R16" s="296"/>
      <c r="S16" s="296"/>
      <c r="T16" s="296"/>
    </row>
    <row r="17" spans="1:20" ht="14.25" x14ac:dyDescent="0.2">
      <c r="A17" s="59">
        <v>205</v>
      </c>
      <c r="B17" s="59">
        <v>209</v>
      </c>
      <c r="C17" s="59" t="s">
        <v>71</v>
      </c>
      <c r="F17" s="20" t="s">
        <v>26</v>
      </c>
      <c r="G17" s="25" t="s">
        <v>15</v>
      </c>
      <c r="H17" s="26">
        <f t="shared" ca="1" si="2"/>
        <v>6.922162740899358</v>
      </c>
      <c r="I17" s="27">
        <f t="shared" ca="1" si="2"/>
        <v>6.922162740899358</v>
      </c>
      <c r="J17" s="27">
        <f t="shared" ca="1" si="2"/>
        <v>6.9147751605995715</v>
      </c>
      <c r="K17" s="27">
        <f t="shared" ca="1" si="2"/>
        <v>6.9147751605995715</v>
      </c>
      <c r="L17" s="27">
        <f t="shared" ca="1" si="2"/>
        <v>6.8072805139186299</v>
      </c>
      <c r="M17" s="28">
        <f t="shared" ca="1" si="2"/>
        <v>6.8072805139186299</v>
      </c>
      <c r="O17" s="296"/>
      <c r="P17" s="296"/>
      <c r="Q17" s="296"/>
      <c r="R17" s="296"/>
      <c r="S17" s="296"/>
      <c r="T17" s="296"/>
    </row>
    <row r="18" spans="1:20" ht="14.25" x14ac:dyDescent="0.2">
      <c r="A18" s="59">
        <v>205</v>
      </c>
      <c r="B18" s="59">
        <v>209</v>
      </c>
      <c r="C18" s="59" t="s">
        <v>72</v>
      </c>
      <c r="F18" s="20" t="s">
        <v>27</v>
      </c>
      <c r="G18" s="25" t="s">
        <v>15</v>
      </c>
      <c r="H18" s="21">
        <f t="shared" ca="1" si="2"/>
        <v>415329.76445396146</v>
      </c>
      <c r="I18" s="22">
        <f t="shared" ca="1" si="2"/>
        <v>415329.76445396146</v>
      </c>
      <c r="J18" s="22">
        <f t="shared" ca="1" si="2"/>
        <v>412481.3704496788</v>
      </c>
      <c r="K18" s="22">
        <f t="shared" ca="1" si="2"/>
        <v>412481.3704496788</v>
      </c>
      <c r="L18" s="22">
        <f t="shared" ca="1" si="2"/>
        <v>410839.40042826551</v>
      </c>
      <c r="M18" s="23">
        <f t="shared" ca="1" si="2"/>
        <v>408436.83083511778</v>
      </c>
      <c r="O18" s="296"/>
      <c r="P18" s="296"/>
      <c r="Q18" s="296"/>
      <c r="R18" s="296"/>
      <c r="S18" s="296"/>
      <c r="T18" s="296"/>
    </row>
    <row r="19" spans="1:20" x14ac:dyDescent="0.2">
      <c r="F19" s="5" t="s">
        <v>18</v>
      </c>
      <c r="G19" s="24"/>
      <c r="H19" s="29"/>
      <c r="I19" s="24"/>
      <c r="J19" s="24"/>
      <c r="K19" s="24"/>
      <c r="L19" s="24"/>
      <c r="M19" s="30"/>
      <c r="O19" s="296"/>
      <c r="P19" s="296"/>
      <c r="Q19" s="296"/>
      <c r="R19" s="296"/>
      <c r="S19" s="296"/>
      <c r="T19" s="296"/>
    </row>
    <row r="20" spans="1:20" ht="14.25" x14ac:dyDescent="0.2">
      <c r="A20" s="59">
        <v>205</v>
      </c>
      <c r="B20" s="59">
        <v>209</v>
      </c>
      <c r="C20" s="59" t="s">
        <v>70</v>
      </c>
      <c r="F20" s="20" t="s">
        <v>25</v>
      </c>
      <c r="G20" s="25" t="s">
        <v>15</v>
      </c>
      <c r="H20" s="26">
        <f t="shared" ref="H20:M22" ca="1" si="3">VLOOKUP($C20, INDIRECT("'"&amp;$B$4&amp;"'!$B$"&amp;$A20&amp;":"&amp;"$H$"&amp;$B20), H$2, FALSE)*H$13/H$14</f>
        <v>329.08458244111347</v>
      </c>
      <c r="I20" s="27">
        <f t="shared" ca="1" si="3"/>
        <v>329.08458244111347</v>
      </c>
      <c r="J20" s="27">
        <f t="shared" ca="1" si="3"/>
        <v>329.08458244111347</v>
      </c>
      <c r="K20" s="27">
        <f t="shared" ca="1" si="3"/>
        <v>329.08458244111347</v>
      </c>
      <c r="L20" s="27">
        <f t="shared" ca="1" si="3"/>
        <v>328.73072805139185</v>
      </c>
      <c r="M20" s="28">
        <f t="shared" ca="1" si="3"/>
        <v>328.37687366167023</v>
      </c>
      <c r="O20" s="296"/>
      <c r="P20" s="296"/>
      <c r="Q20" s="296"/>
      <c r="R20" s="296"/>
      <c r="S20" s="296"/>
      <c r="T20" s="296"/>
    </row>
    <row r="21" spans="1:20" ht="14.25" x14ac:dyDescent="0.2">
      <c r="A21" s="59">
        <v>205</v>
      </c>
      <c r="B21" s="59">
        <v>209</v>
      </c>
      <c r="C21" s="59" t="s">
        <v>71</v>
      </c>
      <c r="F21" s="20" t="s">
        <v>26</v>
      </c>
      <c r="G21" s="25" t="s">
        <v>15</v>
      </c>
      <c r="H21" s="26">
        <f t="shared" ca="1" si="3"/>
        <v>6.8704496788008562</v>
      </c>
      <c r="I21" s="27">
        <f t="shared" ca="1" si="3"/>
        <v>6.8704496788008562</v>
      </c>
      <c r="J21" s="27">
        <f t="shared" ca="1" si="3"/>
        <v>6.8704496788008562</v>
      </c>
      <c r="K21" s="27">
        <f t="shared" ca="1" si="3"/>
        <v>6.8704496788008562</v>
      </c>
      <c r="L21" s="27">
        <f t="shared" ca="1" si="3"/>
        <v>6.7635974304068522</v>
      </c>
      <c r="M21" s="28">
        <f t="shared" ca="1" si="3"/>
        <v>6.7563169164882231</v>
      </c>
      <c r="O21" s="296"/>
      <c r="P21" s="296"/>
      <c r="Q21" s="296"/>
      <c r="R21" s="296"/>
      <c r="S21" s="296"/>
      <c r="T21" s="296"/>
    </row>
    <row r="22" spans="1:20" ht="14.25" x14ac:dyDescent="0.2">
      <c r="A22" s="59">
        <v>205</v>
      </c>
      <c r="B22" s="59">
        <v>209</v>
      </c>
      <c r="C22" s="59" t="s">
        <v>72</v>
      </c>
      <c r="F22" s="20" t="s">
        <v>27</v>
      </c>
      <c r="G22" s="25" t="s">
        <v>15</v>
      </c>
      <c r="H22" s="21">
        <f t="shared" ca="1" si="3"/>
        <v>412226.98072805139</v>
      </c>
      <c r="I22" s="22">
        <f t="shared" ca="1" si="3"/>
        <v>412226.98072805139</v>
      </c>
      <c r="J22" s="22">
        <f t="shared" ca="1" si="3"/>
        <v>409837.2591006424</v>
      </c>
      <c r="K22" s="22">
        <f t="shared" ca="1" si="3"/>
        <v>409837.2591006424</v>
      </c>
      <c r="L22" s="22">
        <f t="shared" ca="1" si="3"/>
        <v>408202.9978586724</v>
      </c>
      <c r="M22" s="23">
        <f t="shared" ca="1" si="3"/>
        <v>405379.01498929336</v>
      </c>
      <c r="O22" s="296"/>
      <c r="P22" s="296"/>
      <c r="Q22" s="296"/>
      <c r="R22" s="296"/>
      <c r="S22" s="296"/>
      <c r="T22" s="296"/>
    </row>
    <row r="23" spans="1:20" x14ac:dyDescent="0.2">
      <c r="F23" s="5" t="s">
        <v>315</v>
      </c>
      <c r="G23" s="24"/>
      <c r="H23" s="21"/>
      <c r="I23" s="22"/>
      <c r="J23" s="22"/>
      <c r="K23" s="22"/>
      <c r="L23" s="22"/>
      <c r="M23" s="23"/>
      <c r="O23" s="296"/>
      <c r="P23" s="296"/>
      <c r="Q23" s="296"/>
      <c r="R23" s="296"/>
      <c r="S23" s="296"/>
      <c r="T23" s="296"/>
    </row>
    <row r="24" spans="1:20" ht="14.25" x14ac:dyDescent="0.2">
      <c r="A24" s="59">
        <v>219</v>
      </c>
      <c r="B24" s="59">
        <v>223</v>
      </c>
      <c r="C24" s="59" t="s">
        <v>70</v>
      </c>
      <c r="F24" s="20" t="s">
        <v>25</v>
      </c>
      <c r="G24" s="25" t="s">
        <v>15</v>
      </c>
      <c r="H24" s="26">
        <f t="shared" ref="H24:M26" ca="1" si="4">VLOOKUP($C24, INDIRECT("'"&amp;$B$4&amp;"'!$B$"&amp;$A24&amp;":"&amp;"$H$"&amp;$B24), H$2, FALSE)*H$12/H$14</f>
        <v>642.05567451820127</v>
      </c>
      <c r="I24" s="22">
        <f t="shared" ca="1" si="4"/>
        <v>642.05567451820127</v>
      </c>
      <c r="J24" s="22">
        <f t="shared" ca="1" si="4"/>
        <v>641.37044967880081</v>
      </c>
      <c r="K24" s="22">
        <f t="shared" ca="1" si="4"/>
        <v>641.37044967880081</v>
      </c>
      <c r="L24" s="22">
        <f t="shared" ca="1" si="4"/>
        <v>640.68522483940046</v>
      </c>
      <c r="M24" s="23">
        <f t="shared" ca="1" si="4"/>
        <v>640.68522483940046</v>
      </c>
      <c r="O24" s="296"/>
      <c r="P24" s="296"/>
      <c r="Q24" s="296"/>
      <c r="R24" s="296"/>
      <c r="S24" s="296"/>
      <c r="T24" s="296"/>
    </row>
    <row r="25" spans="1:20" ht="14.25" x14ac:dyDescent="0.2">
      <c r="A25" s="59">
        <v>219</v>
      </c>
      <c r="B25" s="59">
        <v>223</v>
      </c>
      <c r="C25" s="59" t="s">
        <v>71</v>
      </c>
      <c r="F25" s="20" t="s">
        <v>26</v>
      </c>
      <c r="G25" s="25" t="s">
        <v>15</v>
      </c>
      <c r="H25" s="21">
        <f t="shared" ca="1" si="4"/>
        <v>5.3170235546038542</v>
      </c>
      <c r="I25" s="22">
        <f t="shared" ca="1" si="4"/>
        <v>5.3170235546038542</v>
      </c>
      <c r="J25" s="22">
        <f t="shared" ca="1" si="4"/>
        <v>5.2111349036402572</v>
      </c>
      <c r="K25" s="22">
        <f t="shared" ca="1" si="4"/>
        <v>5.2111349036402572</v>
      </c>
      <c r="L25" s="22">
        <f t="shared" ca="1" si="4"/>
        <v>5.2055674518201283</v>
      </c>
      <c r="M25" s="23">
        <f t="shared" ca="1" si="4"/>
        <v>5.2055674518201283</v>
      </c>
      <c r="O25" s="296"/>
      <c r="P25" s="296"/>
      <c r="Q25" s="296"/>
      <c r="R25" s="296"/>
      <c r="S25" s="296"/>
      <c r="T25" s="296"/>
    </row>
    <row r="26" spans="1:20" ht="14.25" x14ac:dyDescent="0.2">
      <c r="A26" s="59">
        <v>219</v>
      </c>
      <c r="B26" s="59">
        <v>223</v>
      </c>
      <c r="C26" s="59" t="s">
        <v>72</v>
      </c>
      <c r="F26" s="20" t="s">
        <v>27</v>
      </c>
      <c r="G26" s="25" t="s">
        <v>15</v>
      </c>
      <c r="H26" s="21">
        <f t="shared" ca="1" si="4"/>
        <v>553773.01927194861</v>
      </c>
      <c r="I26" s="22">
        <f t="shared" ca="1" si="4"/>
        <v>553773.01927194861</v>
      </c>
      <c r="J26" s="22">
        <f t="shared" ca="1" si="4"/>
        <v>549975.16059957177</v>
      </c>
      <c r="K26" s="22">
        <f t="shared" ca="1" si="4"/>
        <v>549975.16059957177</v>
      </c>
      <c r="L26" s="22">
        <f t="shared" ca="1" si="4"/>
        <v>547785.86723768734</v>
      </c>
      <c r="M26" s="23">
        <f t="shared" ca="1" si="4"/>
        <v>544582.44111349038</v>
      </c>
      <c r="O26" s="296"/>
      <c r="P26" s="296"/>
      <c r="Q26" s="296"/>
      <c r="R26" s="296"/>
      <c r="S26" s="296"/>
      <c r="T26" s="296"/>
    </row>
    <row r="27" spans="1:20" x14ac:dyDescent="0.2">
      <c r="F27" s="5" t="s">
        <v>16</v>
      </c>
      <c r="G27" s="24"/>
      <c r="H27" s="29"/>
      <c r="I27" s="24"/>
      <c r="J27" s="24"/>
      <c r="K27" s="24"/>
      <c r="L27" s="24"/>
      <c r="M27" s="30"/>
      <c r="O27" s="296"/>
      <c r="P27" s="296"/>
      <c r="Q27" s="296"/>
      <c r="R27" s="296"/>
      <c r="S27" s="296"/>
      <c r="T27" s="296"/>
    </row>
    <row r="28" spans="1:20" ht="14.25" x14ac:dyDescent="0.2">
      <c r="A28" s="59">
        <v>219</v>
      </c>
      <c r="B28" s="59">
        <v>223</v>
      </c>
      <c r="C28" s="59" t="s">
        <v>70</v>
      </c>
      <c r="F28" s="20" t="s">
        <v>25</v>
      </c>
      <c r="G28" s="25" t="s">
        <v>15</v>
      </c>
      <c r="H28" s="26">
        <f t="shared" ref="H28:M30" ca="1" si="5">VLOOKUP($C28, INDIRECT("'"&amp;$B$4&amp;"'!$B$"&amp;$A28&amp;":"&amp;"$H$"&amp;$B28), H$2, FALSE)*H$13/H$14</f>
        <v>637.25910064239827</v>
      </c>
      <c r="I28" s="27">
        <f t="shared" ca="1" si="5"/>
        <v>637.25910064239827</v>
      </c>
      <c r="J28" s="27">
        <f t="shared" ca="1" si="5"/>
        <v>637.25910064239827</v>
      </c>
      <c r="K28" s="27">
        <f t="shared" ca="1" si="5"/>
        <v>637.25910064239827</v>
      </c>
      <c r="L28" s="27">
        <f t="shared" ca="1" si="5"/>
        <v>636.5738758029978</v>
      </c>
      <c r="M28" s="28">
        <f t="shared" ca="1" si="5"/>
        <v>635.88865096359746</v>
      </c>
      <c r="O28" s="296"/>
      <c r="P28" s="296"/>
      <c r="Q28" s="296"/>
      <c r="R28" s="296"/>
      <c r="S28" s="296"/>
      <c r="T28" s="296"/>
    </row>
    <row r="29" spans="1:20" ht="14.25" x14ac:dyDescent="0.2">
      <c r="A29" s="59">
        <v>219</v>
      </c>
      <c r="B29" s="59">
        <v>223</v>
      </c>
      <c r="C29" s="59" t="s">
        <v>71</v>
      </c>
      <c r="F29" s="20" t="s">
        <v>26</v>
      </c>
      <c r="G29" s="25" t="s">
        <v>15</v>
      </c>
      <c r="H29" s="26">
        <f t="shared" ca="1" si="5"/>
        <v>5.2773019271948609</v>
      </c>
      <c r="I29" s="27">
        <f t="shared" ca="1" si="5"/>
        <v>5.2773019271948609</v>
      </c>
      <c r="J29" s="27">
        <f t="shared" ca="1" si="5"/>
        <v>5.1777301927194861</v>
      </c>
      <c r="K29" s="27">
        <f t="shared" ca="1" si="5"/>
        <v>5.1777301927194861</v>
      </c>
      <c r="L29" s="27">
        <f t="shared" ca="1" si="5"/>
        <v>5.172162740899358</v>
      </c>
      <c r="M29" s="28">
        <f t="shared" ca="1" si="5"/>
        <v>5.166595289079229</v>
      </c>
      <c r="O29" s="296"/>
      <c r="P29" s="296"/>
      <c r="Q29" s="296"/>
      <c r="R29" s="296"/>
      <c r="S29" s="296"/>
      <c r="T29" s="296"/>
    </row>
    <row r="30" spans="1:20" ht="14.25" x14ac:dyDescent="0.2">
      <c r="A30" s="59">
        <v>219</v>
      </c>
      <c r="B30" s="59">
        <v>223</v>
      </c>
      <c r="C30" s="59" t="s">
        <v>72</v>
      </c>
      <c r="F30" s="20" t="s">
        <v>27</v>
      </c>
      <c r="G30" s="25" t="s">
        <v>15</v>
      </c>
      <c r="H30" s="21">
        <f t="shared" ca="1" si="5"/>
        <v>549635.97430406848</v>
      </c>
      <c r="I30" s="22">
        <f t="shared" ca="1" si="5"/>
        <v>549635.97430406848</v>
      </c>
      <c r="J30" s="22">
        <f t="shared" ca="1" si="5"/>
        <v>546449.67880085658</v>
      </c>
      <c r="K30" s="22">
        <f t="shared" ca="1" si="5"/>
        <v>546449.67880085658</v>
      </c>
      <c r="L30" s="22">
        <f t="shared" ca="1" si="5"/>
        <v>544270.66381156316</v>
      </c>
      <c r="M30" s="23">
        <f t="shared" ca="1" si="5"/>
        <v>540505.35331905785</v>
      </c>
      <c r="O30" s="296"/>
      <c r="P30" s="296"/>
      <c r="Q30" s="296"/>
      <c r="R30" s="296"/>
      <c r="S30" s="296"/>
      <c r="T30" s="296"/>
    </row>
    <row r="31" spans="1:20" x14ac:dyDescent="0.2">
      <c r="F31" s="4" t="s">
        <v>19</v>
      </c>
      <c r="G31" s="25"/>
      <c r="H31" s="29"/>
      <c r="I31" s="24"/>
      <c r="J31" s="24"/>
      <c r="K31" s="24"/>
      <c r="L31" s="24"/>
      <c r="M31" s="30"/>
      <c r="O31" s="296"/>
      <c r="P31" s="296"/>
      <c r="Q31" s="296"/>
      <c r="R31" s="296"/>
      <c r="S31" s="296"/>
      <c r="T31" s="296"/>
    </row>
    <row r="32" spans="1:20" x14ac:dyDescent="0.2">
      <c r="F32" s="31"/>
      <c r="G32" s="8"/>
      <c r="H32" s="53"/>
      <c r="I32" s="54"/>
      <c r="J32" s="54"/>
      <c r="K32" s="54"/>
      <c r="L32" s="54"/>
      <c r="M32" s="55"/>
      <c r="O32" s="296"/>
      <c r="P32" s="296"/>
      <c r="Q32" s="296"/>
      <c r="R32" s="296"/>
      <c r="S32" s="296"/>
      <c r="T32" s="296"/>
    </row>
    <row r="33" spans="1:20" ht="25.5" x14ac:dyDescent="0.2">
      <c r="A33" s="303" t="s">
        <v>343</v>
      </c>
      <c r="B33" s="303"/>
      <c r="C33" s="303"/>
      <c r="D33" s="271"/>
      <c r="F33" s="31" t="s">
        <v>267</v>
      </c>
      <c r="G33" s="8" t="s">
        <v>7</v>
      </c>
      <c r="H33" s="53">
        <v>490</v>
      </c>
      <c r="I33" s="54">
        <v>490</v>
      </c>
      <c r="J33" s="54">
        <v>490</v>
      </c>
      <c r="K33" s="54">
        <v>490</v>
      </c>
      <c r="L33" s="54">
        <v>490</v>
      </c>
      <c r="M33" s="55">
        <v>490</v>
      </c>
      <c r="O33" s="296"/>
      <c r="P33" s="296"/>
      <c r="Q33" s="296"/>
      <c r="R33" s="296"/>
      <c r="S33" s="296"/>
      <c r="T33" s="296"/>
    </row>
    <row r="34" spans="1:20" ht="13.5" thickBot="1" x14ac:dyDescent="0.25">
      <c r="A34" s="59">
        <v>16</v>
      </c>
      <c r="B34" s="59">
        <v>16</v>
      </c>
      <c r="C34" s="59" t="s">
        <v>87</v>
      </c>
      <c r="F34" s="32" t="s">
        <v>6</v>
      </c>
      <c r="G34" s="52" t="s">
        <v>11</v>
      </c>
      <c r="H34" s="56">
        <f t="shared" ref="H34:M34" ca="1" si="6">VLOOKUP($C34, INDIRECT("'"&amp;$B$4&amp;"'!$B$"&amp;$A34&amp;":"&amp;"$H$"&amp;$B34), H$2, FALSE)</f>
        <v>4.3400000000000001E-2</v>
      </c>
      <c r="I34" s="57">
        <f t="shared" ca="1" si="6"/>
        <v>4.3400000000000001E-2</v>
      </c>
      <c r="J34" s="57">
        <f t="shared" ca="1" si="6"/>
        <v>4.3400000000000001E-2</v>
      </c>
      <c r="K34" s="57">
        <f t="shared" ca="1" si="6"/>
        <v>4.3400000000000001E-2</v>
      </c>
      <c r="L34" s="57">
        <f t="shared" ca="1" si="6"/>
        <v>4.3400000000000001E-2</v>
      </c>
      <c r="M34" s="58">
        <f t="shared" ca="1" si="6"/>
        <v>4.3400000000000001E-2</v>
      </c>
      <c r="O34" s="296"/>
      <c r="P34" s="296"/>
      <c r="Q34" s="296"/>
      <c r="R34" s="296"/>
      <c r="S34" s="296"/>
      <c r="T34" s="296"/>
    </row>
    <row r="35" spans="1:20" ht="12.75" customHeight="1" x14ac:dyDescent="0.2">
      <c r="F35" s="6" t="s">
        <v>403</v>
      </c>
      <c r="G35" s="24"/>
      <c r="H35" s="34"/>
      <c r="I35" s="35"/>
      <c r="J35" s="35"/>
      <c r="K35" s="35"/>
      <c r="L35" s="35"/>
      <c r="M35" s="36"/>
      <c r="O35" s="296"/>
      <c r="P35" s="296"/>
      <c r="Q35" s="296"/>
      <c r="R35" s="296"/>
      <c r="S35" s="296"/>
      <c r="T35" s="296"/>
    </row>
    <row r="36" spans="1:20" x14ac:dyDescent="0.2">
      <c r="A36" s="59">
        <v>184</v>
      </c>
      <c r="B36" s="59">
        <v>187</v>
      </c>
      <c r="C36" s="59" t="s">
        <v>163</v>
      </c>
      <c r="D36" s="59" t="s">
        <v>165</v>
      </c>
      <c r="F36" s="20" t="s">
        <v>22</v>
      </c>
      <c r="G36" s="8" t="s">
        <v>9</v>
      </c>
      <c r="H36" s="191">
        <f t="shared" ref="H36:M37" ca="1" si="7">VLOOKUP($C36, INDIRECT("'"&amp;$B$4&amp;"'!$B$"&amp;$A36&amp;":"&amp;"$H$"&amp;$B36), H$2, FALSE)-VLOOKUP($D36, INDIRECT("'"&amp;$B$4&amp;"'!$B$"&amp;$A36&amp;":"&amp;"$H$"&amp;$B36), H$2, FALSE)</f>
        <v>0.93000000000000016</v>
      </c>
      <c r="I36" s="41">
        <f t="shared" ca="1" si="7"/>
        <v>0.95000000000000018</v>
      </c>
      <c r="J36" s="41">
        <f t="shared" ca="1" si="7"/>
        <v>0.93000000000000016</v>
      </c>
      <c r="K36" s="41">
        <f t="shared" ca="1" si="7"/>
        <v>0.93000000000000016</v>
      </c>
      <c r="L36" s="41">
        <f t="shared" ca="1" si="7"/>
        <v>0.93000000000000016</v>
      </c>
      <c r="M36" s="42">
        <f t="shared" ca="1" si="7"/>
        <v>0.92999999999999994</v>
      </c>
      <c r="O36" s="296"/>
      <c r="P36" s="296"/>
      <c r="Q36" s="296"/>
      <c r="R36" s="296"/>
      <c r="S36" s="296"/>
      <c r="T36" s="296"/>
    </row>
    <row r="37" spans="1:20" x14ac:dyDescent="0.2">
      <c r="A37" s="59">
        <v>190</v>
      </c>
      <c r="B37" s="59">
        <v>193</v>
      </c>
      <c r="C37" s="59" t="s">
        <v>163</v>
      </c>
      <c r="D37" s="59" t="s">
        <v>165</v>
      </c>
      <c r="F37" s="20" t="s">
        <v>23</v>
      </c>
      <c r="G37" s="8" t="s">
        <v>9</v>
      </c>
      <c r="H37" s="40">
        <f t="shared" ca="1" si="7"/>
        <v>10.23</v>
      </c>
      <c r="I37" s="41">
        <f t="shared" ca="1" si="7"/>
        <v>10.76</v>
      </c>
      <c r="J37" s="41">
        <f t="shared" ca="1" si="7"/>
        <v>10.23</v>
      </c>
      <c r="K37" s="41">
        <f t="shared" ca="1" si="7"/>
        <v>10.23</v>
      </c>
      <c r="L37" s="41">
        <f t="shared" ca="1" si="7"/>
        <v>10.210000000000001</v>
      </c>
      <c r="M37" s="42">
        <f t="shared" ca="1" si="7"/>
        <v>10.210000000000001</v>
      </c>
      <c r="O37" s="296"/>
      <c r="P37" s="296"/>
      <c r="Q37" s="296"/>
      <c r="R37" s="296"/>
      <c r="S37" s="296"/>
      <c r="T37" s="296"/>
    </row>
    <row r="38" spans="1:20" ht="13.5" thickBot="1" x14ac:dyDescent="0.25">
      <c r="A38" s="59">
        <v>177</v>
      </c>
      <c r="B38" s="59">
        <v>180</v>
      </c>
      <c r="C38" s="59" t="s">
        <v>160</v>
      </c>
      <c r="F38" s="32" t="s">
        <v>404</v>
      </c>
      <c r="G38" s="33" t="s">
        <v>8</v>
      </c>
      <c r="H38" s="43">
        <f t="shared" ref="H38:M38" ca="1" si="8">VLOOKUP($C38, INDIRECT("'"&amp;$B$4&amp;"'!$B$"&amp;$A38&amp;":"&amp;"$H$"&amp;$B38), H$2, FALSE)</f>
        <v>26600</v>
      </c>
      <c r="I38" s="44">
        <f t="shared" ca="1" si="8"/>
        <v>26600</v>
      </c>
      <c r="J38" s="44">
        <f t="shared" ca="1" si="8"/>
        <v>26600</v>
      </c>
      <c r="K38" s="44">
        <f t="shared" ca="1" si="8"/>
        <v>26600</v>
      </c>
      <c r="L38" s="44">
        <f t="shared" ca="1" si="8"/>
        <v>26600</v>
      </c>
      <c r="M38" s="45">
        <f t="shared" ca="1" si="8"/>
        <v>26600</v>
      </c>
      <c r="O38" s="296"/>
      <c r="P38" s="296"/>
      <c r="Q38" s="296"/>
      <c r="R38" s="296"/>
      <c r="S38" s="296"/>
      <c r="T38" s="296"/>
    </row>
    <row r="40" spans="1:20" x14ac:dyDescent="0.2">
      <c r="F40" s="10" t="s">
        <v>419</v>
      </c>
    </row>
  </sheetData>
  <mergeCells count="3">
    <mergeCell ref="H4:M4"/>
    <mergeCell ref="H6:M6"/>
    <mergeCell ref="A33:C33"/>
  </mergeCells>
  <printOptions horizontalCentered="1" gridLines="1"/>
  <pageMargins left="0.7" right="0.7" top="0.75" bottom="0.75" header="0.3" footer="0.3"/>
  <pageSetup scale="85" orientation="landscape" r:id="rId1"/>
  <headerFooter>
    <oddHeader>&amp;C&amp;F</oddHeader>
    <oddFooter>&amp;L&amp;D&amp;C&amp;A</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S40"/>
  <sheetViews>
    <sheetView topLeftCell="D3" workbookViewId="0">
      <selection activeCell="D3" sqref="D3"/>
    </sheetView>
  </sheetViews>
  <sheetFormatPr defaultRowHeight="12.75" outlineLevelRow="1" outlineLevelCol="1" x14ac:dyDescent="0.2"/>
  <cols>
    <col min="1" max="1" width="13" style="59" hidden="1" customWidth="1" outlineLevel="1"/>
    <col min="2" max="2" width="13.33203125" style="59" hidden="1" customWidth="1" outlineLevel="1"/>
    <col min="3" max="3" width="38" style="59" hidden="1" customWidth="1" outlineLevel="1"/>
    <col min="4" max="4" width="1.83203125" style="10" customWidth="1" collapsed="1"/>
    <col min="5" max="5" width="43.5" style="10" customWidth="1"/>
    <col min="6" max="6" width="16" style="10" customWidth="1"/>
    <col min="7" max="7" width="16.33203125" style="10" customWidth="1"/>
    <col min="8" max="8" width="16.5" style="10" customWidth="1"/>
    <col min="9" max="9" width="16.33203125" style="10" customWidth="1"/>
    <col min="10" max="10" width="16.1640625" style="10" customWidth="1"/>
    <col min="11" max="11" width="17.5" style="10" customWidth="1"/>
    <col min="12" max="12" width="17.83203125" style="10" customWidth="1"/>
    <col min="13" max="13" width="9.33203125" style="10"/>
    <col min="14" max="14" width="9.83203125" style="10" bestFit="1" customWidth="1"/>
    <col min="15" max="16384" width="9.33203125" style="10"/>
  </cols>
  <sheetData>
    <row r="1" spans="1:19" s="59" customFormat="1" hidden="1" outlineLevel="1" x14ac:dyDescent="0.2">
      <c r="G1" s="59" t="s">
        <v>58</v>
      </c>
      <c r="H1" s="59" t="s">
        <v>59</v>
      </c>
      <c r="I1" s="59" t="s">
        <v>60</v>
      </c>
      <c r="J1" s="59" t="s">
        <v>61</v>
      </c>
      <c r="K1" s="59" t="s">
        <v>62</v>
      </c>
      <c r="L1" s="59" t="s">
        <v>63</v>
      </c>
    </row>
    <row r="2" spans="1:19" s="59" customFormat="1" hidden="1" outlineLevel="1" x14ac:dyDescent="0.2">
      <c r="G2" s="59">
        <f>MATCH(G1, '[1]1x HA.02 25ppm'!$B$6:$H$6)</f>
        <v>7</v>
      </c>
      <c r="H2" s="59">
        <f>MATCH(H1, '[1]1x HA.02 25ppm'!$B$6:$H$6)</f>
        <v>6</v>
      </c>
      <c r="I2" s="59">
        <f>MATCH(I1, '[1]1x HA.02 25ppm'!$B$6:$H$6)</f>
        <v>4</v>
      </c>
      <c r="J2" s="59">
        <f>MATCH(J1, '[1]1x HA.02 25ppm'!$B$6:$H$6)</f>
        <v>5</v>
      </c>
      <c r="K2" s="59">
        <f>MATCH(K1, '[1]1x HA.02 25ppm'!$B$6:$H$6)</f>
        <v>3</v>
      </c>
      <c r="L2" s="59">
        <f>MATCH(L1, '[1]1x HA.02 25ppm'!$B$6:$H$6)</f>
        <v>2</v>
      </c>
    </row>
    <row r="3" spans="1:19" ht="13.5" collapsed="1" thickBot="1" x14ac:dyDescent="0.25"/>
    <row r="4" spans="1:19" ht="14.25" x14ac:dyDescent="0.2">
      <c r="A4" s="60" t="s">
        <v>73</v>
      </c>
      <c r="B4" s="59" t="s">
        <v>316</v>
      </c>
      <c r="E4" s="11"/>
      <c r="F4" s="12"/>
      <c r="G4" s="297" t="s">
        <v>351</v>
      </c>
      <c r="H4" s="298"/>
      <c r="I4" s="298"/>
      <c r="J4" s="298"/>
      <c r="K4" s="298"/>
      <c r="L4" s="299"/>
    </row>
    <row r="5" spans="1:19" ht="26.25" thickBot="1" x14ac:dyDescent="0.25">
      <c r="E5" s="3" t="s">
        <v>0</v>
      </c>
      <c r="F5" s="2" t="s">
        <v>1</v>
      </c>
      <c r="G5" s="13" t="s">
        <v>3</v>
      </c>
      <c r="H5" s="13" t="s">
        <v>28</v>
      </c>
      <c r="I5" s="13" t="s">
        <v>20</v>
      </c>
      <c r="J5" s="14" t="s">
        <v>21</v>
      </c>
      <c r="K5" s="13" t="s">
        <v>4</v>
      </c>
      <c r="L5" s="15" t="s">
        <v>5</v>
      </c>
    </row>
    <row r="6" spans="1:19" ht="25.5" customHeight="1" x14ac:dyDescent="0.2">
      <c r="A6" s="189" t="s">
        <v>190</v>
      </c>
      <c r="B6" s="189" t="s">
        <v>191</v>
      </c>
      <c r="C6" s="189" t="s">
        <v>192</v>
      </c>
      <c r="E6" s="4" t="s">
        <v>12</v>
      </c>
      <c r="F6" s="1"/>
      <c r="G6" s="300"/>
      <c r="H6" s="301"/>
      <c r="I6" s="301"/>
      <c r="J6" s="301"/>
      <c r="K6" s="301"/>
      <c r="L6" s="302"/>
    </row>
    <row r="7" spans="1:19" x14ac:dyDescent="0.2">
      <c r="E7" s="5" t="s">
        <v>64</v>
      </c>
      <c r="F7" s="1"/>
      <c r="G7" s="16"/>
      <c r="H7" s="17"/>
      <c r="I7" s="17"/>
      <c r="J7" s="18"/>
      <c r="K7" s="17"/>
      <c r="L7" s="19"/>
    </row>
    <row r="8" spans="1:19" x14ac:dyDescent="0.2">
      <c r="A8" s="59">
        <v>32</v>
      </c>
      <c r="B8" s="59">
        <v>40</v>
      </c>
      <c r="C8" s="59" t="s">
        <v>65</v>
      </c>
      <c r="E8" s="20" t="s">
        <v>67</v>
      </c>
      <c r="F8" s="8" t="s">
        <v>2</v>
      </c>
      <c r="G8" s="37">
        <f ca="1">VLOOKUP($C8, INDIRECT("'"&amp;$B$4&amp;"'!$B$"&amp;$A8&amp;":"&amp;"$H$"&amp;$B8), G$2, FALSE)/1000</f>
        <v>359</v>
      </c>
      <c r="H8" s="38">
        <f t="shared" ref="H8:L9" ca="1" si="0">VLOOKUP($C8, INDIRECT("'"&amp;$B$4&amp;"'!$B$"&amp;$A8&amp;":"&amp;"$H$"&amp;$B8), H$2, FALSE)/1000</f>
        <v>358.7</v>
      </c>
      <c r="I8" s="38">
        <f t="shared" ca="1" si="0"/>
        <v>357.4</v>
      </c>
      <c r="J8" s="38">
        <f t="shared" ca="1" si="0"/>
        <v>357.4</v>
      </c>
      <c r="K8" s="38">
        <f t="shared" ca="1" si="0"/>
        <v>357.7</v>
      </c>
      <c r="L8" s="39">
        <f t="shared" ca="1" si="0"/>
        <v>355.6</v>
      </c>
      <c r="N8" s="296"/>
      <c r="O8" s="296"/>
      <c r="P8" s="296"/>
      <c r="Q8" s="296"/>
      <c r="R8" s="296"/>
      <c r="S8" s="296"/>
    </row>
    <row r="9" spans="1:19" x14ac:dyDescent="0.2">
      <c r="A9" s="59">
        <v>44</v>
      </c>
      <c r="B9" s="59">
        <v>52</v>
      </c>
      <c r="C9" s="59" t="s">
        <v>65</v>
      </c>
      <c r="E9" s="20" t="s">
        <v>68</v>
      </c>
      <c r="F9" s="8" t="s">
        <v>2</v>
      </c>
      <c r="G9" s="37">
        <f t="shared" ref="G9" ca="1" si="1">VLOOKUP($C9, INDIRECT("'"&amp;$B$4&amp;"'!$B$"&amp;$A9&amp;":"&amp;"$H$"&amp;$B9), G$2, FALSE)/1000</f>
        <v>371.1</v>
      </c>
      <c r="H9" s="38">
        <f t="shared" ca="1" si="0"/>
        <v>370.2</v>
      </c>
      <c r="I9" s="38">
        <f t="shared" ca="1" si="0"/>
        <v>370.2</v>
      </c>
      <c r="J9" s="38">
        <f t="shared" ca="1" si="0"/>
        <v>370.2</v>
      </c>
      <c r="K9" s="38">
        <f t="shared" ca="1" si="0"/>
        <v>369.2</v>
      </c>
      <c r="L9" s="39">
        <f t="shared" ca="1" si="0"/>
        <v>367.4</v>
      </c>
      <c r="N9" s="296"/>
      <c r="O9" s="296"/>
      <c r="P9" s="296"/>
      <c r="Q9" s="296"/>
      <c r="R9" s="296"/>
      <c r="S9" s="296"/>
    </row>
    <row r="10" spans="1:19" x14ac:dyDescent="0.2">
      <c r="E10" s="20"/>
      <c r="F10" s="8"/>
      <c r="G10" s="37"/>
      <c r="H10" s="38"/>
      <c r="I10" s="38"/>
      <c r="J10" s="38"/>
      <c r="K10" s="38"/>
      <c r="L10" s="39"/>
      <c r="N10" s="296"/>
      <c r="O10" s="296"/>
      <c r="P10" s="296"/>
      <c r="Q10" s="296"/>
      <c r="R10" s="296"/>
      <c r="S10" s="296"/>
    </row>
    <row r="11" spans="1:19" x14ac:dyDescent="0.2">
      <c r="E11" s="5" t="s">
        <v>66</v>
      </c>
      <c r="F11" s="8"/>
      <c r="G11" s="7"/>
      <c r="H11" s="8"/>
      <c r="I11" s="8"/>
      <c r="J11" s="8"/>
      <c r="K11" s="8"/>
      <c r="L11" s="9"/>
      <c r="N11" s="296"/>
      <c r="O11" s="296"/>
      <c r="P11" s="296"/>
      <c r="Q11" s="296"/>
      <c r="R11" s="296"/>
      <c r="S11" s="296"/>
    </row>
    <row r="12" spans="1:19" x14ac:dyDescent="0.2">
      <c r="A12" s="59">
        <v>32</v>
      </c>
      <c r="B12" s="59">
        <v>40</v>
      </c>
      <c r="C12" s="59" t="s">
        <v>69</v>
      </c>
      <c r="E12" s="20" t="s">
        <v>13</v>
      </c>
      <c r="F12" s="8" t="s">
        <v>10</v>
      </c>
      <c r="G12" s="21">
        <f ca="1">VLOOKUP($C12, INDIRECT("'"&amp;$B$4&amp;"'!$B$"&amp;$A12&amp;":"&amp;"$H$"&amp;$B12), G$2, FALSE)</f>
        <v>9370</v>
      </c>
      <c r="H12" s="22">
        <f t="shared" ref="H12:L14" ca="1" si="2">VLOOKUP($C12, INDIRECT("'"&amp;$B$4&amp;"'!$B$"&amp;$A12&amp;":"&amp;"$H$"&amp;$B12), H$2, FALSE)</f>
        <v>9370</v>
      </c>
      <c r="I12" s="22">
        <f t="shared" ca="1" si="2"/>
        <v>9360</v>
      </c>
      <c r="J12" s="22">
        <f t="shared" ca="1" si="2"/>
        <v>9360</v>
      </c>
      <c r="K12" s="22">
        <f t="shared" ca="1" si="2"/>
        <v>9350</v>
      </c>
      <c r="L12" s="23">
        <f t="shared" ca="1" si="2"/>
        <v>9350</v>
      </c>
      <c r="N12" s="296"/>
      <c r="O12" s="296"/>
      <c r="P12" s="296"/>
      <c r="Q12" s="296"/>
      <c r="R12" s="296"/>
      <c r="S12" s="296"/>
    </row>
    <row r="13" spans="1:19" x14ac:dyDescent="0.2">
      <c r="A13" s="59">
        <v>44</v>
      </c>
      <c r="B13" s="59">
        <v>52</v>
      </c>
      <c r="C13" s="59" t="s">
        <v>69</v>
      </c>
      <c r="E13" s="20" t="s">
        <v>14</v>
      </c>
      <c r="F13" s="8" t="s">
        <v>10</v>
      </c>
      <c r="G13" s="21">
        <f ca="1">VLOOKUP($C13, INDIRECT("'"&amp;$B$4&amp;"'!$B$"&amp;$A13&amp;":"&amp;"$H$"&amp;$B13), G$2, FALSE)</f>
        <v>9300</v>
      </c>
      <c r="H13" s="22">
        <f t="shared" ca="1" si="2"/>
        <v>9300</v>
      </c>
      <c r="I13" s="22">
        <f t="shared" ca="1" si="2"/>
        <v>9300</v>
      </c>
      <c r="J13" s="22">
        <f t="shared" ca="1" si="2"/>
        <v>9300</v>
      </c>
      <c r="K13" s="22">
        <f t="shared" ca="1" si="2"/>
        <v>9290</v>
      </c>
      <c r="L13" s="23">
        <f t="shared" ca="1" si="2"/>
        <v>9280</v>
      </c>
      <c r="N13" s="296"/>
      <c r="O13" s="296"/>
      <c r="P13" s="296"/>
      <c r="Q13" s="296"/>
      <c r="R13" s="296"/>
      <c r="S13" s="296"/>
    </row>
    <row r="14" spans="1:19" x14ac:dyDescent="0.2">
      <c r="A14" s="59">
        <v>56</v>
      </c>
      <c r="B14" s="59">
        <v>64</v>
      </c>
      <c r="C14" s="59" t="s">
        <v>69</v>
      </c>
      <c r="E14" s="282" t="s">
        <v>405</v>
      </c>
      <c r="F14" s="283" t="s">
        <v>10</v>
      </c>
      <c r="G14" s="284">
        <f ca="1">VLOOKUP($C14, INDIRECT("'"&amp;$B$4&amp;"'!$B$"&amp;$A14&amp;":"&amp;"$H$"&amp;$B14), G$2, FALSE)</f>
        <v>9340</v>
      </c>
      <c r="H14" s="285">
        <f t="shared" ca="1" si="2"/>
        <v>9340</v>
      </c>
      <c r="I14" s="285">
        <f t="shared" ca="1" si="2"/>
        <v>9340</v>
      </c>
      <c r="J14" s="285">
        <f t="shared" ca="1" si="2"/>
        <v>9340</v>
      </c>
      <c r="K14" s="285">
        <f t="shared" ca="1" si="2"/>
        <v>9340</v>
      </c>
      <c r="L14" s="286">
        <f t="shared" ca="1" si="2"/>
        <v>9340</v>
      </c>
      <c r="M14" s="287" t="s">
        <v>406</v>
      </c>
      <c r="N14" s="296"/>
      <c r="O14" s="296"/>
      <c r="P14" s="296"/>
      <c r="Q14" s="296"/>
      <c r="R14" s="296"/>
      <c r="S14" s="296"/>
    </row>
    <row r="15" spans="1:19" x14ac:dyDescent="0.2">
      <c r="E15" s="5" t="s">
        <v>17</v>
      </c>
      <c r="F15" s="24"/>
      <c r="G15" s="7"/>
      <c r="H15" s="8"/>
      <c r="I15" s="8"/>
      <c r="J15" s="8"/>
      <c r="K15" s="8"/>
      <c r="L15" s="9"/>
      <c r="N15" s="296"/>
      <c r="O15" s="296"/>
      <c r="P15" s="296"/>
      <c r="Q15" s="296"/>
      <c r="R15" s="296"/>
      <c r="S15" s="296"/>
    </row>
    <row r="16" spans="1:19" ht="14.25" x14ac:dyDescent="0.2">
      <c r="A16" s="59">
        <v>211</v>
      </c>
      <c r="B16" s="59">
        <v>215</v>
      </c>
      <c r="C16" s="59" t="s">
        <v>70</v>
      </c>
      <c r="E16" s="20" t="s">
        <v>25</v>
      </c>
      <c r="F16" s="25" t="s">
        <v>15</v>
      </c>
      <c r="G16" s="190">
        <f ca="1">VLOOKUP($C16, INDIRECT("'"&amp;$B$4&amp;"'!$B$"&amp;$A16&amp;":"&amp;"$H$"&amp;$B16), G$2, FALSE)*G$12/G$14</f>
        <v>26.484796573875801</v>
      </c>
      <c r="H16" s="27">
        <f t="shared" ref="H16:J18" ca="1" si="3">VLOOKUP($C16, INDIRECT("'"&amp;$B$4&amp;"'!$B$"&amp;$A16&amp;":"&amp;"$H$"&amp;$B16), H$2, FALSE)*H$12/H$14</f>
        <v>26.484796573875801</v>
      </c>
      <c r="I16" s="27">
        <f t="shared" ca="1" si="3"/>
        <v>26.456531049250536</v>
      </c>
      <c r="J16" s="288">
        <f ca="1">VLOOKUP($C16, INDIRECT("'"&amp;$B$4&amp;"'!$B$"&amp;$A16&amp;":"&amp;"$H$"&amp;$B16), J$2, FALSE)*J$12/J$14</f>
        <v>26.456531049250536</v>
      </c>
      <c r="K16" s="27">
        <f t="shared" ref="K16:L18" ca="1" si="4">VLOOKUP($C16, INDIRECT("'"&amp;$B$4&amp;"'!$B$"&amp;$A16&amp;":"&amp;"$H$"&amp;$B16), K$2, FALSE)*K$12/K$14</f>
        <v>26.428265524625267</v>
      </c>
      <c r="L16" s="28">
        <f t="shared" ca="1" si="4"/>
        <v>26.428265524625267</v>
      </c>
      <c r="N16" s="296"/>
      <c r="O16" s="296"/>
      <c r="P16" s="296"/>
      <c r="Q16" s="296"/>
      <c r="R16" s="296"/>
      <c r="S16" s="296"/>
    </row>
    <row r="17" spans="1:19" ht="14.25" x14ac:dyDescent="0.2">
      <c r="A17" s="59">
        <v>211</v>
      </c>
      <c r="B17" s="59">
        <v>215</v>
      </c>
      <c r="C17" s="59" t="s">
        <v>71</v>
      </c>
      <c r="E17" s="20" t="s">
        <v>26</v>
      </c>
      <c r="F17" s="25" t="s">
        <v>15</v>
      </c>
      <c r="G17" s="26">
        <f t="shared" ref="G17:G18" ca="1" si="5">VLOOKUP($C17, INDIRECT("'"&amp;$B$4&amp;"'!$B$"&amp;$A17&amp;":"&amp;"$H$"&amp;$B17), G$2, FALSE)*G$12/G$14</f>
        <v>6.922162740899358</v>
      </c>
      <c r="H17" s="27">
        <f t="shared" ca="1" si="3"/>
        <v>6.922162740899358</v>
      </c>
      <c r="I17" s="27">
        <f t="shared" ca="1" si="3"/>
        <v>6.9147751605995715</v>
      </c>
      <c r="J17" s="27">
        <f t="shared" ca="1" si="3"/>
        <v>6.9147751605995715</v>
      </c>
      <c r="K17" s="27">
        <f t="shared" ca="1" si="4"/>
        <v>6.8072805139186299</v>
      </c>
      <c r="L17" s="28">
        <f t="shared" ca="1" si="4"/>
        <v>6.8072805139186299</v>
      </c>
      <c r="N17" s="296"/>
      <c r="O17" s="296"/>
      <c r="P17" s="296"/>
      <c r="Q17" s="296"/>
      <c r="R17" s="296"/>
      <c r="S17" s="296"/>
    </row>
    <row r="18" spans="1:19" ht="14.25" x14ac:dyDescent="0.2">
      <c r="A18" s="59">
        <v>211</v>
      </c>
      <c r="B18" s="59">
        <v>215</v>
      </c>
      <c r="C18" s="59" t="s">
        <v>72</v>
      </c>
      <c r="E18" s="20" t="s">
        <v>27</v>
      </c>
      <c r="F18" s="25" t="s">
        <v>15</v>
      </c>
      <c r="G18" s="21">
        <f t="shared" ca="1" si="5"/>
        <v>415329.76445396146</v>
      </c>
      <c r="H18" s="22">
        <f t="shared" ca="1" si="3"/>
        <v>415329.76445396146</v>
      </c>
      <c r="I18" s="22">
        <f t="shared" ca="1" si="3"/>
        <v>412481.3704496788</v>
      </c>
      <c r="J18" s="22">
        <f t="shared" ca="1" si="3"/>
        <v>412481.3704496788</v>
      </c>
      <c r="K18" s="22">
        <f t="shared" ca="1" si="4"/>
        <v>410839.40042826551</v>
      </c>
      <c r="L18" s="23">
        <f t="shared" ca="1" si="4"/>
        <v>408436.83083511778</v>
      </c>
      <c r="N18" s="296"/>
      <c r="O18" s="296"/>
      <c r="P18" s="296"/>
      <c r="Q18" s="296"/>
      <c r="R18" s="296"/>
      <c r="S18" s="296"/>
    </row>
    <row r="19" spans="1:19" x14ac:dyDescent="0.2">
      <c r="E19" s="5" t="s">
        <v>18</v>
      </c>
      <c r="F19" s="24"/>
      <c r="G19" s="29"/>
      <c r="H19" s="24"/>
      <c r="I19" s="24"/>
      <c r="J19" s="24"/>
      <c r="K19" s="24"/>
      <c r="L19" s="30"/>
      <c r="N19" s="296"/>
      <c r="O19" s="296"/>
      <c r="P19" s="296"/>
      <c r="Q19" s="296"/>
      <c r="R19" s="296"/>
      <c r="S19" s="296"/>
    </row>
    <row r="20" spans="1:19" ht="14.25" x14ac:dyDescent="0.2">
      <c r="A20" s="59">
        <v>211</v>
      </c>
      <c r="B20" s="59">
        <v>215</v>
      </c>
      <c r="C20" s="59" t="s">
        <v>70</v>
      </c>
      <c r="E20" s="20" t="s">
        <v>25</v>
      </c>
      <c r="F20" s="25" t="s">
        <v>15</v>
      </c>
      <c r="G20" s="26">
        <f ca="1">VLOOKUP($C20, INDIRECT("'"&amp;$B$4&amp;"'!$B$"&amp;$A20&amp;":"&amp;"$H$"&amp;$B20), G$2, FALSE)*G$13/G$14</f>
        <v>26.286937901498931</v>
      </c>
      <c r="H20" s="27">
        <f t="shared" ref="H20:J22" ca="1" si="6">VLOOKUP($C20, INDIRECT("'"&amp;$B$4&amp;"'!$B$"&amp;$A20&amp;":"&amp;"$H$"&amp;$B20), H$2, FALSE)*H$13/H$14</f>
        <v>26.286937901498931</v>
      </c>
      <c r="I20" s="27">
        <f t="shared" ca="1" si="6"/>
        <v>26.286937901498931</v>
      </c>
      <c r="J20" s="27">
        <f ca="1">VLOOKUP($C20, INDIRECT("'"&amp;$B$4&amp;"'!$B$"&amp;$A20&amp;":"&amp;"$H$"&amp;$B20), J$2, FALSE)*J$13/J$14</f>
        <v>26.286937901498931</v>
      </c>
      <c r="K20" s="27">
        <f t="shared" ref="K20:L22" ca="1" si="7">VLOOKUP($C20, INDIRECT("'"&amp;$B$4&amp;"'!$B$"&amp;$A20&amp;":"&amp;"$H$"&amp;$B20), K$2, FALSE)*K$13/K$14</f>
        <v>26.258672376873662</v>
      </c>
      <c r="L20" s="28">
        <f t="shared" ca="1" si="7"/>
        <v>26.230406852248393</v>
      </c>
      <c r="N20" s="296"/>
      <c r="O20" s="296"/>
      <c r="P20" s="296"/>
      <c r="Q20" s="296"/>
      <c r="R20" s="296"/>
      <c r="S20" s="296"/>
    </row>
    <row r="21" spans="1:19" ht="14.25" x14ac:dyDescent="0.2">
      <c r="A21" s="59">
        <v>211</v>
      </c>
      <c r="B21" s="59">
        <v>215</v>
      </c>
      <c r="C21" s="59" t="s">
        <v>71</v>
      </c>
      <c r="E21" s="20" t="s">
        <v>26</v>
      </c>
      <c r="F21" s="25" t="s">
        <v>15</v>
      </c>
      <c r="G21" s="26">
        <f t="shared" ref="G21:G22" ca="1" si="8">VLOOKUP($C21, INDIRECT("'"&amp;$B$4&amp;"'!$B$"&amp;$A21&amp;":"&amp;"$H$"&amp;$B21), G$2, FALSE)*G$13/G$14</f>
        <v>6.8704496788008562</v>
      </c>
      <c r="H21" s="27">
        <f t="shared" ca="1" si="6"/>
        <v>6.8704496788008562</v>
      </c>
      <c r="I21" s="27">
        <f t="shared" ca="1" si="6"/>
        <v>6.8704496788008562</v>
      </c>
      <c r="J21" s="27">
        <f t="shared" ca="1" si="6"/>
        <v>6.8704496788008562</v>
      </c>
      <c r="K21" s="27">
        <f t="shared" ca="1" si="7"/>
        <v>6.7635974304068522</v>
      </c>
      <c r="L21" s="28">
        <f t="shared" ca="1" si="7"/>
        <v>6.7563169164882231</v>
      </c>
      <c r="N21" s="296"/>
      <c r="O21" s="296"/>
      <c r="P21" s="296"/>
      <c r="Q21" s="296"/>
      <c r="R21" s="296"/>
      <c r="S21" s="296"/>
    </row>
    <row r="22" spans="1:19" ht="14.25" x14ac:dyDescent="0.2">
      <c r="A22" s="59">
        <v>211</v>
      </c>
      <c r="B22" s="59">
        <v>215</v>
      </c>
      <c r="C22" s="59" t="s">
        <v>72</v>
      </c>
      <c r="E22" s="20" t="s">
        <v>27</v>
      </c>
      <c r="F22" s="25" t="s">
        <v>15</v>
      </c>
      <c r="G22" s="21">
        <f t="shared" ca="1" si="8"/>
        <v>412226.98072805139</v>
      </c>
      <c r="H22" s="22">
        <f t="shared" ca="1" si="6"/>
        <v>412226.98072805139</v>
      </c>
      <c r="I22" s="22">
        <f t="shared" ca="1" si="6"/>
        <v>409837.2591006424</v>
      </c>
      <c r="J22" s="22">
        <f t="shared" ca="1" si="6"/>
        <v>409837.2591006424</v>
      </c>
      <c r="K22" s="22">
        <f t="shared" ca="1" si="7"/>
        <v>408202.9978586724</v>
      </c>
      <c r="L22" s="23">
        <f t="shared" ca="1" si="7"/>
        <v>405379.01498929336</v>
      </c>
      <c r="N22" s="296"/>
      <c r="O22" s="296"/>
      <c r="P22" s="296"/>
      <c r="Q22" s="296"/>
      <c r="R22" s="296"/>
      <c r="S22" s="296"/>
    </row>
    <row r="23" spans="1:19" x14ac:dyDescent="0.2">
      <c r="E23" s="5" t="s">
        <v>315</v>
      </c>
      <c r="F23" s="24"/>
      <c r="G23" s="21"/>
      <c r="H23" s="22"/>
      <c r="I23" s="22"/>
      <c r="J23" s="22"/>
      <c r="K23" s="22"/>
      <c r="L23" s="23"/>
      <c r="N23" s="296"/>
      <c r="O23" s="296"/>
      <c r="P23" s="296"/>
      <c r="Q23" s="296"/>
      <c r="R23" s="296"/>
      <c r="S23" s="296"/>
    </row>
    <row r="24" spans="1:19" ht="14.25" x14ac:dyDescent="0.2">
      <c r="A24" s="59">
        <v>226</v>
      </c>
      <c r="B24" s="59">
        <v>229</v>
      </c>
      <c r="C24" s="59" t="s">
        <v>70</v>
      </c>
      <c r="E24" s="20" t="s">
        <v>25</v>
      </c>
      <c r="F24" s="25" t="s">
        <v>15</v>
      </c>
      <c r="G24" s="26">
        <f ca="1">VLOOKUP($C24, INDIRECT("'"&amp;$B$4&amp;"'!$B$"&amp;$A24&amp;":"&amp;"$H$"&amp;$B24), G$2, FALSE)*G$12/G$14</f>
        <v>96.308351177730188</v>
      </c>
      <c r="H24" s="22">
        <f t="shared" ref="H24:J26" ca="1" si="9">VLOOKUP($C24, INDIRECT("'"&amp;$B$4&amp;"'!$B$"&amp;$A24&amp;":"&amp;"$H$"&amp;$B24), H$2, FALSE)*H$12/H$14</f>
        <v>96.308351177730188</v>
      </c>
      <c r="I24" s="22">
        <f t="shared" ca="1" si="9"/>
        <v>96.20556745182013</v>
      </c>
      <c r="J24" s="22">
        <f ca="1">VLOOKUP($C24, INDIRECT("'"&amp;$B$4&amp;"'!$B$"&amp;$A24&amp;":"&amp;"$H$"&amp;$B24), J$2, FALSE)*J$12/J$14</f>
        <v>96.20556745182013</v>
      </c>
      <c r="K24" s="22">
        <f t="shared" ref="K24:L26" ca="1" si="10">VLOOKUP($C24, INDIRECT("'"&amp;$B$4&amp;"'!$B$"&amp;$A24&amp;":"&amp;"$H$"&amp;$B24), K$2, FALSE)*K$12/K$14</f>
        <v>96.102783725910058</v>
      </c>
      <c r="L24" s="23">
        <f t="shared" ca="1" si="10"/>
        <v>96.102783725910058</v>
      </c>
      <c r="N24" s="296"/>
      <c r="O24" s="296"/>
      <c r="P24" s="296"/>
      <c r="Q24" s="296"/>
      <c r="R24" s="296"/>
      <c r="S24" s="296"/>
    </row>
    <row r="25" spans="1:19" ht="14.25" x14ac:dyDescent="0.2">
      <c r="A25" s="59">
        <v>226</v>
      </c>
      <c r="B25" s="59">
        <v>229</v>
      </c>
      <c r="C25" s="59" t="s">
        <v>71</v>
      </c>
      <c r="E25" s="20" t="s">
        <v>26</v>
      </c>
      <c r="F25" s="25" t="s">
        <v>15</v>
      </c>
      <c r="G25" s="21">
        <f t="shared" ref="G25:G26" ca="1" si="11">VLOOKUP($C25, INDIRECT("'"&amp;$B$4&amp;"'!$B$"&amp;$A25&amp;":"&amp;"$H$"&amp;$B25), G$2, FALSE)*G$12/G$14</f>
        <v>5.3170235546038542</v>
      </c>
      <c r="H25" s="22">
        <f t="shared" ca="1" si="9"/>
        <v>5.3170235546038542</v>
      </c>
      <c r="I25" s="22">
        <f t="shared" ca="1" si="9"/>
        <v>5.2111349036402572</v>
      </c>
      <c r="J25" s="22">
        <f t="shared" ca="1" si="9"/>
        <v>5.2111349036402572</v>
      </c>
      <c r="K25" s="22">
        <f t="shared" ca="1" si="10"/>
        <v>5.2055674518201283</v>
      </c>
      <c r="L25" s="23">
        <f t="shared" ca="1" si="10"/>
        <v>5.2055674518201283</v>
      </c>
      <c r="N25" s="296"/>
      <c r="O25" s="296"/>
      <c r="P25" s="296"/>
      <c r="Q25" s="296"/>
      <c r="R25" s="296"/>
      <c r="S25" s="296"/>
    </row>
    <row r="26" spans="1:19" ht="14.25" x14ac:dyDescent="0.2">
      <c r="A26" s="59">
        <v>226</v>
      </c>
      <c r="B26" s="59">
        <v>229</v>
      </c>
      <c r="C26" s="59" t="s">
        <v>72</v>
      </c>
      <c r="E26" s="20" t="s">
        <v>27</v>
      </c>
      <c r="F26" s="25" t="s">
        <v>15</v>
      </c>
      <c r="G26" s="21">
        <f t="shared" ca="1" si="11"/>
        <v>553773.01927194861</v>
      </c>
      <c r="H26" s="22">
        <f t="shared" ca="1" si="9"/>
        <v>553773.01927194861</v>
      </c>
      <c r="I26" s="22">
        <f t="shared" ca="1" si="9"/>
        <v>549975.16059957177</v>
      </c>
      <c r="J26" s="22">
        <f t="shared" ca="1" si="9"/>
        <v>549975.16059957177</v>
      </c>
      <c r="K26" s="22">
        <f t="shared" ca="1" si="10"/>
        <v>547785.86723768734</v>
      </c>
      <c r="L26" s="23">
        <f t="shared" ca="1" si="10"/>
        <v>544582.44111349038</v>
      </c>
      <c r="N26" s="296"/>
      <c r="O26" s="296"/>
      <c r="P26" s="296"/>
      <c r="Q26" s="296"/>
      <c r="R26" s="296"/>
      <c r="S26" s="296"/>
    </row>
    <row r="27" spans="1:19" x14ac:dyDescent="0.2">
      <c r="E27" s="5" t="s">
        <v>16</v>
      </c>
      <c r="F27" s="24"/>
      <c r="G27" s="29"/>
      <c r="H27" s="24"/>
      <c r="I27" s="24"/>
      <c r="J27" s="24"/>
      <c r="K27" s="24"/>
      <c r="L27" s="30"/>
      <c r="N27" s="296"/>
      <c r="O27" s="296"/>
      <c r="P27" s="296"/>
      <c r="Q27" s="296"/>
      <c r="R27" s="296"/>
      <c r="S27" s="296"/>
    </row>
    <row r="28" spans="1:19" ht="14.25" x14ac:dyDescent="0.2">
      <c r="A28" s="59">
        <v>226</v>
      </c>
      <c r="B28" s="59">
        <v>229</v>
      </c>
      <c r="C28" s="59" t="s">
        <v>70</v>
      </c>
      <c r="E28" s="20" t="s">
        <v>25</v>
      </c>
      <c r="F28" s="25" t="s">
        <v>15</v>
      </c>
      <c r="G28" s="26">
        <f ca="1">VLOOKUP($C28, INDIRECT("'"&amp;$B$4&amp;"'!$B$"&amp;$A28&amp;":"&amp;"$H$"&amp;$B28), G$2, FALSE)*G$13/G$14</f>
        <v>95.58886509635974</v>
      </c>
      <c r="H28" s="27">
        <f t="shared" ref="H28:J30" ca="1" si="12">VLOOKUP($C28, INDIRECT("'"&amp;$B$4&amp;"'!$B$"&amp;$A28&amp;":"&amp;"$H$"&amp;$B28), H$2, FALSE)*H$13/H$14</f>
        <v>95.58886509635974</v>
      </c>
      <c r="I28" s="27">
        <f t="shared" ca="1" si="12"/>
        <v>95.58886509635974</v>
      </c>
      <c r="J28" s="27">
        <f ca="1">VLOOKUP($C28, INDIRECT("'"&amp;$B$4&amp;"'!$B$"&amp;$A28&amp;":"&amp;"$H$"&amp;$B28), J$2, FALSE)*J$13/J$14</f>
        <v>95.58886509635974</v>
      </c>
      <c r="K28" s="27">
        <f t="shared" ref="K28:L30" ca="1" si="13">VLOOKUP($C28, INDIRECT("'"&amp;$B$4&amp;"'!$B$"&amp;$A28&amp;":"&amp;"$H$"&amp;$B28), K$2, FALSE)*K$13/K$14</f>
        <v>95.486081370449682</v>
      </c>
      <c r="L28" s="28">
        <f t="shared" ca="1" si="13"/>
        <v>95.38329764453961</v>
      </c>
      <c r="N28" s="296"/>
      <c r="O28" s="296"/>
      <c r="P28" s="296"/>
      <c r="Q28" s="296"/>
      <c r="R28" s="296"/>
      <c r="S28" s="296"/>
    </row>
    <row r="29" spans="1:19" ht="14.25" x14ac:dyDescent="0.2">
      <c r="A29" s="59">
        <v>226</v>
      </c>
      <c r="B29" s="59">
        <v>229</v>
      </c>
      <c r="C29" s="59" t="s">
        <v>71</v>
      </c>
      <c r="E29" s="20" t="s">
        <v>26</v>
      </c>
      <c r="F29" s="25" t="s">
        <v>15</v>
      </c>
      <c r="G29" s="26">
        <f t="shared" ref="G29:G30" ca="1" si="14">VLOOKUP($C29, INDIRECT("'"&amp;$B$4&amp;"'!$B$"&amp;$A29&amp;":"&amp;"$H$"&amp;$B29), G$2, FALSE)*G$13/G$14</f>
        <v>5.2773019271948609</v>
      </c>
      <c r="H29" s="27">
        <f t="shared" ca="1" si="12"/>
        <v>5.2773019271948609</v>
      </c>
      <c r="I29" s="27">
        <f t="shared" ca="1" si="12"/>
        <v>5.1777301927194861</v>
      </c>
      <c r="J29" s="27">
        <f t="shared" ca="1" si="12"/>
        <v>5.1777301927194861</v>
      </c>
      <c r="K29" s="27">
        <f t="shared" ca="1" si="13"/>
        <v>5.172162740899358</v>
      </c>
      <c r="L29" s="28">
        <f t="shared" ca="1" si="13"/>
        <v>5.166595289079229</v>
      </c>
      <c r="N29" s="296"/>
      <c r="O29" s="296"/>
      <c r="P29" s="296"/>
      <c r="Q29" s="296"/>
      <c r="R29" s="296"/>
      <c r="S29" s="296"/>
    </row>
    <row r="30" spans="1:19" ht="14.25" x14ac:dyDescent="0.2">
      <c r="A30" s="59">
        <v>226</v>
      </c>
      <c r="B30" s="59">
        <v>229</v>
      </c>
      <c r="C30" s="59" t="s">
        <v>72</v>
      </c>
      <c r="E30" s="20" t="s">
        <v>27</v>
      </c>
      <c r="F30" s="25" t="s">
        <v>15</v>
      </c>
      <c r="G30" s="21">
        <f t="shared" ca="1" si="14"/>
        <v>549635.97430406848</v>
      </c>
      <c r="H30" s="22">
        <f t="shared" ca="1" si="12"/>
        <v>549635.97430406848</v>
      </c>
      <c r="I30" s="22">
        <f t="shared" ca="1" si="12"/>
        <v>546449.67880085658</v>
      </c>
      <c r="J30" s="22">
        <f t="shared" ca="1" si="12"/>
        <v>546449.67880085658</v>
      </c>
      <c r="K30" s="22">
        <f t="shared" ca="1" si="13"/>
        <v>544270.66381156316</v>
      </c>
      <c r="L30" s="23">
        <f t="shared" ca="1" si="13"/>
        <v>540505.35331905785</v>
      </c>
      <c r="N30" s="296"/>
      <c r="O30" s="296"/>
      <c r="P30" s="296"/>
      <c r="Q30" s="296"/>
      <c r="R30" s="296"/>
      <c r="S30" s="296"/>
    </row>
    <row r="31" spans="1:19" x14ac:dyDescent="0.2">
      <c r="E31" s="4" t="s">
        <v>19</v>
      </c>
      <c r="F31" s="25"/>
      <c r="G31" s="29"/>
      <c r="H31" s="24"/>
      <c r="I31" s="24"/>
      <c r="J31" s="24"/>
      <c r="K31" s="24"/>
      <c r="L31" s="30"/>
      <c r="N31" s="296"/>
      <c r="O31" s="296"/>
      <c r="P31" s="296"/>
      <c r="Q31" s="296"/>
      <c r="R31" s="296"/>
      <c r="S31" s="296"/>
    </row>
    <row r="32" spans="1:19" x14ac:dyDescent="0.2">
      <c r="E32" s="31"/>
      <c r="F32" s="8"/>
      <c r="G32" s="53"/>
      <c r="H32" s="54"/>
      <c r="I32" s="54"/>
      <c r="J32" s="54"/>
      <c r="K32" s="54"/>
      <c r="L32" s="55"/>
      <c r="N32" s="296"/>
      <c r="O32" s="296"/>
      <c r="P32" s="296"/>
      <c r="Q32" s="296"/>
      <c r="R32" s="296"/>
      <c r="S32" s="296"/>
    </row>
    <row r="33" spans="1:19" ht="25.5" x14ac:dyDescent="0.2">
      <c r="A33" s="303" t="s">
        <v>343</v>
      </c>
      <c r="B33" s="303"/>
      <c r="C33" s="303"/>
      <c r="E33" s="31" t="s">
        <v>267</v>
      </c>
      <c r="F33" s="8" t="s">
        <v>7</v>
      </c>
      <c r="G33" s="53">
        <v>490</v>
      </c>
      <c r="H33" s="54">
        <v>490</v>
      </c>
      <c r="I33" s="54">
        <v>490</v>
      </c>
      <c r="J33" s="54">
        <v>490</v>
      </c>
      <c r="K33" s="54">
        <v>490</v>
      </c>
      <c r="L33" s="55">
        <v>490</v>
      </c>
      <c r="N33" s="296"/>
      <c r="O33" s="296"/>
      <c r="P33" s="296"/>
      <c r="Q33" s="296"/>
      <c r="R33" s="296"/>
      <c r="S33" s="296"/>
    </row>
    <row r="34" spans="1:19" ht="13.5" thickBot="1" x14ac:dyDescent="0.25">
      <c r="A34" s="59">
        <v>16</v>
      </c>
      <c r="B34" s="59">
        <v>16</v>
      </c>
      <c r="C34" s="59" t="s">
        <v>87</v>
      </c>
      <c r="E34" s="32" t="s">
        <v>6</v>
      </c>
      <c r="F34" s="52" t="s">
        <v>11</v>
      </c>
      <c r="G34" s="56">
        <f ca="1">VLOOKUP($C34, INDIRECT("'"&amp;$B$4&amp;"'!$B$"&amp;$A34&amp;":"&amp;"$H$"&amp;$B34), G$2, FALSE)</f>
        <v>4.3400000000000001E-2</v>
      </c>
      <c r="H34" s="57">
        <f t="shared" ref="H34:L34" ca="1" si="15">VLOOKUP($C34, INDIRECT("'"&amp;$B$4&amp;"'!$B$"&amp;$A34&amp;":"&amp;"$H$"&amp;$B34), H$2, FALSE)</f>
        <v>4.3400000000000001E-2</v>
      </c>
      <c r="I34" s="57">
        <f t="shared" ca="1" si="15"/>
        <v>4.3400000000000001E-2</v>
      </c>
      <c r="J34" s="57">
        <f t="shared" ca="1" si="15"/>
        <v>4.3400000000000001E-2</v>
      </c>
      <c r="K34" s="57">
        <f t="shared" ca="1" si="15"/>
        <v>4.3400000000000001E-2</v>
      </c>
      <c r="L34" s="58">
        <f t="shared" ca="1" si="15"/>
        <v>4.3400000000000001E-2</v>
      </c>
      <c r="N34" s="296"/>
      <c r="O34" s="296"/>
      <c r="P34" s="296"/>
      <c r="Q34" s="296"/>
      <c r="R34" s="296"/>
      <c r="S34" s="296"/>
    </row>
    <row r="35" spans="1:19" ht="12.75" customHeight="1" x14ac:dyDescent="0.2">
      <c r="E35" s="6" t="s">
        <v>403</v>
      </c>
      <c r="F35" s="24"/>
      <c r="G35" s="34"/>
      <c r="H35" s="35"/>
      <c r="I35" s="35"/>
      <c r="J35" s="35"/>
      <c r="K35" s="35"/>
      <c r="L35" s="36"/>
      <c r="N35" s="296"/>
      <c r="O35" s="296"/>
      <c r="P35" s="296"/>
      <c r="Q35" s="296"/>
      <c r="R35" s="296"/>
      <c r="S35" s="296"/>
    </row>
    <row r="36" spans="1:19" x14ac:dyDescent="0.2">
      <c r="A36" s="59">
        <v>184</v>
      </c>
      <c r="B36" s="59">
        <v>187</v>
      </c>
      <c r="C36" s="59" t="s">
        <v>163</v>
      </c>
      <c r="E36" s="20" t="s">
        <v>22</v>
      </c>
      <c r="F36" s="8" t="s">
        <v>9</v>
      </c>
      <c r="G36" s="191">
        <f ca="1">VLOOKUP($C36, INDIRECT("'"&amp;$B$4&amp;"'!$B$"&amp;$A36&amp;":"&amp;"$H$"&amp;$B36), G$2, FALSE)</f>
        <v>1.3900000000000001</v>
      </c>
      <c r="H36" s="41">
        <f t="shared" ref="H36:L38" ca="1" si="16">VLOOKUP($C36, INDIRECT("'"&amp;$B$4&amp;"'!$B$"&amp;$A36&amp;":"&amp;"$H$"&amp;$B36), H$2, FALSE)</f>
        <v>1.4300000000000002</v>
      </c>
      <c r="I36" s="41">
        <f t="shared" ca="1" si="16"/>
        <v>1.3900000000000001</v>
      </c>
      <c r="J36" s="41">
        <f t="shared" ca="1" si="16"/>
        <v>1.3900000000000001</v>
      </c>
      <c r="K36" s="41">
        <f t="shared" ca="1" si="16"/>
        <v>1.3900000000000001</v>
      </c>
      <c r="L36" s="42">
        <f t="shared" ca="1" si="16"/>
        <v>1.4</v>
      </c>
      <c r="N36" s="296"/>
      <c r="O36" s="296"/>
      <c r="P36" s="296"/>
      <c r="Q36" s="296"/>
      <c r="R36" s="296"/>
      <c r="S36" s="296"/>
    </row>
    <row r="37" spans="1:19" x14ac:dyDescent="0.2">
      <c r="A37" s="59">
        <v>190</v>
      </c>
      <c r="B37" s="59">
        <v>193</v>
      </c>
      <c r="C37" s="59" t="s">
        <v>163</v>
      </c>
      <c r="E37" s="20" t="s">
        <v>23</v>
      </c>
      <c r="F37" s="8" t="s">
        <v>9</v>
      </c>
      <c r="G37" s="40">
        <f t="shared" ref="G37:G38" ca="1" si="17">VLOOKUP($C37, INDIRECT("'"&amp;$B$4&amp;"'!$B$"&amp;$A37&amp;":"&amp;"$H$"&amp;$B37), G$2, FALSE)</f>
        <v>10.93</v>
      </c>
      <c r="H37" s="41">
        <f t="shared" ca="1" si="16"/>
        <v>11.459999999999999</v>
      </c>
      <c r="I37" s="41">
        <f t="shared" ca="1" si="16"/>
        <v>10.93</v>
      </c>
      <c r="J37" s="41">
        <f t="shared" ca="1" si="16"/>
        <v>10.93</v>
      </c>
      <c r="K37" s="41">
        <f t="shared" ca="1" si="16"/>
        <v>10.91</v>
      </c>
      <c r="L37" s="42">
        <f t="shared" ca="1" si="16"/>
        <v>10.91</v>
      </c>
      <c r="N37" s="296"/>
      <c r="O37" s="296"/>
      <c r="P37" s="296"/>
      <c r="Q37" s="296"/>
      <c r="R37" s="296"/>
      <c r="S37" s="296"/>
    </row>
    <row r="38" spans="1:19" ht="13.5" thickBot="1" x14ac:dyDescent="0.25">
      <c r="A38" s="59">
        <v>177</v>
      </c>
      <c r="B38" s="59">
        <v>180</v>
      </c>
      <c r="C38" s="59" t="s">
        <v>160</v>
      </c>
      <c r="E38" s="32" t="s">
        <v>404</v>
      </c>
      <c r="F38" s="33" t="s">
        <v>8</v>
      </c>
      <c r="G38" s="43">
        <f t="shared" ca="1" si="17"/>
        <v>26600</v>
      </c>
      <c r="H38" s="44">
        <f t="shared" ca="1" si="16"/>
        <v>26600</v>
      </c>
      <c r="I38" s="44">
        <f t="shared" ca="1" si="16"/>
        <v>26600</v>
      </c>
      <c r="J38" s="44">
        <f t="shared" ca="1" si="16"/>
        <v>26600</v>
      </c>
      <c r="K38" s="44">
        <f t="shared" ca="1" si="16"/>
        <v>26600</v>
      </c>
      <c r="L38" s="45">
        <f t="shared" ca="1" si="16"/>
        <v>26600</v>
      </c>
      <c r="N38" s="296"/>
      <c r="O38" s="296"/>
      <c r="P38" s="296"/>
      <c r="Q38" s="296"/>
      <c r="R38" s="296"/>
      <c r="S38" s="296"/>
    </row>
    <row r="40" spans="1:19" x14ac:dyDescent="0.2">
      <c r="E40" s="10" t="s">
        <v>419</v>
      </c>
    </row>
  </sheetData>
  <mergeCells count="3">
    <mergeCell ref="G4:L4"/>
    <mergeCell ref="G6:L6"/>
    <mergeCell ref="A33:C33"/>
  </mergeCells>
  <printOptions horizontalCentered="1" gridLines="1"/>
  <pageMargins left="0.7" right="0.7" top="0.75" bottom="0.75" header="0.3" footer="0.3"/>
  <pageSetup scale="85" orientation="landscape" r:id="rId1"/>
  <headerFooter>
    <oddHeader>&amp;C&amp;F</oddHeader>
    <oddFooter>&amp;L&amp;D&amp;C&amp;A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
  <sheetViews>
    <sheetView tabSelected="1" workbookViewId="0"/>
  </sheetViews>
  <sheetFormatPr defaultRowHeight="12.75" x14ac:dyDescent="0.2"/>
  <cols>
    <col min="1" max="1" width="13.6640625" bestFit="1" customWidth="1"/>
    <col min="2" max="2" width="10.33203125" bestFit="1" customWidth="1"/>
    <col min="3" max="4" width="12.1640625" bestFit="1" customWidth="1"/>
    <col min="5" max="5" width="13.6640625" bestFit="1" customWidth="1"/>
    <col min="6" max="6" width="16" bestFit="1" customWidth="1"/>
    <col min="7" max="7" width="13" bestFit="1" customWidth="1"/>
    <col min="8" max="8" width="15.5" bestFit="1" customWidth="1"/>
  </cols>
  <sheetData>
    <row r="1" spans="1:4" x14ac:dyDescent="0.2">
      <c r="A1" t="s">
        <v>313</v>
      </c>
      <c r="B1" t="s">
        <v>56</v>
      </c>
      <c r="C1" t="s">
        <v>337</v>
      </c>
      <c r="D1" t="s">
        <v>338</v>
      </c>
    </row>
    <row r="2" spans="1:4" x14ac:dyDescent="0.2">
      <c r="A2" t="s">
        <v>24</v>
      </c>
      <c r="B2" t="s">
        <v>361</v>
      </c>
      <c r="C2" t="s">
        <v>24</v>
      </c>
      <c r="D2" t="s">
        <v>24</v>
      </c>
    </row>
  </sheetData>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0"/>
  <sheetViews>
    <sheetView topLeftCell="E3" workbookViewId="0">
      <selection activeCell="E3" sqref="E3"/>
    </sheetView>
  </sheetViews>
  <sheetFormatPr defaultRowHeight="12.75" outlineLevelRow="1" outlineLevelCol="1" x14ac:dyDescent="0.2"/>
  <cols>
    <col min="1" max="1" width="13" style="59" hidden="1" customWidth="1" outlineLevel="1"/>
    <col min="2" max="2" width="13.33203125" style="59" hidden="1" customWidth="1" outlineLevel="1"/>
    <col min="3" max="4" width="38" style="59" hidden="1" customWidth="1" outlineLevel="1"/>
    <col min="5" max="5" width="1.83203125" style="10" customWidth="1" collapsed="1"/>
    <col min="6" max="6" width="43.5" style="10" customWidth="1"/>
    <col min="7" max="7" width="16" style="10" customWidth="1"/>
    <col min="8" max="8" width="27.5" style="10" customWidth="1"/>
    <col min="9" max="9" width="24.83203125" style="10" customWidth="1"/>
    <col min="10" max="10" width="26.1640625" style="10" customWidth="1"/>
    <col min="11" max="16384" width="9.33203125" style="10"/>
  </cols>
  <sheetData>
    <row r="1" spans="1:14" s="59" customFormat="1" hidden="1" outlineLevel="1" x14ac:dyDescent="0.2">
      <c r="H1" s="59" t="s">
        <v>60</v>
      </c>
      <c r="I1" s="59" t="s">
        <v>62</v>
      </c>
      <c r="J1" s="59" t="s">
        <v>63</v>
      </c>
    </row>
    <row r="2" spans="1:14" s="59" customFormat="1" hidden="1" outlineLevel="1" x14ac:dyDescent="0.2">
      <c r="H2" s="59">
        <f>MATCH(H1, '[1]1x HA.02 25ppm'!$B$6:$H$6)</f>
        <v>4</v>
      </c>
      <c r="I2" s="59">
        <f>MATCH(I1, '[1]1x HA.02 25ppm'!$B$6:$H$6)</f>
        <v>3</v>
      </c>
      <c r="J2" s="59">
        <f>MATCH(J1, '[1]1x HA.02 25ppm'!$B$6:$H$6)</f>
        <v>2</v>
      </c>
    </row>
    <row r="3" spans="1:14" ht="13.5" collapsed="1" thickBot="1" x14ac:dyDescent="0.25"/>
    <row r="4" spans="1:14" ht="14.25" x14ac:dyDescent="0.2">
      <c r="A4" s="60" t="s">
        <v>73</v>
      </c>
      <c r="B4" s="59" t="s">
        <v>335</v>
      </c>
      <c r="F4" s="11"/>
      <c r="G4" s="12"/>
      <c r="H4" s="297" t="s">
        <v>350</v>
      </c>
      <c r="I4" s="298"/>
      <c r="J4" s="299"/>
    </row>
    <row r="5" spans="1:14" ht="13.5" thickBot="1" x14ac:dyDescent="0.25">
      <c r="F5" s="3" t="s">
        <v>0</v>
      </c>
      <c r="G5" s="2" t="s">
        <v>1</v>
      </c>
      <c r="H5" s="13" t="s">
        <v>20</v>
      </c>
      <c r="I5" s="13" t="s">
        <v>4</v>
      </c>
      <c r="J5" s="15" t="s">
        <v>5</v>
      </c>
    </row>
    <row r="6" spans="1:14" ht="25.5" customHeight="1" x14ac:dyDescent="0.2">
      <c r="A6" s="189" t="s">
        <v>190</v>
      </c>
      <c r="B6" s="189" t="s">
        <v>191</v>
      </c>
      <c r="C6" s="189" t="s">
        <v>192</v>
      </c>
      <c r="D6" s="189"/>
      <c r="F6" s="4" t="s">
        <v>12</v>
      </c>
      <c r="G6" s="1"/>
      <c r="H6" s="304"/>
      <c r="I6" s="305"/>
      <c r="J6" s="306"/>
    </row>
    <row r="7" spans="1:14" x14ac:dyDescent="0.2">
      <c r="F7" s="5" t="s">
        <v>64</v>
      </c>
      <c r="G7" s="1"/>
      <c r="H7" s="16"/>
      <c r="I7" s="17"/>
      <c r="J7" s="19"/>
    </row>
    <row r="8" spans="1:14" x14ac:dyDescent="0.2">
      <c r="A8" s="59">
        <v>32</v>
      </c>
      <c r="B8" s="59">
        <v>40</v>
      </c>
      <c r="C8" s="59" t="s">
        <v>65</v>
      </c>
      <c r="F8" s="20" t="s">
        <v>67</v>
      </c>
      <c r="G8" s="8" t="s">
        <v>2</v>
      </c>
      <c r="H8" s="37">
        <f t="shared" ref="H8:J9" ca="1" si="0">VLOOKUP($C8, INDIRECT("'"&amp;$B$4&amp;"'!$B$"&amp;$A8&amp;":"&amp;"$H$"&amp;$B8), H$2, FALSE)/1000</f>
        <v>340.9</v>
      </c>
      <c r="I8" s="38">
        <f t="shared" ca="1" si="0"/>
        <v>341.2</v>
      </c>
      <c r="J8" s="39">
        <f t="shared" ca="1" si="0"/>
        <v>338</v>
      </c>
      <c r="L8" s="296"/>
      <c r="M8" s="296"/>
      <c r="N8" s="296"/>
    </row>
    <row r="9" spans="1:14" x14ac:dyDescent="0.2">
      <c r="A9" s="59">
        <v>44</v>
      </c>
      <c r="B9" s="59">
        <v>52</v>
      </c>
      <c r="C9" s="59" t="s">
        <v>65</v>
      </c>
      <c r="F9" s="20" t="s">
        <v>68</v>
      </c>
      <c r="G9" s="8" t="s">
        <v>2</v>
      </c>
      <c r="H9" s="37">
        <f t="shared" ca="1" si="0"/>
        <v>350.5</v>
      </c>
      <c r="I9" s="38">
        <f t="shared" ca="1" si="0"/>
        <v>351</v>
      </c>
      <c r="J9" s="39">
        <f t="shared" ca="1" si="0"/>
        <v>346.1</v>
      </c>
      <c r="L9" s="296"/>
      <c r="M9" s="296"/>
      <c r="N9" s="296"/>
    </row>
    <row r="10" spans="1:14" x14ac:dyDescent="0.2">
      <c r="F10" s="20"/>
      <c r="G10" s="8"/>
      <c r="H10" s="37"/>
      <c r="I10" s="38"/>
      <c r="J10" s="39"/>
      <c r="L10" s="296"/>
      <c r="M10" s="296"/>
      <c r="N10" s="296"/>
    </row>
    <row r="11" spans="1:14" x14ac:dyDescent="0.2">
      <c r="F11" s="5" t="s">
        <v>66</v>
      </c>
      <c r="G11" s="8"/>
      <c r="H11" s="7"/>
      <c r="I11" s="8"/>
      <c r="J11" s="9"/>
      <c r="L11" s="296"/>
      <c r="M11" s="296"/>
      <c r="N11" s="296"/>
    </row>
    <row r="12" spans="1:14" x14ac:dyDescent="0.2">
      <c r="A12" s="59">
        <v>32</v>
      </c>
      <c r="B12" s="59">
        <v>40</v>
      </c>
      <c r="C12" s="59" t="s">
        <v>69</v>
      </c>
      <c r="F12" s="20" t="s">
        <v>13</v>
      </c>
      <c r="G12" s="8" t="s">
        <v>10</v>
      </c>
      <c r="H12" s="21">
        <f t="shared" ref="H12:J14" ca="1" si="1">VLOOKUP($C12, INDIRECT("'"&amp;$B$4&amp;"'!$B$"&amp;$A12&amp;":"&amp;"$H$"&amp;$B12), H$2, FALSE)</f>
        <v>9390</v>
      </c>
      <c r="I12" s="22">
        <f t="shared" ca="1" si="1"/>
        <v>9390</v>
      </c>
      <c r="J12" s="23">
        <f t="shared" ca="1" si="1"/>
        <v>9370</v>
      </c>
      <c r="L12" s="296"/>
      <c r="M12" s="296"/>
      <c r="N12" s="296"/>
    </row>
    <row r="13" spans="1:14" x14ac:dyDescent="0.2">
      <c r="A13" s="59">
        <v>44</v>
      </c>
      <c r="B13" s="59">
        <v>52</v>
      </c>
      <c r="C13" s="59" t="s">
        <v>69</v>
      </c>
      <c r="F13" s="20" t="s">
        <v>14</v>
      </c>
      <c r="G13" s="8" t="s">
        <v>10</v>
      </c>
      <c r="H13" s="21">
        <f t="shared" ca="1" si="1"/>
        <v>9340</v>
      </c>
      <c r="I13" s="22">
        <f t="shared" ca="1" si="1"/>
        <v>9320</v>
      </c>
      <c r="J13" s="23">
        <f t="shared" ca="1" si="1"/>
        <v>9320</v>
      </c>
      <c r="L13" s="296"/>
      <c r="M13" s="296"/>
      <c r="N13" s="296"/>
    </row>
    <row r="14" spans="1:14" x14ac:dyDescent="0.2">
      <c r="A14" s="59">
        <v>56</v>
      </c>
      <c r="B14" s="59">
        <v>64</v>
      </c>
      <c r="C14" s="59" t="s">
        <v>69</v>
      </c>
      <c r="F14" s="282" t="s">
        <v>405</v>
      </c>
      <c r="G14" s="283" t="s">
        <v>10</v>
      </c>
      <c r="H14" s="284">
        <f ca="1">VLOOKUP($C14, INDIRECT("'"&amp;$B$4&amp;"'!$B$"&amp;$A14&amp;":"&amp;"$H$"&amp;$B14), H$2, FALSE)</f>
        <v>9340</v>
      </c>
      <c r="I14" s="285">
        <f t="shared" ca="1" si="1"/>
        <v>9350</v>
      </c>
      <c r="J14" s="286">
        <f t="shared" ca="1" si="1"/>
        <v>9340</v>
      </c>
      <c r="K14" s="287" t="s">
        <v>406</v>
      </c>
      <c r="L14" s="296"/>
      <c r="M14" s="296"/>
      <c r="N14" s="296"/>
    </row>
    <row r="15" spans="1:14" x14ac:dyDescent="0.2">
      <c r="F15" s="5" t="s">
        <v>17</v>
      </c>
      <c r="G15" s="24"/>
      <c r="H15" s="7"/>
      <c r="I15" s="8"/>
      <c r="J15" s="9"/>
      <c r="L15" s="296"/>
      <c r="M15" s="296"/>
      <c r="N15" s="296"/>
    </row>
    <row r="16" spans="1:14" ht="14.25" x14ac:dyDescent="0.2">
      <c r="A16" s="59">
        <v>205</v>
      </c>
      <c r="B16" s="59">
        <v>209</v>
      </c>
      <c r="C16" s="59" t="s">
        <v>70</v>
      </c>
      <c r="F16" s="20" t="s">
        <v>25</v>
      </c>
      <c r="G16" s="25" t="s">
        <v>15</v>
      </c>
      <c r="H16" s="190">
        <f ca="1">VLOOKUP($C16, INDIRECT("'"&amp;$B$4&amp;"'!$B$"&amp;$A16&amp;":"&amp;"$H$"&amp;$B16), H$2, FALSE)*H$12/H$14</f>
        <v>189.60963597430407</v>
      </c>
      <c r="I16" s="27">
        <f t="shared" ref="I16:J18" ca="1" si="2">VLOOKUP($C16, INDIRECT("'"&amp;$B$4&amp;"'!$B$"&amp;$A16&amp;":"&amp;"$H$"&amp;$B16), I$2, FALSE)*I$12/I$14</f>
        <v>189.4068449197861</v>
      </c>
      <c r="J16" s="28">
        <f t="shared" ca="1" si="2"/>
        <v>189.20578158458244</v>
      </c>
      <c r="L16" s="296"/>
      <c r="M16" s="296"/>
      <c r="N16" s="296"/>
    </row>
    <row r="17" spans="1:14" ht="14.25" x14ac:dyDescent="0.2">
      <c r="A17" s="59">
        <v>205</v>
      </c>
      <c r="B17" s="59">
        <v>209</v>
      </c>
      <c r="C17" s="59" t="s">
        <v>71</v>
      </c>
      <c r="F17" s="20" t="s">
        <v>26</v>
      </c>
      <c r="G17" s="25" t="s">
        <v>15</v>
      </c>
      <c r="H17" s="26">
        <f t="shared" ref="H17:H18" ca="1" si="3">VLOOKUP($C17, INDIRECT("'"&amp;$B$4&amp;"'!$B$"&amp;$A17&amp;":"&amp;"$H$"&amp;$B17), H$2, FALSE)*H$12/H$14</f>
        <v>6.4342612419700211</v>
      </c>
      <c r="I17" s="27">
        <f t="shared" ca="1" si="2"/>
        <v>6.4273796791443853</v>
      </c>
      <c r="J17" s="28">
        <f t="shared" ca="1" si="2"/>
        <v>6.4205567451820125</v>
      </c>
      <c r="L17" s="296"/>
      <c r="M17" s="296"/>
      <c r="N17" s="296"/>
    </row>
    <row r="18" spans="1:14" ht="14.25" x14ac:dyDescent="0.2">
      <c r="A18" s="59">
        <v>205</v>
      </c>
      <c r="B18" s="59">
        <v>209</v>
      </c>
      <c r="C18" s="59" t="s">
        <v>72</v>
      </c>
      <c r="F18" s="20" t="s">
        <v>27</v>
      </c>
      <c r="G18" s="25" t="s">
        <v>15</v>
      </c>
      <c r="H18" s="21">
        <f t="shared" ca="1" si="3"/>
        <v>387262.09850107064</v>
      </c>
      <c r="I18" s="22">
        <f t="shared" ca="1" si="2"/>
        <v>385642.78074866312</v>
      </c>
      <c r="J18" s="23">
        <f t="shared" ca="1" si="2"/>
        <v>382825.69593147753</v>
      </c>
      <c r="L18" s="296"/>
      <c r="M18" s="296"/>
      <c r="N18" s="296"/>
    </row>
    <row r="19" spans="1:14" x14ac:dyDescent="0.2">
      <c r="F19" s="5" t="s">
        <v>18</v>
      </c>
      <c r="G19" s="24"/>
      <c r="H19" s="29"/>
      <c r="I19" s="24"/>
      <c r="J19" s="30"/>
      <c r="L19" s="296"/>
      <c r="M19" s="296"/>
      <c r="N19" s="296"/>
    </row>
    <row r="20" spans="1:14" ht="14.25" x14ac:dyDescent="0.2">
      <c r="A20" s="59">
        <v>205</v>
      </c>
      <c r="B20" s="59">
        <v>209</v>
      </c>
      <c r="C20" s="59" t="s">
        <v>70</v>
      </c>
      <c r="F20" s="20" t="s">
        <v>25</v>
      </c>
      <c r="G20" s="25" t="s">
        <v>15</v>
      </c>
      <c r="H20" s="26">
        <f ca="1">VLOOKUP($C20, INDIRECT("'"&amp;$B$4&amp;"'!$B$"&amp;$A20&amp;":"&amp;"$H$"&amp;$B20), H$2, FALSE)*H$13/H$14</f>
        <v>188.6</v>
      </c>
      <c r="I20" s="27">
        <f t="shared" ref="I20:J22" ca="1" si="4">VLOOKUP($C20, INDIRECT("'"&amp;$B$4&amp;"'!$B$"&amp;$A20&amp;":"&amp;"$H$"&amp;$B20), I$2, FALSE)*I$13/I$14</f>
        <v>187.99486631016043</v>
      </c>
      <c r="J20" s="28">
        <f t="shared" ca="1" si="4"/>
        <v>188.19614561027836</v>
      </c>
      <c r="L20" s="296"/>
      <c r="M20" s="296"/>
      <c r="N20" s="296"/>
    </row>
    <row r="21" spans="1:14" ht="14.25" x14ac:dyDescent="0.2">
      <c r="A21" s="59">
        <v>205</v>
      </c>
      <c r="B21" s="59">
        <v>209</v>
      </c>
      <c r="C21" s="59" t="s">
        <v>71</v>
      </c>
      <c r="F21" s="20" t="s">
        <v>26</v>
      </c>
      <c r="G21" s="25" t="s">
        <v>15</v>
      </c>
      <c r="H21" s="26">
        <f t="shared" ref="H21:H22" ca="1" si="5">VLOOKUP($C21, INDIRECT("'"&amp;$B$4&amp;"'!$B$"&amp;$A21&amp;":"&amp;"$H$"&amp;$B21), H$2, FALSE)*H$13/H$14</f>
        <v>6.4</v>
      </c>
      <c r="I21" s="27">
        <f t="shared" ca="1" si="4"/>
        <v>6.3794652406417116</v>
      </c>
      <c r="J21" s="28">
        <f t="shared" ca="1" si="4"/>
        <v>6.3862955032119917</v>
      </c>
      <c r="L21" s="296"/>
      <c r="M21" s="296"/>
      <c r="N21" s="296"/>
    </row>
    <row r="22" spans="1:14" ht="14.25" x14ac:dyDescent="0.2">
      <c r="A22" s="59">
        <v>205</v>
      </c>
      <c r="B22" s="59">
        <v>209</v>
      </c>
      <c r="C22" s="59" t="s">
        <v>72</v>
      </c>
      <c r="F22" s="20" t="s">
        <v>27</v>
      </c>
      <c r="G22" s="25" t="s">
        <v>15</v>
      </c>
      <c r="H22" s="21">
        <f t="shared" ca="1" si="5"/>
        <v>385200</v>
      </c>
      <c r="I22" s="22">
        <f t="shared" ca="1" si="4"/>
        <v>382767.91443850269</v>
      </c>
      <c r="J22" s="23">
        <f t="shared" ca="1" si="4"/>
        <v>380782.869379015</v>
      </c>
      <c r="L22" s="296"/>
      <c r="M22" s="296"/>
      <c r="N22" s="296"/>
    </row>
    <row r="23" spans="1:14" x14ac:dyDescent="0.2">
      <c r="F23" s="5" t="s">
        <v>315</v>
      </c>
      <c r="G23" s="24"/>
      <c r="H23" s="21"/>
      <c r="I23" s="22"/>
      <c r="J23" s="23"/>
      <c r="L23" s="296"/>
      <c r="M23" s="296"/>
      <c r="N23" s="296"/>
    </row>
    <row r="24" spans="1:14" ht="14.25" x14ac:dyDescent="0.2">
      <c r="A24" s="59">
        <v>219</v>
      </c>
      <c r="B24" s="59">
        <v>223</v>
      </c>
      <c r="C24" s="59" t="s">
        <v>70</v>
      </c>
      <c r="F24" s="20" t="s">
        <v>25</v>
      </c>
      <c r="G24" s="25" t="s">
        <v>15</v>
      </c>
      <c r="H24" s="190">
        <f ca="1">VLOOKUP($C24, INDIRECT("'"&amp;$B$4&amp;"'!$B$"&amp;$A24&amp;":"&amp;"$H$"&amp;$B24), H$2, FALSE)*H$12/H$14</f>
        <v>643.4261241970022</v>
      </c>
      <c r="I24" s="27">
        <f t="shared" ref="I24:J26" ca="1" si="6">VLOOKUP($C24, INDIRECT("'"&amp;$B$4&amp;"'!$B$"&amp;$A24&amp;":"&amp;"$H$"&amp;$B24), I$2, FALSE)*I$12/I$14</f>
        <v>642.73796791443851</v>
      </c>
      <c r="J24" s="28">
        <f t="shared" ca="1" si="6"/>
        <v>642.05567451820127</v>
      </c>
      <c r="L24" s="296"/>
      <c r="M24" s="296"/>
      <c r="N24" s="296"/>
    </row>
    <row r="25" spans="1:14" ht="14.25" x14ac:dyDescent="0.2">
      <c r="A25" s="59">
        <v>219</v>
      </c>
      <c r="B25" s="59">
        <v>223</v>
      </c>
      <c r="C25" s="59" t="s">
        <v>71</v>
      </c>
      <c r="F25" s="20" t="s">
        <v>26</v>
      </c>
      <c r="G25" s="25" t="s">
        <v>15</v>
      </c>
      <c r="H25" s="26">
        <f t="shared" ref="H25:H26" ca="1" si="7">VLOOKUP($C25, INDIRECT("'"&amp;$B$4&amp;"'!$B$"&amp;$A25&amp;":"&amp;"$H$"&amp;$B25), H$2, FALSE)*H$12/H$14</f>
        <v>4.9262312633832979</v>
      </c>
      <c r="I25" s="27">
        <f t="shared" ca="1" si="6"/>
        <v>4.9209625668449197</v>
      </c>
      <c r="J25" s="28">
        <f t="shared" ca="1" si="6"/>
        <v>4.8154175588865096</v>
      </c>
      <c r="L25" s="296"/>
      <c r="M25" s="296"/>
      <c r="N25" s="296"/>
    </row>
    <row r="26" spans="1:14" ht="14.25" x14ac:dyDescent="0.2">
      <c r="A26" s="59">
        <v>219</v>
      </c>
      <c r="B26" s="59">
        <v>223</v>
      </c>
      <c r="C26" s="59" t="s">
        <v>72</v>
      </c>
      <c r="F26" s="20" t="s">
        <v>27</v>
      </c>
      <c r="G26" s="25" t="s">
        <v>15</v>
      </c>
      <c r="H26" s="21">
        <f t="shared" ca="1" si="7"/>
        <v>516349.46466809424</v>
      </c>
      <c r="I26" s="22">
        <f t="shared" ca="1" si="6"/>
        <v>514190.37433155079</v>
      </c>
      <c r="J26" s="23">
        <f t="shared" ca="1" si="6"/>
        <v>510434.26124197</v>
      </c>
      <c r="L26" s="296"/>
      <c r="M26" s="296"/>
      <c r="N26" s="296"/>
    </row>
    <row r="27" spans="1:14" x14ac:dyDescent="0.2">
      <c r="F27" s="5" t="s">
        <v>16</v>
      </c>
      <c r="G27" s="24"/>
      <c r="H27" s="29"/>
      <c r="I27" s="24"/>
      <c r="J27" s="30"/>
      <c r="L27" s="296"/>
      <c r="M27" s="296"/>
      <c r="N27" s="296"/>
    </row>
    <row r="28" spans="1:14" ht="14.25" x14ac:dyDescent="0.2">
      <c r="A28" s="59">
        <v>219</v>
      </c>
      <c r="B28" s="59">
        <v>223</v>
      </c>
      <c r="C28" s="59" t="s">
        <v>70</v>
      </c>
      <c r="F28" s="20" t="s">
        <v>25</v>
      </c>
      <c r="G28" s="25" t="s">
        <v>15</v>
      </c>
      <c r="H28" s="26">
        <f ca="1">VLOOKUP($C28, INDIRECT("'"&amp;$B$4&amp;"'!$B$"&amp;$A28&amp;":"&amp;"$H$"&amp;$B28), H$2, FALSE)*H$13/H$14</f>
        <v>640</v>
      </c>
      <c r="I28" s="27">
        <f t="shared" ref="I28:J30" ca="1" si="8">VLOOKUP($C28, INDIRECT("'"&amp;$B$4&amp;"'!$B$"&amp;$A28&amp;":"&amp;"$H$"&amp;$B28), I$2, FALSE)*I$13/I$14</f>
        <v>637.94652406417117</v>
      </c>
      <c r="J28" s="28">
        <f t="shared" ca="1" si="8"/>
        <v>638.62955032119919</v>
      </c>
      <c r="L28" s="296"/>
      <c r="M28" s="296"/>
      <c r="N28" s="296"/>
    </row>
    <row r="29" spans="1:14" ht="14.25" x14ac:dyDescent="0.2">
      <c r="A29" s="59">
        <v>219</v>
      </c>
      <c r="B29" s="59">
        <v>223</v>
      </c>
      <c r="C29" s="59" t="s">
        <v>71</v>
      </c>
      <c r="F29" s="20" t="s">
        <v>26</v>
      </c>
      <c r="G29" s="25" t="s">
        <v>15</v>
      </c>
      <c r="H29" s="26">
        <f t="shared" ref="H29:H30" ca="1" si="9">VLOOKUP($C29, INDIRECT("'"&amp;$B$4&amp;"'!$B$"&amp;$A29&amp;":"&amp;"$H$"&amp;$B29), H$2, FALSE)*H$13/H$14</f>
        <v>4.9000000000000004</v>
      </c>
      <c r="I29" s="27">
        <f t="shared" ca="1" si="8"/>
        <v>4.8842780748663106</v>
      </c>
      <c r="J29" s="28">
        <f t="shared" ca="1" si="8"/>
        <v>4.7897216274089933</v>
      </c>
      <c r="L29" s="296"/>
      <c r="M29" s="296"/>
      <c r="N29" s="296"/>
    </row>
    <row r="30" spans="1:14" ht="14.25" x14ac:dyDescent="0.2">
      <c r="A30" s="59">
        <v>219</v>
      </c>
      <c r="B30" s="59">
        <v>223</v>
      </c>
      <c r="C30" s="59" t="s">
        <v>72</v>
      </c>
      <c r="F30" s="20" t="s">
        <v>27</v>
      </c>
      <c r="G30" s="25" t="s">
        <v>15</v>
      </c>
      <c r="H30" s="21">
        <f t="shared" ca="1" si="9"/>
        <v>513600</v>
      </c>
      <c r="I30" s="22">
        <f t="shared" ca="1" si="8"/>
        <v>510357.21925133688</v>
      </c>
      <c r="J30" s="23">
        <f t="shared" ca="1" si="8"/>
        <v>507710.49250535329</v>
      </c>
      <c r="L30" s="296"/>
      <c r="M30" s="296"/>
      <c r="N30" s="296"/>
    </row>
    <row r="31" spans="1:14" x14ac:dyDescent="0.2">
      <c r="F31" s="4" t="s">
        <v>19</v>
      </c>
      <c r="G31" s="25"/>
      <c r="H31" s="29"/>
      <c r="I31" s="24"/>
      <c r="J31" s="30"/>
      <c r="L31" s="296"/>
      <c r="M31" s="296"/>
      <c r="N31" s="296"/>
    </row>
    <row r="32" spans="1:14" x14ac:dyDescent="0.2">
      <c r="F32" s="31"/>
      <c r="G32" s="8"/>
      <c r="H32" s="53"/>
      <c r="I32" s="54"/>
      <c r="J32" s="55"/>
      <c r="L32" s="296"/>
      <c r="M32" s="296"/>
      <c r="N32" s="296"/>
    </row>
    <row r="33" spans="1:14" ht="25.5" x14ac:dyDescent="0.2">
      <c r="A33" s="303" t="s">
        <v>343</v>
      </c>
      <c r="B33" s="303"/>
      <c r="C33" s="303"/>
      <c r="D33" s="275"/>
      <c r="F33" s="31" t="s">
        <v>267</v>
      </c>
      <c r="G33" s="8" t="s">
        <v>7</v>
      </c>
      <c r="H33" s="53">
        <v>490</v>
      </c>
      <c r="I33" s="54">
        <v>490</v>
      </c>
      <c r="J33" s="55">
        <v>490</v>
      </c>
      <c r="L33" s="296"/>
      <c r="M33" s="296"/>
      <c r="N33" s="296"/>
    </row>
    <row r="34" spans="1:14" ht="13.5" thickBot="1" x14ac:dyDescent="0.25">
      <c r="A34" s="59">
        <v>16</v>
      </c>
      <c r="B34" s="59">
        <v>16</v>
      </c>
      <c r="C34" s="59" t="s">
        <v>87</v>
      </c>
      <c r="F34" s="32" t="s">
        <v>6</v>
      </c>
      <c r="G34" s="52" t="s">
        <v>11</v>
      </c>
      <c r="H34" s="56">
        <f t="shared" ref="H34:J34" ca="1" si="10">VLOOKUP($C34, INDIRECT("'"&amp;$B$4&amp;"'!$B$"&amp;$A34&amp;":"&amp;"$H$"&amp;$B34), H$2, FALSE)</f>
        <v>4.3400000000000001E-2</v>
      </c>
      <c r="I34" s="57">
        <f t="shared" ca="1" si="10"/>
        <v>4.3400000000000001E-2</v>
      </c>
      <c r="J34" s="58">
        <f t="shared" ca="1" si="10"/>
        <v>4.3400000000000001E-2</v>
      </c>
      <c r="L34" s="296"/>
      <c r="M34" s="296"/>
      <c r="N34" s="296"/>
    </row>
    <row r="35" spans="1:14" ht="12.75" customHeight="1" x14ac:dyDescent="0.2">
      <c r="F35" s="6" t="s">
        <v>403</v>
      </c>
      <c r="G35" s="24"/>
      <c r="H35" s="34"/>
      <c r="I35" s="35"/>
      <c r="J35" s="36"/>
      <c r="L35" s="296"/>
      <c r="M35" s="296"/>
      <c r="N35" s="296"/>
    </row>
    <row r="36" spans="1:14" x14ac:dyDescent="0.2">
      <c r="A36" s="59">
        <v>184</v>
      </c>
      <c r="B36" s="59">
        <v>187</v>
      </c>
      <c r="C36" s="59" t="s">
        <v>163</v>
      </c>
      <c r="D36" s="59" t="s">
        <v>165</v>
      </c>
      <c r="F36" s="20" t="s">
        <v>22</v>
      </c>
      <c r="G36" s="8" t="s">
        <v>9</v>
      </c>
      <c r="H36" s="191">
        <f t="shared" ref="H36:J37" ca="1" si="11">VLOOKUP($C36, INDIRECT("'"&amp;$B$4&amp;"'!$B$"&amp;$A36&amp;":"&amp;"$H$"&amp;$B36), H$2, FALSE)-VLOOKUP($D36, INDIRECT("'"&amp;$B$4&amp;"'!$B$"&amp;$A36&amp;":"&amp;"$H$"&amp;$B36), H$2, FALSE)</f>
        <v>0.93</v>
      </c>
      <c r="I36" s="41">
        <f t="shared" ca="1" si="11"/>
        <v>0.93</v>
      </c>
      <c r="J36" s="42">
        <f t="shared" ca="1" si="11"/>
        <v>0.93</v>
      </c>
      <c r="L36" s="296"/>
      <c r="M36" s="296"/>
      <c r="N36" s="296"/>
    </row>
    <row r="37" spans="1:14" x14ac:dyDescent="0.2">
      <c r="A37" s="59">
        <v>190</v>
      </c>
      <c r="B37" s="59">
        <v>193</v>
      </c>
      <c r="C37" s="59" t="s">
        <v>163</v>
      </c>
      <c r="D37" s="59" t="s">
        <v>165</v>
      </c>
      <c r="F37" s="20" t="s">
        <v>23</v>
      </c>
      <c r="G37" s="8" t="s">
        <v>9</v>
      </c>
      <c r="H37" s="40">
        <f t="shared" ca="1" si="11"/>
        <v>10.210000000000001</v>
      </c>
      <c r="I37" s="41">
        <f t="shared" ca="1" si="11"/>
        <v>10.210000000000001</v>
      </c>
      <c r="J37" s="42">
        <f t="shared" ca="1" si="11"/>
        <v>10.210000000000001</v>
      </c>
      <c r="L37" s="296"/>
      <c r="M37" s="296"/>
      <c r="N37" s="296"/>
    </row>
    <row r="38" spans="1:14" ht="13.5" thickBot="1" x14ac:dyDescent="0.25">
      <c r="A38" s="59">
        <v>177</v>
      </c>
      <c r="B38" s="59">
        <v>180</v>
      </c>
      <c r="C38" s="59" t="s">
        <v>160</v>
      </c>
      <c r="F38" s="32" t="s">
        <v>404</v>
      </c>
      <c r="G38" s="33" t="s">
        <v>8</v>
      </c>
      <c r="H38" s="43">
        <f t="shared" ref="H38:J38" ca="1" si="12">VLOOKUP($C38, INDIRECT("'"&amp;$B$4&amp;"'!$B$"&amp;$A38&amp;":"&amp;"$H$"&amp;$B38), H$2, FALSE)</f>
        <v>26600</v>
      </c>
      <c r="I38" s="44">
        <f t="shared" ca="1" si="12"/>
        <v>26600</v>
      </c>
      <c r="J38" s="45">
        <f t="shared" ca="1" si="12"/>
        <v>26600</v>
      </c>
      <c r="L38" s="296"/>
      <c r="M38" s="296"/>
      <c r="N38" s="296"/>
    </row>
    <row r="40" spans="1:14" x14ac:dyDescent="0.2">
      <c r="F40" s="10" t="s">
        <v>419</v>
      </c>
    </row>
  </sheetData>
  <mergeCells count="3">
    <mergeCell ref="H4:J4"/>
    <mergeCell ref="H6:J6"/>
    <mergeCell ref="A33:C33"/>
  </mergeCells>
  <printOptions horizontalCentered="1" gridLines="1"/>
  <pageMargins left="0.7" right="0.7" top="0.75" bottom="0.75" header="0.3" footer="0.3"/>
  <pageSetup scale="85" orientation="landscape" r:id="rId1"/>
  <headerFooter>
    <oddHeader>&amp;C&amp;F</oddHeader>
    <oddFooter>&amp;L&amp;D&amp;C&amp;A</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65"/>
  <sheetViews>
    <sheetView topLeftCell="D3" workbookViewId="0">
      <selection activeCell="D3" sqref="D3"/>
    </sheetView>
  </sheetViews>
  <sheetFormatPr defaultRowHeight="12.75" outlineLevelRow="1" outlineLevelCol="1" x14ac:dyDescent="0.2"/>
  <cols>
    <col min="1" max="1" width="13" style="59" hidden="1" customWidth="1" outlineLevel="1"/>
    <col min="2" max="2" width="13.33203125" style="59" hidden="1" customWidth="1" outlineLevel="1"/>
    <col min="3" max="3" width="38" style="59" hidden="1" customWidth="1" outlineLevel="1"/>
    <col min="4" max="4" width="1.83203125" style="10" customWidth="1" collapsed="1"/>
    <col min="5" max="5" width="43.5" style="10" customWidth="1"/>
    <col min="6" max="6" width="16" style="10" customWidth="1"/>
    <col min="7" max="7" width="16.33203125" style="10" customWidth="1"/>
    <col min="8" max="8" width="16.5" style="10" customWidth="1"/>
    <col min="9" max="9" width="16.33203125" style="10" customWidth="1"/>
    <col min="10" max="10" width="16.1640625" style="10" customWidth="1"/>
    <col min="11" max="11" width="17.5" style="10" customWidth="1"/>
    <col min="12" max="12" width="17.83203125" style="10" customWidth="1"/>
    <col min="13" max="16384" width="9.33203125" style="10"/>
  </cols>
  <sheetData>
    <row r="1" spans="1:19" s="59" customFormat="1" hidden="1" outlineLevel="1" x14ac:dyDescent="0.2">
      <c r="G1" s="59" t="s">
        <v>58</v>
      </c>
      <c r="H1" s="59" t="s">
        <v>59</v>
      </c>
      <c r="I1" s="59" t="s">
        <v>60</v>
      </c>
      <c r="J1" s="59" t="s">
        <v>61</v>
      </c>
      <c r="K1" s="59" t="s">
        <v>62</v>
      </c>
      <c r="L1" s="59" t="s">
        <v>63</v>
      </c>
    </row>
    <row r="2" spans="1:19" s="59" customFormat="1" hidden="1" outlineLevel="1" x14ac:dyDescent="0.2">
      <c r="G2" s="59">
        <f>MATCH(G1, '[1]1x HA.02 25ppm'!$B$6:$H$6)</f>
        <v>7</v>
      </c>
      <c r="H2" s="59">
        <f>MATCH(H1, '[1]1x HA.02 25ppm'!$B$6:$H$6)</f>
        <v>6</v>
      </c>
      <c r="I2" s="59">
        <f>MATCH(I1, '[1]1x HA.02 25ppm'!$B$6:$H$6)</f>
        <v>4</v>
      </c>
      <c r="J2" s="59">
        <f>MATCH(J1, '[1]1x HA.02 25ppm'!$B$6:$H$6)</f>
        <v>5</v>
      </c>
      <c r="K2" s="59">
        <f>MATCH(K1, '[1]1x HA.02 25ppm'!$B$6:$H$6)</f>
        <v>3</v>
      </c>
      <c r="L2" s="59">
        <f>MATCH(L1, '[1]1x HA.02 25ppm'!$B$6:$H$6)</f>
        <v>2</v>
      </c>
    </row>
    <row r="3" spans="1:19" ht="13.5" collapsed="1" thickBot="1" x14ac:dyDescent="0.25"/>
    <row r="4" spans="1:19" ht="14.25" x14ac:dyDescent="0.2">
      <c r="A4" s="60" t="s">
        <v>73</v>
      </c>
      <c r="B4" s="59" t="s">
        <v>270</v>
      </c>
      <c r="E4" s="11"/>
      <c r="F4" s="12"/>
      <c r="G4" s="297" t="s">
        <v>360</v>
      </c>
      <c r="H4" s="298"/>
      <c r="I4" s="298"/>
      <c r="J4" s="298"/>
      <c r="K4" s="298"/>
      <c r="L4" s="299"/>
    </row>
    <row r="5" spans="1:19" ht="26.25" thickBot="1" x14ac:dyDescent="0.25">
      <c r="E5" s="3" t="s">
        <v>0</v>
      </c>
      <c r="F5" s="2" t="s">
        <v>1</v>
      </c>
      <c r="G5" s="13" t="s">
        <v>3</v>
      </c>
      <c r="H5" s="13" t="s">
        <v>28</v>
      </c>
      <c r="I5" s="13" t="s">
        <v>20</v>
      </c>
      <c r="J5" s="14" t="s">
        <v>21</v>
      </c>
      <c r="K5" s="13" t="s">
        <v>4</v>
      </c>
      <c r="L5" s="15" t="s">
        <v>5</v>
      </c>
    </row>
    <row r="6" spans="1:19" ht="25.5" customHeight="1" x14ac:dyDescent="0.2">
      <c r="A6" s="189" t="s">
        <v>190</v>
      </c>
      <c r="B6" s="189" t="s">
        <v>191</v>
      </c>
      <c r="C6" s="189" t="s">
        <v>192</v>
      </c>
      <c r="E6" s="4" t="s">
        <v>12</v>
      </c>
      <c r="F6" s="1"/>
      <c r="G6" s="300"/>
      <c r="H6" s="301"/>
      <c r="I6" s="301"/>
      <c r="J6" s="301"/>
      <c r="K6" s="301"/>
      <c r="L6" s="302"/>
    </row>
    <row r="7" spans="1:19" x14ac:dyDescent="0.2">
      <c r="E7" s="5" t="s">
        <v>64</v>
      </c>
      <c r="F7" s="1"/>
      <c r="G7" s="16"/>
      <c r="H7" s="17"/>
      <c r="I7" s="17"/>
      <c r="J7" s="18"/>
      <c r="K7" s="17"/>
      <c r="L7" s="19"/>
    </row>
    <row r="8" spans="1:19" x14ac:dyDescent="0.2">
      <c r="A8" s="59">
        <v>101</v>
      </c>
      <c r="B8" s="59">
        <v>104</v>
      </c>
      <c r="C8" s="59" t="s">
        <v>65</v>
      </c>
      <c r="E8" s="20" t="s">
        <v>67</v>
      </c>
      <c r="F8" s="8" t="s">
        <v>2</v>
      </c>
      <c r="G8" s="37">
        <f ca="1">VLOOKUP($C8, INDIRECT("'"&amp;$B$4&amp;"'!$B$"&amp;$A8&amp;":"&amp;"$H$"&amp;$B8), G$2, FALSE)/1000</f>
        <v>517.9</v>
      </c>
      <c r="H8" s="38">
        <f t="shared" ref="H8:L9" ca="1" si="0">VLOOKUP($C8, INDIRECT("'"&amp;$B$4&amp;"'!$B$"&amp;$A8&amp;":"&amp;"$H$"&amp;$B8), H$2, FALSE)/1000</f>
        <v>512.29999999999995</v>
      </c>
      <c r="I8" s="38">
        <f t="shared" ca="1" si="0"/>
        <v>514.70000000000005</v>
      </c>
      <c r="J8" s="38">
        <f t="shared" ca="1" si="0"/>
        <v>514.70000000000005</v>
      </c>
      <c r="K8" s="38">
        <f t="shared" ca="1" si="0"/>
        <v>513.29999999999995</v>
      </c>
      <c r="L8" s="39">
        <f t="shared" ca="1" si="0"/>
        <v>509.9</v>
      </c>
      <c r="N8" s="50"/>
      <c r="O8" s="50"/>
      <c r="P8" s="50"/>
      <c r="Q8" s="50"/>
      <c r="R8" s="50"/>
      <c r="S8" s="50"/>
    </row>
    <row r="9" spans="1:19" x14ac:dyDescent="0.2">
      <c r="A9" s="59">
        <v>67</v>
      </c>
      <c r="B9" s="59">
        <v>70</v>
      </c>
      <c r="C9" s="59" t="s">
        <v>65</v>
      </c>
      <c r="E9" s="20" t="s">
        <v>68</v>
      </c>
      <c r="F9" s="8" t="s">
        <v>2</v>
      </c>
      <c r="G9" s="37">
        <f t="shared" ref="G9" ca="1" si="1">VLOOKUP($C9, INDIRECT("'"&amp;$B$4&amp;"'!$B$"&amp;$A9&amp;":"&amp;"$H$"&amp;$B9), G$2, FALSE)/1000</f>
        <v>547.79999999999995</v>
      </c>
      <c r="H9" s="38">
        <f t="shared" ca="1" si="0"/>
        <v>546.70000000000005</v>
      </c>
      <c r="I9" s="38">
        <f t="shared" ca="1" si="0"/>
        <v>544.79999999999995</v>
      </c>
      <c r="J9" s="38">
        <f t="shared" ca="1" si="0"/>
        <v>544.79999999999995</v>
      </c>
      <c r="K9" s="38">
        <f t="shared" ca="1" si="0"/>
        <v>542.1</v>
      </c>
      <c r="L9" s="39">
        <f t="shared" ca="1" si="0"/>
        <v>539.20000000000005</v>
      </c>
      <c r="N9" s="50"/>
      <c r="O9" s="50"/>
      <c r="P9" s="50"/>
      <c r="Q9" s="50"/>
      <c r="R9" s="50"/>
      <c r="S9" s="50"/>
    </row>
    <row r="10" spans="1:19" x14ac:dyDescent="0.2">
      <c r="E10" s="20"/>
      <c r="F10" s="8"/>
      <c r="G10" s="37"/>
      <c r="H10" s="38"/>
      <c r="I10" s="38"/>
      <c r="J10" s="38"/>
      <c r="K10" s="38"/>
      <c r="L10" s="39"/>
      <c r="N10" s="50"/>
      <c r="O10" s="50"/>
      <c r="P10" s="50"/>
      <c r="Q10" s="50"/>
      <c r="R10" s="50"/>
      <c r="S10" s="50"/>
    </row>
    <row r="11" spans="1:19" x14ac:dyDescent="0.2">
      <c r="E11" s="5" t="s">
        <v>272</v>
      </c>
      <c r="F11" s="8"/>
      <c r="G11" s="37"/>
      <c r="H11" s="38"/>
      <c r="I11" s="38"/>
      <c r="J11" s="38"/>
      <c r="K11" s="38"/>
      <c r="L11" s="39"/>
      <c r="N11" s="50"/>
      <c r="O11" s="50"/>
      <c r="P11" s="50"/>
      <c r="Q11" s="50"/>
      <c r="R11" s="50"/>
      <c r="S11" s="50"/>
    </row>
    <row r="12" spans="1:19" x14ac:dyDescent="0.2">
      <c r="A12" s="59">
        <v>111</v>
      </c>
      <c r="B12" s="59">
        <v>114</v>
      </c>
      <c r="C12" s="59" t="s">
        <v>65</v>
      </c>
      <c r="E12" s="20" t="s">
        <v>67</v>
      </c>
      <c r="F12" s="8" t="s">
        <v>2</v>
      </c>
      <c r="G12" s="37">
        <f ca="1">VLOOKUP($C12, INDIRECT("'"&amp;$B$4&amp;"'!$B$"&amp;$A12&amp;":"&amp;"$H$"&amp;$B12), G$2, FALSE)/1000</f>
        <v>235.7</v>
      </c>
      <c r="H12" s="38">
        <f t="shared" ref="H12:L13" ca="1" si="2">VLOOKUP($C12, INDIRECT("'"&amp;$B$4&amp;"'!$B$"&amp;$A12&amp;":"&amp;"$H$"&amp;$B12), H$2, FALSE)/1000</f>
        <v>232.3</v>
      </c>
      <c r="I12" s="38">
        <f t="shared" ca="1" si="2"/>
        <v>234</v>
      </c>
      <c r="J12" s="38">
        <f t="shared" ca="1" si="2"/>
        <v>234</v>
      </c>
      <c r="K12" s="38">
        <f t="shared" ca="1" si="2"/>
        <v>233.4</v>
      </c>
      <c r="L12" s="39">
        <f t="shared" ca="1" si="2"/>
        <v>232.1</v>
      </c>
      <c r="N12" s="50"/>
      <c r="O12" s="50"/>
      <c r="P12" s="50"/>
      <c r="Q12" s="50"/>
      <c r="R12" s="50"/>
      <c r="S12" s="50"/>
    </row>
    <row r="13" spans="1:19" x14ac:dyDescent="0.2">
      <c r="A13" s="59">
        <v>77</v>
      </c>
      <c r="B13" s="59">
        <v>80</v>
      </c>
      <c r="C13" s="59" t="s">
        <v>65</v>
      </c>
      <c r="E13" s="20" t="s">
        <v>68</v>
      </c>
      <c r="F13" s="8" t="s">
        <v>2</v>
      </c>
      <c r="G13" s="37">
        <f t="shared" ref="G13" ca="1" si="3">VLOOKUP($C13, INDIRECT("'"&amp;$B$4&amp;"'!$B$"&amp;$A13&amp;":"&amp;"$H$"&amp;$B13), G$2, FALSE)/1000</f>
        <v>199.5</v>
      </c>
      <c r="H13" s="38">
        <f t="shared" ca="1" si="2"/>
        <v>199.3</v>
      </c>
      <c r="I13" s="38">
        <f t="shared" ca="1" si="2"/>
        <v>198.7</v>
      </c>
      <c r="J13" s="38">
        <f t="shared" ca="1" si="2"/>
        <v>198.7</v>
      </c>
      <c r="K13" s="38">
        <f t="shared" ca="1" si="2"/>
        <v>198</v>
      </c>
      <c r="L13" s="39">
        <f t="shared" ca="1" si="2"/>
        <v>197</v>
      </c>
      <c r="N13" s="50"/>
      <c r="O13" s="50"/>
      <c r="P13" s="50"/>
      <c r="Q13" s="50"/>
      <c r="R13" s="50"/>
      <c r="S13" s="50"/>
    </row>
    <row r="14" spans="1:19" x14ac:dyDescent="0.2">
      <c r="E14" s="20"/>
      <c r="F14" s="8"/>
      <c r="G14" s="37"/>
      <c r="H14" s="38"/>
      <c r="I14" s="38"/>
      <c r="J14" s="38"/>
      <c r="K14" s="38"/>
      <c r="L14" s="39"/>
      <c r="N14" s="50"/>
      <c r="O14" s="50"/>
      <c r="P14" s="50"/>
      <c r="Q14" s="50"/>
      <c r="R14" s="50"/>
      <c r="S14" s="50"/>
    </row>
    <row r="15" spans="1:19" x14ac:dyDescent="0.2">
      <c r="E15" s="5" t="s">
        <v>274</v>
      </c>
      <c r="F15" s="8"/>
      <c r="G15" s="7"/>
      <c r="H15" s="8"/>
      <c r="I15" s="8"/>
      <c r="J15" s="8"/>
      <c r="K15" s="8"/>
      <c r="L15" s="9"/>
      <c r="N15" s="50"/>
      <c r="O15" s="50"/>
      <c r="P15" s="50"/>
      <c r="Q15" s="50"/>
      <c r="R15" s="50"/>
      <c r="S15" s="50"/>
    </row>
    <row r="16" spans="1:19" x14ac:dyDescent="0.2">
      <c r="A16" s="59">
        <v>101</v>
      </c>
      <c r="B16" s="59">
        <v>104</v>
      </c>
      <c r="C16" s="59" t="s">
        <v>69</v>
      </c>
      <c r="E16" s="20" t="s">
        <v>67</v>
      </c>
      <c r="F16" s="8" t="s">
        <v>10</v>
      </c>
      <c r="G16" s="21">
        <f ca="1">VLOOKUP($C16, INDIRECT("'"&amp;$B$4&amp;"'!$B$"&amp;$A16&amp;":"&amp;"$H$"&amp;$B16), G$2, FALSE)</f>
        <v>6370</v>
      </c>
      <c r="H16" s="22">
        <f t="shared" ref="H16:L18" ca="1" si="4">VLOOKUP($C16, INDIRECT("'"&amp;$B$4&amp;"'!$B$"&amp;$A16&amp;":"&amp;"$H$"&amp;$B16), H$2, FALSE)</f>
        <v>6370</v>
      </c>
      <c r="I16" s="22">
        <f t="shared" ca="1" si="4"/>
        <v>6360</v>
      </c>
      <c r="J16" s="22">
        <f t="shared" ca="1" si="4"/>
        <v>6360</v>
      </c>
      <c r="K16" s="22">
        <f t="shared" ca="1" si="4"/>
        <v>6360</v>
      </c>
      <c r="L16" s="23">
        <f t="shared" ca="1" si="4"/>
        <v>6370</v>
      </c>
      <c r="N16" s="50"/>
      <c r="O16" s="50"/>
      <c r="P16" s="50"/>
      <c r="Q16" s="50"/>
      <c r="R16" s="50"/>
      <c r="S16" s="50"/>
    </row>
    <row r="17" spans="1:19" x14ac:dyDescent="0.2">
      <c r="A17" s="59">
        <v>67</v>
      </c>
      <c r="B17" s="59">
        <v>70</v>
      </c>
      <c r="C17" s="59" t="s">
        <v>69</v>
      </c>
      <c r="E17" s="20" t="s">
        <v>68</v>
      </c>
      <c r="F17" s="8" t="s">
        <v>10</v>
      </c>
      <c r="G17" s="21">
        <f ca="1">VLOOKUP($C17, INDIRECT("'"&amp;$B$4&amp;"'!$B$"&amp;$A17&amp;":"&amp;"$H$"&amp;$B17), G$2, FALSE)</f>
        <v>6340</v>
      </c>
      <c r="H17" s="22">
        <f t="shared" ca="1" si="4"/>
        <v>6350</v>
      </c>
      <c r="I17" s="22">
        <f t="shared" ca="1" si="4"/>
        <v>6350</v>
      </c>
      <c r="J17" s="22">
        <f t="shared" ca="1" si="4"/>
        <v>6350</v>
      </c>
      <c r="K17" s="22">
        <f t="shared" ca="1" si="4"/>
        <v>6360</v>
      </c>
      <c r="L17" s="23">
        <f t="shared" ca="1" si="4"/>
        <v>6360</v>
      </c>
      <c r="N17" s="50"/>
      <c r="O17" s="50"/>
      <c r="P17" s="50"/>
      <c r="Q17" s="50"/>
      <c r="R17" s="50"/>
      <c r="S17" s="50"/>
    </row>
    <row r="18" spans="1:19" x14ac:dyDescent="0.2">
      <c r="A18" s="59">
        <v>82</v>
      </c>
      <c r="B18" s="59">
        <v>85</v>
      </c>
      <c r="C18" s="59" t="s">
        <v>69</v>
      </c>
      <c r="E18" s="282" t="s">
        <v>407</v>
      </c>
      <c r="F18" s="8" t="s">
        <v>10</v>
      </c>
      <c r="G18" s="21">
        <f ca="1">VLOOKUP($C18, INDIRECT("'"&amp;$B$4&amp;"'!$B$"&amp;$A18&amp;":"&amp;"$H$"&amp;$B18), G$2, FALSE)</f>
        <v>6300</v>
      </c>
      <c r="H18" s="22">
        <f t="shared" ca="1" si="4"/>
        <v>6310</v>
      </c>
      <c r="I18" s="22">
        <f t="shared" ca="1" si="4"/>
        <v>6300</v>
      </c>
      <c r="J18" s="22">
        <f t="shared" ca="1" si="4"/>
        <v>6300</v>
      </c>
      <c r="K18" s="22">
        <f t="shared" ca="1" si="4"/>
        <v>6300</v>
      </c>
      <c r="L18" s="23">
        <f t="shared" ca="1" si="4"/>
        <v>6300</v>
      </c>
      <c r="N18" s="50"/>
      <c r="O18" s="50"/>
      <c r="P18" s="50"/>
      <c r="Q18" s="50"/>
      <c r="R18" s="50"/>
      <c r="S18" s="50"/>
    </row>
    <row r="19" spans="1:19" x14ac:dyDescent="0.2">
      <c r="E19" s="5" t="s">
        <v>273</v>
      </c>
      <c r="F19" s="8"/>
      <c r="G19" s="21"/>
      <c r="H19" s="22"/>
      <c r="I19" s="22"/>
      <c r="J19" s="22"/>
      <c r="K19" s="22"/>
      <c r="L19" s="23"/>
      <c r="N19" s="50"/>
      <c r="O19" s="50"/>
      <c r="P19" s="50"/>
      <c r="Q19" s="50"/>
      <c r="R19" s="50"/>
      <c r="S19" s="50"/>
    </row>
    <row r="20" spans="1:19" x14ac:dyDescent="0.2">
      <c r="A20" s="59">
        <v>111</v>
      </c>
      <c r="B20" s="59">
        <v>114</v>
      </c>
      <c r="C20" s="59" t="s">
        <v>69</v>
      </c>
      <c r="E20" s="20" t="s">
        <v>67</v>
      </c>
      <c r="F20" s="8" t="s">
        <v>10</v>
      </c>
      <c r="G20" s="21">
        <f ca="1">VLOOKUP($C20, INDIRECT("'"&amp;$B$4&amp;"'!$B$"&amp;$A20&amp;":"&amp;"$H$"&amp;$B20), G$2, FALSE)</f>
        <v>7130</v>
      </c>
      <c r="H20" s="22">
        <f t="shared" ref="H20:L21" ca="1" si="5">VLOOKUP($C20, INDIRECT("'"&amp;$B$4&amp;"'!$B$"&amp;$A20&amp;":"&amp;"$H$"&amp;$B20), H$2, FALSE)</f>
        <v>7180</v>
      </c>
      <c r="I20" s="22">
        <f t="shared" ca="1" si="5"/>
        <v>7130</v>
      </c>
      <c r="J20" s="22">
        <f t="shared" ca="1" si="5"/>
        <v>7130</v>
      </c>
      <c r="K20" s="22">
        <f t="shared" ca="1" si="5"/>
        <v>7130</v>
      </c>
      <c r="L20" s="23">
        <f t="shared" ca="1" si="5"/>
        <v>7130</v>
      </c>
      <c r="N20" s="50"/>
      <c r="O20" s="50"/>
      <c r="P20" s="50"/>
      <c r="Q20" s="50"/>
      <c r="R20" s="50"/>
      <c r="S20" s="50"/>
    </row>
    <row r="21" spans="1:19" x14ac:dyDescent="0.2">
      <c r="A21" s="59">
        <v>77</v>
      </c>
      <c r="B21" s="59">
        <v>80</v>
      </c>
      <c r="C21" s="59" t="s">
        <v>69</v>
      </c>
      <c r="E21" s="20" t="s">
        <v>68</v>
      </c>
      <c r="F21" s="8" t="s">
        <v>10</v>
      </c>
      <c r="G21" s="21">
        <f ca="1">VLOOKUP($C21, INDIRECT("'"&amp;$B$4&amp;"'!$B$"&amp;$A21&amp;":"&amp;"$H$"&amp;$B21), G$2, FALSE)</f>
        <v>7540</v>
      </c>
      <c r="H21" s="22">
        <f t="shared" ca="1" si="5"/>
        <v>7530</v>
      </c>
      <c r="I21" s="22">
        <f t="shared" ca="1" si="5"/>
        <v>7550</v>
      </c>
      <c r="J21" s="22">
        <f t="shared" ca="1" si="5"/>
        <v>7550</v>
      </c>
      <c r="K21" s="22">
        <f t="shared" ca="1" si="5"/>
        <v>7560</v>
      </c>
      <c r="L21" s="23">
        <f t="shared" ca="1" si="5"/>
        <v>7570</v>
      </c>
      <c r="N21" s="50"/>
      <c r="O21" s="50"/>
      <c r="P21" s="50"/>
      <c r="Q21" s="50"/>
      <c r="R21" s="50"/>
      <c r="S21" s="50"/>
    </row>
    <row r="22" spans="1:19" x14ac:dyDescent="0.2">
      <c r="E22" s="282"/>
      <c r="F22" s="8"/>
      <c r="G22" s="21"/>
      <c r="H22" s="22"/>
      <c r="I22" s="22"/>
      <c r="J22" s="22"/>
      <c r="K22" s="22"/>
      <c r="L22" s="23"/>
      <c r="M22" s="287"/>
      <c r="N22" s="50"/>
      <c r="O22" s="50"/>
      <c r="P22" s="50"/>
      <c r="Q22" s="50"/>
      <c r="R22" s="50"/>
      <c r="S22" s="50"/>
    </row>
    <row r="23" spans="1:19" x14ac:dyDescent="0.2">
      <c r="E23" s="5" t="s">
        <v>17</v>
      </c>
      <c r="F23" s="24"/>
      <c r="G23" s="7"/>
      <c r="H23" s="8"/>
      <c r="I23" s="8"/>
      <c r="J23" s="8"/>
      <c r="K23" s="8"/>
      <c r="L23" s="9"/>
      <c r="N23" s="50"/>
      <c r="O23" s="50"/>
      <c r="P23" s="50"/>
      <c r="Q23" s="50"/>
      <c r="R23" s="50"/>
      <c r="S23" s="50"/>
    </row>
    <row r="24" spans="1:19" ht="14.25" x14ac:dyDescent="0.2">
      <c r="A24" s="59">
        <v>239</v>
      </c>
      <c r="B24" s="59">
        <v>242</v>
      </c>
      <c r="C24" s="59" t="s">
        <v>271</v>
      </c>
      <c r="E24" s="20" t="s">
        <v>25</v>
      </c>
      <c r="F24" s="25" t="s">
        <v>15</v>
      </c>
      <c r="G24" s="190">
        <f ca="1">VLOOKUP($C24, INDIRECT("'"&amp;$B$4&amp;"'!$B$"&amp;$A24&amp;":"&amp;"$H$"&amp;$B24), G$2, FALSE)*G$16/G$18</f>
        <v>26.693333333333332</v>
      </c>
      <c r="H24" s="27">
        <f t="shared" ref="H24:L26" ca="1" si="6">VLOOKUP($C24, INDIRECT("'"&amp;$B$4&amp;"'!$B$"&amp;$A24&amp;":"&amp;"$H$"&amp;$B24), H$2, FALSE)*H$16/H$18</f>
        <v>26.651030110935025</v>
      </c>
      <c r="I24" s="27">
        <f t="shared" ca="1" si="6"/>
        <v>26.651428571428571</v>
      </c>
      <c r="J24" s="27">
        <f t="shared" ca="1" si="6"/>
        <v>26.651428571428571</v>
      </c>
      <c r="K24" s="27">
        <f t="shared" ca="1" si="6"/>
        <v>26.651428571428571</v>
      </c>
      <c r="L24" s="28">
        <f t="shared" ca="1" si="6"/>
        <v>26.693333333333332</v>
      </c>
      <c r="N24" s="50"/>
      <c r="O24" s="50"/>
      <c r="P24" s="50"/>
      <c r="Q24" s="50"/>
      <c r="R24" s="50"/>
      <c r="S24" s="50"/>
    </row>
    <row r="25" spans="1:19" ht="14.25" x14ac:dyDescent="0.2">
      <c r="A25" s="59">
        <v>239</v>
      </c>
      <c r="B25" s="59">
        <v>242</v>
      </c>
      <c r="C25" s="59" t="s">
        <v>71</v>
      </c>
      <c r="E25" s="20" t="s">
        <v>26</v>
      </c>
      <c r="F25" s="25" t="s">
        <v>15</v>
      </c>
      <c r="G25" s="26">
        <f t="shared" ref="G25:G26" ca="1" si="7">VLOOKUP($C25, INDIRECT("'"&amp;$B$4&amp;"'!$B$"&amp;$A25&amp;":"&amp;"$H$"&amp;$B25), G$2, FALSE)*G$16/G$18</f>
        <v>6.8755555555555556</v>
      </c>
      <c r="H25" s="27">
        <f t="shared" ca="1" si="6"/>
        <v>6.8646592709984153</v>
      </c>
      <c r="I25" s="27">
        <f t="shared" ca="1" si="6"/>
        <v>6.7638095238095239</v>
      </c>
      <c r="J25" s="27">
        <f t="shared" ca="1" si="6"/>
        <v>6.7638095238095239</v>
      </c>
      <c r="K25" s="27">
        <f t="shared" ca="1" si="6"/>
        <v>6.7638095238095239</v>
      </c>
      <c r="L25" s="28">
        <f t="shared" ca="1" si="6"/>
        <v>6.6733333333333329</v>
      </c>
      <c r="N25" s="50"/>
      <c r="O25" s="50"/>
      <c r="P25" s="50"/>
      <c r="Q25" s="50"/>
      <c r="R25" s="50"/>
      <c r="S25" s="50"/>
    </row>
    <row r="26" spans="1:19" ht="14.25" x14ac:dyDescent="0.2">
      <c r="A26" s="59">
        <v>239</v>
      </c>
      <c r="B26" s="59">
        <v>242</v>
      </c>
      <c r="C26" s="59" t="s">
        <v>72</v>
      </c>
      <c r="E26" s="20" t="s">
        <v>27</v>
      </c>
      <c r="F26" s="25" t="s">
        <v>15</v>
      </c>
      <c r="G26" s="21">
        <f t="shared" ca="1" si="7"/>
        <v>411320</v>
      </c>
      <c r="H26" s="22">
        <f t="shared" ca="1" si="6"/>
        <v>410668.14580031694</v>
      </c>
      <c r="I26" s="22">
        <f t="shared" ca="1" si="6"/>
        <v>408251.42857142858</v>
      </c>
      <c r="J26" s="22">
        <f t="shared" ca="1" si="6"/>
        <v>408251.42857142858</v>
      </c>
      <c r="K26" s="22">
        <f t="shared" ca="1" si="6"/>
        <v>407040</v>
      </c>
      <c r="L26" s="23">
        <f t="shared" ca="1" si="6"/>
        <v>397973.33333333331</v>
      </c>
      <c r="N26" s="50"/>
      <c r="O26" s="50"/>
      <c r="P26" s="50"/>
      <c r="Q26" s="50"/>
      <c r="R26" s="50"/>
      <c r="S26" s="50"/>
    </row>
    <row r="27" spans="1:19" x14ac:dyDescent="0.2">
      <c r="E27" s="5" t="s">
        <v>18</v>
      </c>
      <c r="F27" s="24"/>
      <c r="G27" s="29"/>
      <c r="H27" s="24"/>
      <c r="I27" s="24"/>
      <c r="J27" s="24"/>
      <c r="K27" s="24"/>
      <c r="L27" s="30"/>
      <c r="N27" s="50"/>
      <c r="O27" s="50"/>
      <c r="P27" s="50"/>
      <c r="Q27" s="50"/>
      <c r="R27" s="50"/>
      <c r="S27" s="50"/>
    </row>
    <row r="28" spans="1:19" ht="14.25" x14ac:dyDescent="0.2">
      <c r="A28" s="59">
        <v>239</v>
      </c>
      <c r="B28" s="59">
        <v>242</v>
      </c>
      <c r="C28" s="59" t="s">
        <v>271</v>
      </c>
      <c r="E28" s="20" t="s">
        <v>25</v>
      </c>
      <c r="F28" s="25" t="s">
        <v>15</v>
      </c>
      <c r="G28" s="26">
        <f ca="1">VLOOKUP($C28, INDIRECT("'"&amp;$B$4&amp;"'!$B$"&amp;$A28&amp;":"&amp;"$H$"&amp;$B28), G$2, FALSE)*G$17/G$18</f>
        <v>26.567619047619047</v>
      </c>
      <c r="H28" s="27">
        <f t="shared" ref="H28:L30" ca="1" si="8">VLOOKUP($C28, INDIRECT("'"&amp;$B$4&amp;"'!$B$"&amp;$A28&amp;":"&amp;"$H$"&amp;$B28), H$2, FALSE)*H$17/H$18</f>
        <v>26.567353407290017</v>
      </c>
      <c r="I28" s="27">
        <f t="shared" ca="1" si="8"/>
        <v>26.609523809523811</v>
      </c>
      <c r="J28" s="27">
        <f t="shared" ca="1" si="8"/>
        <v>26.609523809523811</v>
      </c>
      <c r="K28" s="27">
        <f t="shared" ca="1" si="8"/>
        <v>26.651428571428571</v>
      </c>
      <c r="L28" s="28">
        <f t="shared" ca="1" si="8"/>
        <v>26.651428571428571</v>
      </c>
      <c r="N28" s="50"/>
      <c r="O28" s="50"/>
      <c r="P28" s="50"/>
      <c r="Q28" s="50"/>
      <c r="R28" s="50"/>
      <c r="S28" s="50"/>
    </row>
    <row r="29" spans="1:19" ht="14.25" x14ac:dyDescent="0.2">
      <c r="A29" s="59">
        <v>239</v>
      </c>
      <c r="B29" s="59">
        <v>242</v>
      </c>
      <c r="C29" s="59" t="s">
        <v>71</v>
      </c>
      <c r="E29" s="20" t="s">
        <v>26</v>
      </c>
      <c r="F29" s="25" t="s">
        <v>15</v>
      </c>
      <c r="G29" s="26">
        <f t="shared" ref="G29:G30" ca="1" si="9">VLOOKUP($C29, INDIRECT("'"&amp;$B$4&amp;"'!$B$"&amp;$A29&amp;":"&amp;"$H$"&amp;$B29), G$2, FALSE)*G$17/G$18</f>
        <v>6.843174603174603</v>
      </c>
      <c r="H29" s="27">
        <f t="shared" ca="1" si="8"/>
        <v>6.8431061806656102</v>
      </c>
      <c r="I29" s="27">
        <f t="shared" ca="1" si="8"/>
        <v>6.7531746031746032</v>
      </c>
      <c r="J29" s="27">
        <f t="shared" ca="1" si="8"/>
        <v>6.7531746031746032</v>
      </c>
      <c r="K29" s="27">
        <f t="shared" ca="1" si="8"/>
        <v>6.7638095238095239</v>
      </c>
      <c r="L29" s="28">
        <f t="shared" ca="1" si="8"/>
        <v>6.6628571428571428</v>
      </c>
      <c r="N29" s="50"/>
      <c r="O29" s="50"/>
      <c r="P29" s="50"/>
      <c r="Q29" s="50"/>
      <c r="R29" s="50"/>
      <c r="S29" s="50"/>
    </row>
    <row r="30" spans="1:19" ht="14.25" x14ac:dyDescent="0.2">
      <c r="A30" s="59">
        <v>239</v>
      </c>
      <c r="B30" s="59">
        <v>242</v>
      </c>
      <c r="C30" s="59" t="s">
        <v>72</v>
      </c>
      <c r="E30" s="20" t="s">
        <v>27</v>
      </c>
      <c r="F30" s="25" t="s">
        <v>15</v>
      </c>
      <c r="G30" s="21">
        <f t="shared" ca="1" si="9"/>
        <v>409382.85714285716</v>
      </c>
      <c r="H30" s="22">
        <f t="shared" ca="1" si="8"/>
        <v>409378.763866878</v>
      </c>
      <c r="I30" s="22">
        <f t="shared" ca="1" si="8"/>
        <v>407609.52380952379</v>
      </c>
      <c r="J30" s="22">
        <f t="shared" ca="1" si="8"/>
        <v>407609.52380952379</v>
      </c>
      <c r="K30" s="22">
        <f t="shared" ca="1" si="8"/>
        <v>407040</v>
      </c>
      <c r="L30" s="23">
        <f t="shared" ca="1" si="8"/>
        <v>397348.57142857142</v>
      </c>
      <c r="N30" s="50"/>
      <c r="O30" s="50"/>
      <c r="P30" s="50"/>
      <c r="Q30" s="50"/>
      <c r="R30" s="50"/>
      <c r="S30" s="50"/>
    </row>
    <row r="31" spans="1:19" x14ac:dyDescent="0.2">
      <c r="E31" s="5" t="s">
        <v>315</v>
      </c>
      <c r="F31" s="24"/>
      <c r="G31" s="21"/>
      <c r="H31" s="22"/>
      <c r="I31" s="22"/>
      <c r="J31" s="22"/>
      <c r="K31" s="22"/>
      <c r="L31" s="23"/>
      <c r="N31" s="50"/>
      <c r="O31" s="50"/>
      <c r="P31" s="50"/>
      <c r="Q31" s="50"/>
      <c r="R31" s="50"/>
      <c r="S31" s="50"/>
    </row>
    <row r="32" spans="1:19" ht="14.25" x14ac:dyDescent="0.2">
      <c r="A32" s="59">
        <v>246</v>
      </c>
      <c r="B32" s="59">
        <v>249</v>
      </c>
      <c r="C32" s="59" t="s">
        <v>70</v>
      </c>
      <c r="E32" s="20" t="s">
        <v>25</v>
      </c>
      <c r="F32" s="25" t="s">
        <v>15</v>
      </c>
      <c r="G32" s="26">
        <f ca="1">VLOOKUP($C32, INDIRECT("'"&amp;$B$4&amp;"'!$B$"&amp;$A32&amp;":"&amp;"$H$"&amp;$B32), G$2, FALSE)*G$16/G$18</f>
        <v>97.066666666666663</v>
      </c>
      <c r="H32" s="22">
        <f t="shared" ref="H32:L34" ca="1" si="10">VLOOKUP($C32, INDIRECT("'"&amp;$B$4&amp;"'!$B$"&amp;$A32&amp;":"&amp;"$H$"&amp;$B32), H$2, FALSE)*H$16/H$18</f>
        <v>96.912836767036453</v>
      </c>
      <c r="I32" s="22">
        <f t="shared" ca="1" si="10"/>
        <v>96.914285714285711</v>
      </c>
      <c r="J32" s="22">
        <f t="shared" ca="1" si="10"/>
        <v>96.914285714285711</v>
      </c>
      <c r="K32" s="22">
        <f t="shared" ca="1" si="10"/>
        <v>96.914285714285711</v>
      </c>
      <c r="L32" s="23">
        <f t="shared" ca="1" si="10"/>
        <v>97.066666666666663</v>
      </c>
      <c r="N32" s="50"/>
      <c r="O32" s="50"/>
      <c r="P32" s="50"/>
      <c r="Q32" s="50"/>
      <c r="R32" s="50"/>
      <c r="S32" s="50"/>
    </row>
    <row r="33" spans="1:19" ht="14.25" x14ac:dyDescent="0.2">
      <c r="A33" s="59">
        <v>246</v>
      </c>
      <c r="B33" s="59">
        <v>249</v>
      </c>
      <c r="C33" s="59" t="s">
        <v>71</v>
      </c>
      <c r="E33" s="20" t="s">
        <v>26</v>
      </c>
      <c r="F33" s="25" t="s">
        <v>15</v>
      </c>
      <c r="G33" s="21">
        <f t="shared" ref="G33:G34" ca="1" si="11">VLOOKUP($C33, INDIRECT("'"&amp;$B$4&amp;"'!$B$"&amp;$A33&amp;":"&amp;"$H$"&amp;$B33), G$2, FALSE)*G$16/G$18</f>
        <v>5.358888888888889</v>
      </c>
      <c r="H33" s="22">
        <f t="shared" ca="1" si="10"/>
        <v>5.3503961965134703</v>
      </c>
      <c r="I33" s="22">
        <f t="shared" ca="1" si="10"/>
        <v>5.2495238095238097</v>
      </c>
      <c r="J33" s="22">
        <f t="shared" ca="1" si="10"/>
        <v>5.2495238095238097</v>
      </c>
      <c r="K33" s="22">
        <f t="shared" ca="1" si="10"/>
        <v>5.2495238095238097</v>
      </c>
      <c r="L33" s="23">
        <f t="shared" ca="1" si="10"/>
        <v>5.2577777777777781</v>
      </c>
      <c r="N33" s="50"/>
      <c r="O33" s="50"/>
      <c r="P33" s="50"/>
      <c r="Q33" s="50"/>
      <c r="R33" s="50"/>
      <c r="S33" s="50"/>
    </row>
    <row r="34" spans="1:19" ht="14.25" x14ac:dyDescent="0.2">
      <c r="A34" s="59">
        <v>246</v>
      </c>
      <c r="B34" s="59">
        <v>249</v>
      </c>
      <c r="C34" s="59" t="s">
        <v>72</v>
      </c>
      <c r="E34" s="20" t="s">
        <v>27</v>
      </c>
      <c r="F34" s="25" t="s">
        <v>15</v>
      </c>
      <c r="G34" s="21">
        <f t="shared" ca="1" si="11"/>
        <v>558133.33333333337</v>
      </c>
      <c r="H34" s="22">
        <f t="shared" ca="1" si="10"/>
        <v>557248.81141045957</v>
      </c>
      <c r="I34" s="22">
        <f t="shared" ca="1" si="10"/>
        <v>554026.66666666663</v>
      </c>
      <c r="J34" s="22">
        <f t="shared" ca="1" si="10"/>
        <v>554026.66666666663</v>
      </c>
      <c r="K34" s="22">
        <f t="shared" ca="1" si="10"/>
        <v>552411.42857142852</v>
      </c>
      <c r="L34" s="23">
        <f t="shared" ca="1" si="10"/>
        <v>550044.4444444445</v>
      </c>
      <c r="N34" s="50"/>
      <c r="O34" s="50"/>
      <c r="P34" s="50"/>
      <c r="Q34" s="50"/>
      <c r="R34" s="50"/>
      <c r="S34" s="50"/>
    </row>
    <row r="35" spans="1:19" x14ac:dyDescent="0.2">
      <c r="E35" s="5" t="s">
        <v>16</v>
      </c>
      <c r="F35" s="24"/>
      <c r="G35" s="29"/>
      <c r="H35" s="24"/>
      <c r="I35" s="24"/>
      <c r="J35" s="24"/>
      <c r="K35" s="24"/>
      <c r="L35" s="30"/>
      <c r="N35" s="50"/>
      <c r="O35" s="50"/>
      <c r="P35" s="50"/>
      <c r="Q35" s="50"/>
      <c r="R35" s="50"/>
      <c r="S35" s="50"/>
    </row>
    <row r="36" spans="1:19" ht="14.25" x14ac:dyDescent="0.2">
      <c r="A36" s="59">
        <v>246</v>
      </c>
      <c r="B36" s="59">
        <v>249</v>
      </c>
      <c r="C36" s="59" t="s">
        <v>70</v>
      </c>
      <c r="E36" s="20" t="s">
        <v>25</v>
      </c>
      <c r="F36" s="25" t="s">
        <v>15</v>
      </c>
      <c r="G36" s="26">
        <f ca="1">VLOOKUP($C36, INDIRECT("'"&amp;$B$4&amp;"'!$B$"&amp;$A36&amp;":"&amp;"$H$"&amp;$B36), G$2, FALSE)*G$17/G$18</f>
        <v>96.609523809523807</v>
      </c>
      <c r="H36" s="27">
        <f t="shared" ref="H36:L38" ca="1" si="12">VLOOKUP($C36, INDIRECT("'"&amp;$B$4&amp;"'!$B$"&amp;$A36&amp;":"&amp;"$H$"&amp;$B36), H$2, FALSE)*H$17/H$18</f>
        <v>96.608557844690964</v>
      </c>
      <c r="I36" s="27">
        <f t="shared" ca="1" si="12"/>
        <v>96.761904761904759</v>
      </c>
      <c r="J36" s="27">
        <f t="shared" ca="1" si="12"/>
        <v>96.761904761904759</v>
      </c>
      <c r="K36" s="27">
        <f t="shared" ca="1" si="12"/>
        <v>96.914285714285711</v>
      </c>
      <c r="L36" s="28">
        <f t="shared" ca="1" si="12"/>
        <v>96.914285714285711</v>
      </c>
      <c r="N36" s="50"/>
      <c r="O36" s="50"/>
      <c r="P36" s="50"/>
      <c r="Q36" s="50"/>
      <c r="R36" s="50"/>
      <c r="S36" s="50"/>
    </row>
    <row r="37" spans="1:19" ht="14.25" x14ac:dyDescent="0.2">
      <c r="A37" s="59">
        <v>246</v>
      </c>
      <c r="B37" s="59">
        <v>249</v>
      </c>
      <c r="C37" s="59" t="s">
        <v>71</v>
      </c>
      <c r="E37" s="20" t="s">
        <v>26</v>
      </c>
      <c r="F37" s="25" t="s">
        <v>15</v>
      </c>
      <c r="G37" s="26">
        <f t="shared" ref="G37:G38" ca="1" si="13">VLOOKUP($C37, INDIRECT("'"&amp;$B$4&amp;"'!$B$"&amp;$A37&amp;":"&amp;"$H$"&amp;$B37), G$2, FALSE)*G$17/G$18</f>
        <v>5.3336507936507935</v>
      </c>
      <c r="H37" s="27">
        <f t="shared" ca="1" si="12"/>
        <v>5.3335974643423141</v>
      </c>
      <c r="I37" s="27">
        <f t="shared" ca="1" si="12"/>
        <v>5.2412698412698413</v>
      </c>
      <c r="J37" s="27">
        <f t="shared" ca="1" si="12"/>
        <v>5.2412698412698413</v>
      </c>
      <c r="K37" s="27">
        <f t="shared" ca="1" si="12"/>
        <v>5.2495238095238097</v>
      </c>
      <c r="L37" s="28">
        <f t="shared" ca="1" si="12"/>
        <v>5.2495238095238097</v>
      </c>
      <c r="N37" s="50"/>
      <c r="O37" s="50"/>
      <c r="P37" s="50"/>
      <c r="Q37" s="50"/>
      <c r="R37" s="50"/>
      <c r="S37" s="50"/>
    </row>
    <row r="38" spans="1:19" ht="14.25" x14ac:dyDescent="0.2">
      <c r="A38" s="59">
        <v>246</v>
      </c>
      <c r="B38" s="59">
        <v>249</v>
      </c>
      <c r="C38" s="59" t="s">
        <v>72</v>
      </c>
      <c r="E38" s="20" t="s">
        <v>27</v>
      </c>
      <c r="F38" s="25" t="s">
        <v>15</v>
      </c>
      <c r="G38" s="21">
        <f t="shared" ca="1" si="13"/>
        <v>555504.76190476189</v>
      </c>
      <c r="H38" s="22">
        <f t="shared" ca="1" si="12"/>
        <v>555499.20760697301</v>
      </c>
      <c r="I38" s="22">
        <f t="shared" ca="1" si="12"/>
        <v>553155.5555555555</v>
      </c>
      <c r="J38" s="22">
        <f t="shared" ca="1" si="12"/>
        <v>553155.5555555555</v>
      </c>
      <c r="K38" s="22">
        <f t="shared" ca="1" si="12"/>
        <v>552411.42857142852</v>
      </c>
      <c r="L38" s="23">
        <f t="shared" ca="1" si="12"/>
        <v>549180.95238095243</v>
      </c>
      <c r="N38" s="50"/>
      <c r="O38" s="50"/>
      <c r="P38" s="50"/>
      <c r="Q38" s="50"/>
      <c r="R38" s="50"/>
      <c r="S38" s="50"/>
    </row>
    <row r="39" spans="1:19" x14ac:dyDescent="0.2">
      <c r="E39" s="5" t="s">
        <v>424</v>
      </c>
      <c r="F39" s="24"/>
      <c r="G39" s="21"/>
      <c r="H39" s="22"/>
      <c r="I39" s="22"/>
      <c r="J39" s="22"/>
      <c r="K39" s="22"/>
      <c r="L39" s="23"/>
      <c r="N39" s="50"/>
      <c r="O39" s="50"/>
      <c r="P39" s="50"/>
      <c r="Q39" s="50"/>
      <c r="R39" s="50"/>
      <c r="S39" s="50"/>
    </row>
    <row r="40" spans="1:19" ht="14.25" x14ac:dyDescent="0.2">
      <c r="A40" s="59">
        <v>239</v>
      </c>
      <c r="B40" s="59">
        <v>242</v>
      </c>
      <c r="C40" s="59" t="s">
        <v>271</v>
      </c>
      <c r="E40" s="20" t="s">
        <v>25</v>
      </c>
      <c r="F40" s="25" t="s">
        <v>15</v>
      </c>
      <c r="G40" s="190">
        <f ca="1">VLOOKUP($C40, INDIRECT("'"&amp;$B$4&amp;"'!$B$"&amp;$A40&amp;":"&amp;"$H$"&amp;$B40), G$2, FALSE)*G$20/G$18</f>
        <v>29.878095238095238</v>
      </c>
      <c r="H40" s="27">
        <f t="shared" ref="H40:L42" ca="1" si="14">VLOOKUP($C40, INDIRECT("'"&amp;$B$4&amp;"'!$B$"&amp;$A40&amp;":"&amp;"$H$"&amp;$B40), H$2, FALSE)*H$20/H$18</f>
        <v>30.039936608557845</v>
      </c>
      <c r="I40" s="27">
        <f t="shared" ca="1" si="14"/>
        <v>29.878095238095238</v>
      </c>
      <c r="J40" s="27">
        <f t="shared" ca="1" si="14"/>
        <v>29.878095238095238</v>
      </c>
      <c r="K40" s="27">
        <f t="shared" ca="1" si="14"/>
        <v>29.878095238095238</v>
      </c>
      <c r="L40" s="28">
        <f t="shared" ca="1" si="14"/>
        <v>29.878095238095238</v>
      </c>
      <c r="N40" s="50"/>
      <c r="O40" s="50"/>
      <c r="P40" s="50"/>
      <c r="Q40" s="50"/>
      <c r="R40" s="50"/>
      <c r="S40" s="50"/>
    </row>
    <row r="41" spans="1:19" ht="14.25" x14ac:dyDescent="0.2">
      <c r="A41" s="59">
        <v>239</v>
      </c>
      <c r="B41" s="59">
        <v>242</v>
      </c>
      <c r="C41" s="59" t="s">
        <v>71</v>
      </c>
      <c r="E41" s="20" t="s">
        <v>26</v>
      </c>
      <c r="F41" s="25" t="s">
        <v>15</v>
      </c>
      <c r="G41" s="26">
        <f t="shared" ref="G41:G42" ca="1" si="15">VLOOKUP($C41, INDIRECT("'"&amp;$B$4&amp;"'!$B$"&amp;$A41&amp;":"&amp;"$H$"&amp;$B41), G$2, FALSE)*G$20/G$18</f>
        <v>7.6958730158730155</v>
      </c>
      <c r="H41" s="27">
        <f t="shared" ca="1" si="14"/>
        <v>7.7375594294770202</v>
      </c>
      <c r="I41" s="27">
        <f t="shared" ca="1" si="14"/>
        <v>7.5826984126984129</v>
      </c>
      <c r="J41" s="27">
        <f t="shared" ca="1" si="14"/>
        <v>7.5826984126984129</v>
      </c>
      <c r="K41" s="27">
        <f t="shared" ca="1" si="14"/>
        <v>7.5826984126984129</v>
      </c>
      <c r="L41" s="28">
        <f t="shared" ca="1" si="14"/>
        <v>7.4695238095238095</v>
      </c>
      <c r="N41" s="50"/>
      <c r="O41" s="50"/>
      <c r="P41" s="50"/>
      <c r="Q41" s="50"/>
      <c r="R41" s="50"/>
      <c r="S41" s="50"/>
    </row>
    <row r="42" spans="1:19" ht="14.25" x14ac:dyDescent="0.2">
      <c r="A42" s="59">
        <v>239</v>
      </c>
      <c r="B42" s="59">
        <v>242</v>
      </c>
      <c r="C42" s="59" t="s">
        <v>72</v>
      </c>
      <c r="E42" s="20" t="s">
        <v>27</v>
      </c>
      <c r="F42" s="25" t="s">
        <v>15</v>
      </c>
      <c r="G42" s="21">
        <f t="shared" ca="1" si="15"/>
        <v>460394.28571428574</v>
      </c>
      <c r="H42" s="22">
        <f t="shared" ca="1" si="14"/>
        <v>462888.11410459591</v>
      </c>
      <c r="I42" s="22">
        <f t="shared" ca="1" si="14"/>
        <v>457678.09523809527</v>
      </c>
      <c r="J42" s="22">
        <f t="shared" ca="1" si="14"/>
        <v>457678.09523809527</v>
      </c>
      <c r="K42" s="22">
        <f t="shared" ca="1" si="14"/>
        <v>456320</v>
      </c>
      <c r="L42" s="23">
        <f t="shared" ca="1" si="14"/>
        <v>445455.23809523811</v>
      </c>
      <c r="N42" s="50"/>
      <c r="O42" s="50"/>
      <c r="P42" s="50"/>
      <c r="Q42" s="50"/>
      <c r="R42" s="50"/>
      <c r="S42" s="50"/>
    </row>
    <row r="43" spans="1:19" x14ac:dyDescent="0.2">
      <c r="E43" s="5" t="s">
        <v>425</v>
      </c>
      <c r="F43" s="24"/>
      <c r="G43" s="21"/>
      <c r="H43" s="22"/>
      <c r="I43" s="22"/>
      <c r="J43" s="22"/>
      <c r="K43" s="22"/>
      <c r="L43" s="23"/>
      <c r="N43" s="50"/>
      <c r="O43" s="50"/>
      <c r="P43" s="50"/>
      <c r="Q43" s="50"/>
      <c r="R43" s="50"/>
      <c r="S43" s="50"/>
    </row>
    <row r="44" spans="1:19" ht="14.25" x14ac:dyDescent="0.2">
      <c r="A44" s="59">
        <v>239</v>
      </c>
      <c r="B44" s="59">
        <v>242</v>
      </c>
      <c r="C44" s="59" t="s">
        <v>271</v>
      </c>
      <c r="E44" s="20" t="s">
        <v>25</v>
      </c>
      <c r="F44" s="25" t="s">
        <v>15</v>
      </c>
      <c r="G44" s="21">
        <f ca="1">VLOOKUP($C44, INDIRECT("'"&amp;$B$4&amp;"'!$B$"&amp;$A44&amp;":"&amp;"$H$"&amp;$B44), G$2, FALSE)*G$21/G$18</f>
        <v>31.596190476190475</v>
      </c>
      <c r="H44" s="22">
        <f t="shared" ref="H44:L46" ca="1" si="16">VLOOKUP($C44, INDIRECT("'"&amp;$B$4&amp;"'!$B$"&amp;$A44&amp;":"&amp;"$H$"&amp;$B44), H$2, FALSE)*H$21/H$18</f>
        <v>31.504278922345485</v>
      </c>
      <c r="I44" s="22">
        <f t="shared" ca="1" si="16"/>
        <v>31.638095238095239</v>
      </c>
      <c r="J44" s="22">
        <f t="shared" ca="1" si="16"/>
        <v>31.638095238095239</v>
      </c>
      <c r="K44" s="22">
        <f t="shared" ca="1" si="16"/>
        <v>31.68</v>
      </c>
      <c r="L44" s="23">
        <f t="shared" ca="1" si="16"/>
        <v>31.721904761904764</v>
      </c>
      <c r="N44" s="50"/>
      <c r="O44" s="50"/>
      <c r="P44" s="50"/>
      <c r="Q44" s="50"/>
      <c r="R44" s="50"/>
      <c r="S44" s="50"/>
    </row>
    <row r="45" spans="1:19" ht="14.25" x14ac:dyDescent="0.2">
      <c r="A45" s="59">
        <v>239</v>
      </c>
      <c r="B45" s="59">
        <v>242</v>
      </c>
      <c r="C45" s="59" t="s">
        <v>71</v>
      </c>
      <c r="E45" s="20" t="s">
        <v>26</v>
      </c>
      <c r="F45" s="25" t="s">
        <v>15</v>
      </c>
      <c r="G45" s="21">
        <f t="shared" ref="G45:G46" ca="1" si="17">VLOOKUP($C45, INDIRECT("'"&amp;$B$4&amp;"'!$B$"&amp;$A45&amp;":"&amp;"$H$"&amp;$B45), G$2, FALSE)*G$21/G$18</f>
        <v>8.138412698412699</v>
      </c>
      <c r="H45" s="22">
        <f t="shared" ca="1" si="16"/>
        <v>8.1147385103011089</v>
      </c>
      <c r="I45" s="22">
        <f t="shared" ca="1" si="16"/>
        <v>8.0293650793650801</v>
      </c>
      <c r="J45" s="22">
        <f t="shared" ca="1" si="16"/>
        <v>8.0293650793650801</v>
      </c>
      <c r="K45" s="22">
        <f t="shared" ca="1" si="16"/>
        <v>8.0399999999999991</v>
      </c>
      <c r="L45" s="23">
        <f t="shared" ca="1" si="16"/>
        <v>7.9304761904761909</v>
      </c>
      <c r="N45" s="50"/>
      <c r="O45" s="50"/>
      <c r="P45" s="50"/>
      <c r="Q45" s="50"/>
      <c r="R45" s="50"/>
      <c r="S45" s="50"/>
    </row>
    <row r="46" spans="1:19" ht="14.25" x14ac:dyDescent="0.2">
      <c r="A46" s="59">
        <v>239</v>
      </c>
      <c r="B46" s="59">
        <v>242</v>
      </c>
      <c r="C46" s="59" t="s">
        <v>72</v>
      </c>
      <c r="E46" s="20" t="s">
        <v>27</v>
      </c>
      <c r="F46" s="25" t="s">
        <v>15</v>
      </c>
      <c r="G46" s="21">
        <f t="shared" ca="1" si="17"/>
        <v>486868.57142857142</v>
      </c>
      <c r="H46" s="22">
        <f t="shared" ca="1" si="16"/>
        <v>485452.29793977813</v>
      </c>
      <c r="I46" s="22">
        <f t="shared" ca="1" si="16"/>
        <v>484638.09523809527</v>
      </c>
      <c r="J46" s="22">
        <f t="shared" ca="1" si="16"/>
        <v>484638.09523809527</v>
      </c>
      <c r="K46" s="22">
        <f t="shared" ca="1" si="16"/>
        <v>483840</v>
      </c>
      <c r="L46" s="23">
        <f t="shared" ca="1" si="16"/>
        <v>472944.76190476189</v>
      </c>
      <c r="N46" s="50"/>
      <c r="O46" s="50"/>
      <c r="P46" s="50"/>
      <c r="Q46" s="50"/>
      <c r="R46" s="50"/>
      <c r="S46" s="50"/>
    </row>
    <row r="47" spans="1:19" x14ac:dyDescent="0.2">
      <c r="E47" s="5" t="s">
        <v>426</v>
      </c>
      <c r="F47" s="24"/>
      <c r="G47" s="21"/>
      <c r="H47" s="22"/>
      <c r="I47" s="22"/>
      <c r="J47" s="22"/>
      <c r="K47" s="22"/>
      <c r="L47" s="23"/>
      <c r="N47" s="50"/>
      <c r="O47" s="50"/>
      <c r="P47" s="50"/>
      <c r="Q47" s="50"/>
      <c r="R47" s="50"/>
      <c r="S47" s="50"/>
    </row>
    <row r="48" spans="1:19" ht="14.25" x14ac:dyDescent="0.2">
      <c r="A48" s="59">
        <v>246</v>
      </c>
      <c r="B48" s="59">
        <v>249</v>
      </c>
      <c r="C48" s="59" t="s">
        <v>70</v>
      </c>
      <c r="E48" s="20" t="s">
        <v>25</v>
      </c>
      <c r="F48" s="25" t="s">
        <v>15</v>
      </c>
      <c r="G48" s="21">
        <f ca="1">VLOOKUP($C48, INDIRECT("'"&amp;$B$4&amp;"'!$B$"&amp;$A48&amp;":"&amp;"$H$"&amp;$B48), G$2, FALSE)*G$20/G$18</f>
        <v>108.64761904761905</v>
      </c>
      <c r="H48" s="22">
        <f t="shared" ref="H48:L50" ca="1" si="18">VLOOKUP($C48, INDIRECT("'"&amp;$B$4&amp;"'!$B$"&amp;$A48&amp;":"&amp;"$H$"&amp;$B48), H$2, FALSE)*H$20/H$18</f>
        <v>109.23613312202852</v>
      </c>
      <c r="I48" s="22">
        <f t="shared" ca="1" si="18"/>
        <v>108.64761904761905</v>
      </c>
      <c r="J48" s="22">
        <f t="shared" ca="1" si="18"/>
        <v>108.64761904761905</v>
      </c>
      <c r="K48" s="22">
        <f t="shared" ca="1" si="18"/>
        <v>108.64761904761905</v>
      </c>
      <c r="L48" s="23">
        <f t="shared" ca="1" si="18"/>
        <v>108.64761904761905</v>
      </c>
      <c r="N48" s="50"/>
      <c r="O48" s="50"/>
      <c r="P48" s="50"/>
      <c r="Q48" s="50"/>
      <c r="R48" s="50"/>
      <c r="S48" s="50"/>
    </row>
    <row r="49" spans="1:19" ht="14.25" x14ac:dyDescent="0.2">
      <c r="A49" s="59">
        <v>246</v>
      </c>
      <c r="B49" s="59">
        <v>249</v>
      </c>
      <c r="C49" s="59" t="s">
        <v>71</v>
      </c>
      <c r="E49" s="20" t="s">
        <v>26</v>
      </c>
      <c r="F49" s="25" t="s">
        <v>15</v>
      </c>
      <c r="G49" s="21">
        <f t="shared" ref="G49:G50" ca="1" si="19">VLOOKUP($C49, INDIRECT("'"&amp;$B$4&amp;"'!$B$"&amp;$A49&amp;":"&amp;"$H$"&amp;$B49), G$2, FALSE)*G$20/G$18</f>
        <v>5.9982539682539686</v>
      </c>
      <c r="H49" s="22">
        <f t="shared" ca="1" si="18"/>
        <v>6.0307448494453251</v>
      </c>
      <c r="I49" s="22">
        <f t="shared" ca="1" si="18"/>
        <v>5.8850793650793651</v>
      </c>
      <c r="J49" s="22">
        <f t="shared" ca="1" si="18"/>
        <v>5.8850793650793651</v>
      </c>
      <c r="K49" s="22">
        <f t="shared" ca="1" si="18"/>
        <v>5.8850793650793651</v>
      </c>
      <c r="L49" s="23">
        <f t="shared" ca="1" si="18"/>
        <v>5.8850793650793651</v>
      </c>
      <c r="N49" s="50"/>
      <c r="O49" s="50"/>
      <c r="P49" s="50"/>
      <c r="Q49" s="50"/>
      <c r="R49" s="50"/>
      <c r="S49" s="50"/>
    </row>
    <row r="50" spans="1:19" ht="14.25" x14ac:dyDescent="0.2">
      <c r="A50" s="59">
        <v>246</v>
      </c>
      <c r="B50" s="59">
        <v>249</v>
      </c>
      <c r="C50" s="59" t="s">
        <v>72</v>
      </c>
      <c r="E50" s="20" t="s">
        <v>27</v>
      </c>
      <c r="F50" s="25" t="s">
        <v>15</v>
      </c>
      <c r="G50" s="21">
        <f t="shared" ca="1" si="19"/>
        <v>624723.80952380947</v>
      </c>
      <c r="H50" s="22">
        <f t="shared" ca="1" si="18"/>
        <v>628107.76545166399</v>
      </c>
      <c r="I50" s="22">
        <f t="shared" ca="1" si="18"/>
        <v>621102.22222222225</v>
      </c>
      <c r="J50" s="22">
        <f t="shared" ca="1" si="18"/>
        <v>621102.22222222225</v>
      </c>
      <c r="K50" s="22">
        <f t="shared" ca="1" si="18"/>
        <v>619291.42857142852</v>
      </c>
      <c r="L50" s="23">
        <f t="shared" ca="1" si="18"/>
        <v>615669.8412698413</v>
      </c>
      <c r="N50" s="50"/>
      <c r="O50" s="50"/>
      <c r="P50" s="50"/>
      <c r="Q50" s="50"/>
      <c r="R50" s="50"/>
      <c r="S50" s="50"/>
    </row>
    <row r="51" spans="1:19" x14ac:dyDescent="0.2">
      <c r="E51" s="5" t="s">
        <v>427</v>
      </c>
      <c r="F51" s="24"/>
      <c r="G51" s="21"/>
      <c r="H51" s="22"/>
      <c r="I51" s="22"/>
      <c r="J51" s="22"/>
      <c r="K51" s="22"/>
      <c r="L51" s="23"/>
      <c r="N51" s="50"/>
      <c r="O51" s="50"/>
      <c r="P51" s="50"/>
      <c r="Q51" s="50"/>
      <c r="R51" s="50"/>
      <c r="S51" s="50"/>
    </row>
    <row r="52" spans="1:19" ht="14.25" x14ac:dyDescent="0.2">
      <c r="A52" s="59">
        <v>246</v>
      </c>
      <c r="B52" s="59">
        <v>249</v>
      </c>
      <c r="C52" s="59" t="s">
        <v>70</v>
      </c>
      <c r="E52" s="20" t="s">
        <v>25</v>
      </c>
      <c r="F52" s="25" t="s">
        <v>15</v>
      </c>
      <c r="G52" s="21">
        <f ca="1">VLOOKUP($C52, INDIRECT("'"&amp;$B$4&amp;"'!$B$"&amp;$A52&amp;":"&amp;"$H$"&amp;$B52), G$2, FALSE)*G$21/G$18</f>
        <v>114.8952380952381</v>
      </c>
      <c r="H52" s="22">
        <f t="shared" ref="H52:L54" ca="1" si="20">VLOOKUP($C52, INDIRECT("'"&amp;$B$4&amp;"'!$B$"&amp;$A52&amp;":"&amp;"$H$"&amp;$B52), H$2, FALSE)*H$21/H$18</f>
        <v>114.56101426307448</v>
      </c>
      <c r="I52" s="22">
        <f t="shared" ca="1" si="20"/>
        <v>115.04761904761905</v>
      </c>
      <c r="J52" s="22">
        <f t="shared" ca="1" si="20"/>
        <v>115.04761904761905</v>
      </c>
      <c r="K52" s="22">
        <f t="shared" ca="1" si="20"/>
        <v>115.2</v>
      </c>
      <c r="L52" s="23">
        <f t="shared" ca="1" si="20"/>
        <v>115.35238095238095</v>
      </c>
      <c r="N52" s="50"/>
      <c r="O52" s="50"/>
      <c r="P52" s="50"/>
      <c r="Q52" s="50"/>
      <c r="R52" s="50"/>
      <c r="S52" s="50"/>
    </row>
    <row r="53" spans="1:19" ht="14.25" x14ac:dyDescent="0.2">
      <c r="A53" s="59">
        <v>246</v>
      </c>
      <c r="B53" s="59">
        <v>249</v>
      </c>
      <c r="C53" s="59" t="s">
        <v>71</v>
      </c>
      <c r="E53" s="20" t="s">
        <v>26</v>
      </c>
      <c r="F53" s="25" t="s">
        <v>15</v>
      </c>
      <c r="G53" s="21">
        <f t="shared" ref="G53:G54" ca="1" si="21">VLOOKUP($C53, INDIRECT("'"&amp;$B$4&amp;"'!$B$"&amp;$A53&amp;":"&amp;"$H$"&amp;$B53), G$2, FALSE)*G$21/G$18</f>
        <v>6.343174603174603</v>
      </c>
      <c r="H53" s="22">
        <f t="shared" ca="1" si="20"/>
        <v>6.3247226624405704</v>
      </c>
      <c r="I53" s="22">
        <f t="shared" ca="1" si="20"/>
        <v>6.2317460317460318</v>
      </c>
      <c r="J53" s="22">
        <f t="shared" ca="1" si="20"/>
        <v>6.2317460317460318</v>
      </c>
      <c r="K53" s="22">
        <f t="shared" ca="1" si="20"/>
        <v>6.24</v>
      </c>
      <c r="L53" s="23">
        <f t="shared" ca="1" si="20"/>
        <v>6.2482539682539686</v>
      </c>
      <c r="N53" s="50"/>
      <c r="O53" s="50"/>
      <c r="P53" s="50"/>
      <c r="Q53" s="50"/>
      <c r="R53" s="50"/>
      <c r="S53" s="50"/>
    </row>
    <row r="54" spans="1:19" ht="14.25" x14ac:dyDescent="0.2">
      <c r="A54" s="59">
        <v>246</v>
      </c>
      <c r="B54" s="59">
        <v>249</v>
      </c>
      <c r="C54" s="59" t="s">
        <v>72</v>
      </c>
      <c r="E54" s="20" t="s">
        <v>27</v>
      </c>
      <c r="F54" s="25" t="s">
        <v>15</v>
      </c>
      <c r="G54" s="21">
        <f t="shared" ca="1" si="21"/>
        <v>660647.61904761905</v>
      </c>
      <c r="H54" s="22">
        <f t="shared" ca="1" si="20"/>
        <v>658725.83201267826</v>
      </c>
      <c r="I54" s="22">
        <f t="shared" ca="1" si="20"/>
        <v>657688.88888888888</v>
      </c>
      <c r="J54" s="22">
        <f t="shared" ca="1" si="20"/>
        <v>657688.88888888888</v>
      </c>
      <c r="K54" s="22">
        <f t="shared" ca="1" si="20"/>
        <v>656640</v>
      </c>
      <c r="L54" s="23">
        <f t="shared" ca="1" si="20"/>
        <v>653663.49206349207</v>
      </c>
      <c r="N54" s="50"/>
      <c r="O54" s="50"/>
      <c r="P54" s="50"/>
      <c r="Q54" s="50"/>
      <c r="R54" s="50"/>
      <c r="S54" s="50"/>
    </row>
    <row r="55" spans="1:19" x14ac:dyDescent="0.2">
      <c r="E55" s="4" t="s">
        <v>19</v>
      </c>
      <c r="F55" s="25"/>
      <c r="G55" s="29"/>
      <c r="H55" s="24"/>
      <c r="I55" s="24"/>
      <c r="J55" s="24"/>
      <c r="K55" s="24"/>
      <c r="L55" s="30"/>
      <c r="N55" s="50"/>
      <c r="O55" s="50"/>
      <c r="P55" s="50"/>
      <c r="Q55" s="50"/>
      <c r="R55" s="50"/>
      <c r="S55" s="50"/>
    </row>
    <row r="56" spans="1:19" x14ac:dyDescent="0.2">
      <c r="E56" s="31"/>
      <c r="F56" s="8"/>
      <c r="G56" s="53"/>
      <c r="H56" s="54"/>
      <c r="I56" s="54"/>
      <c r="J56" s="54"/>
      <c r="K56" s="54"/>
      <c r="L56" s="55"/>
      <c r="N56" s="50"/>
      <c r="O56" s="50"/>
      <c r="P56" s="50"/>
      <c r="Q56" s="50"/>
      <c r="R56" s="50"/>
      <c r="S56" s="50"/>
    </row>
    <row r="57" spans="1:19" ht="25.5" x14ac:dyDescent="0.2">
      <c r="A57" s="303" t="s">
        <v>343</v>
      </c>
      <c r="B57" s="303"/>
      <c r="C57" s="303"/>
      <c r="E57" s="31" t="s">
        <v>267</v>
      </c>
      <c r="F57" s="8" t="s">
        <v>7</v>
      </c>
      <c r="G57" s="53">
        <v>3490</v>
      </c>
      <c r="H57" s="54">
        <v>3490</v>
      </c>
      <c r="I57" s="54">
        <v>3490</v>
      </c>
      <c r="J57" s="54">
        <v>3490</v>
      </c>
      <c r="K57" s="54">
        <v>3490</v>
      </c>
      <c r="L57" s="55">
        <v>3490</v>
      </c>
      <c r="N57" s="50"/>
      <c r="O57" s="50"/>
      <c r="P57" s="50"/>
      <c r="Q57" s="50"/>
      <c r="R57" s="50"/>
      <c r="S57" s="50"/>
    </row>
    <row r="58" spans="1:19" ht="13.5" thickBot="1" x14ac:dyDescent="0.25">
      <c r="A58" s="59">
        <v>22</v>
      </c>
      <c r="B58" s="59">
        <v>22</v>
      </c>
      <c r="C58" s="59" t="s">
        <v>87</v>
      </c>
      <c r="E58" s="32" t="s">
        <v>6</v>
      </c>
      <c r="F58" s="52" t="s">
        <v>11</v>
      </c>
      <c r="G58" s="56">
        <f ca="1">VLOOKUP($C58, INDIRECT("'"&amp;$B$4&amp;"'!$B$"&amp;$A58&amp;":"&amp;"$H$"&amp;$B58), G$2, FALSE)</f>
        <v>2.92E-2</v>
      </c>
      <c r="H58" s="57">
        <f t="shared" ref="H58:L58" ca="1" si="22">VLOOKUP($C58, INDIRECT("'"&amp;$B$4&amp;"'!$B$"&amp;$A58&amp;":"&amp;"$H$"&amp;$B58), H$2, FALSE)</f>
        <v>2.92E-2</v>
      </c>
      <c r="I58" s="57">
        <f t="shared" ca="1" si="22"/>
        <v>2.92E-2</v>
      </c>
      <c r="J58" s="57">
        <f t="shared" ca="1" si="22"/>
        <v>2.92E-2</v>
      </c>
      <c r="K58" s="57">
        <f t="shared" ca="1" si="22"/>
        <v>2.92E-2</v>
      </c>
      <c r="L58" s="58">
        <f t="shared" ca="1" si="22"/>
        <v>2.92E-2</v>
      </c>
      <c r="N58" s="50"/>
      <c r="O58" s="50"/>
      <c r="P58" s="50"/>
      <c r="Q58" s="50"/>
      <c r="R58" s="50"/>
      <c r="S58" s="50"/>
    </row>
    <row r="59" spans="1:19" ht="12.75" customHeight="1" x14ac:dyDescent="0.2">
      <c r="E59" s="6" t="s">
        <v>403</v>
      </c>
      <c r="F59" s="24"/>
      <c r="G59" s="34"/>
      <c r="H59" s="35"/>
      <c r="I59" s="35"/>
      <c r="J59" s="35"/>
      <c r="K59" s="35"/>
      <c r="L59" s="36"/>
      <c r="N59" s="50"/>
      <c r="O59" s="50"/>
      <c r="P59" s="50"/>
      <c r="Q59" s="50"/>
      <c r="R59" s="50"/>
      <c r="S59" s="50"/>
    </row>
    <row r="60" spans="1:19" x14ac:dyDescent="0.2">
      <c r="A60" s="59">
        <v>212</v>
      </c>
      <c r="B60" s="59">
        <v>215</v>
      </c>
      <c r="C60" s="59" t="s">
        <v>358</v>
      </c>
      <c r="E60" s="20" t="s">
        <v>22</v>
      </c>
      <c r="F60" s="8" t="s">
        <v>9</v>
      </c>
      <c r="G60" s="191">
        <f ca="1">VLOOKUP($C60, INDIRECT("'"&amp;$B$4&amp;"'!$B$"&amp;$A60&amp;":"&amp;"$H$"&amp;$B60), G$2, FALSE)</f>
        <v>1.58</v>
      </c>
      <c r="H60" s="41">
        <f t="shared" ref="H60:L63" ca="1" si="23">VLOOKUP($C60, INDIRECT("'"&amp;$B$4&amp;"'!$B$"&amp;$A60&amp;":"&amp;"$H$"&amp;$B60), H$2, FALSE)</f>
        <v>1.6099999999999999</v>
      </c>
      <c r="I60" s="41">
        <f t="shared" ca="1" si="23"/>
        <v>1.5899999999999999</v>
      </c>
      <c r="J60" s="41">
        <f t="shared" ca="1" si="23"/>
        <v>1.5899999999999999</v>
      </c>
      <c r="K60" s="41">
        <f t="shared" ca="1" si="23"/>
        <v>1.5899999999999999</v>
      </c>
      <c r="L60" s="42">
        <f t="shared" ca="1" si="23"/>
        <v>1.5899999999999999</v>
      </c>
      <c r="N60" s="50"/>
      <c r="O60" s="50"/>
      <c r="P60" s="50"/>
      <c r="Q60" s="50"/>
      <c r="R60" s="50"/>
      <c r="S60" s="50"/>
    </row>
    <row r="61" spans="1:19" x14ac:dyDescent="0.2">
      <c r="A61" s="59">
        <v>223</v>
      </c>
      <c r="B61" s="59">
        <v>226</v>
      </c>
      <c r="C61" s="59" t="s">
        <v>358</v>
      </c>
      <c r="E61" s="20" t="s">
        <v>23</v>
      </c>
      <c r="F61" s="8" t="s">
        <v>9</v>
      </c>
      <c r="G61" s="40">
        <f t="shared" ref="G61:G63" ca="1" si="24">VLOOKUP($C61, INDIRECT("'"&amp;$B$4&amp;"'!$B$"&amp;$A61&amp;":"&amp;"$H$"&amp;$B61), G$2, FALSE)</f>
        <v>2.48</v>
      </c>
      <c r="H61" s="41">
        <f t="shared" ca="1" si="23"/>
        <v>2.84</v>
      </c>
      <c r="I61" s="41">
        <f t="shared" ca="1" si="23"/>
        <v>2.4500000000000002</v>
      </c>
      <c r="J61" s="41">
        <f t="shared" ca="1" si="23"/>
        <v>2.4500000000000002</v>
      </c>
      <c r="K61" s="41">
        <f t="shared" ca="1" si="23"/>
        <v>2.4500000000000002</v>
      </c>
      <c r="L61" s="42">
        <f t="shared" ca="1" si="23"/>
        <v>2.4500000000000002</v>
      </c>
      <c r="N61" s="50"/>
      <c r="O61" s="50"/>
      <c r="P61" s="50"/>
      <c r="Q61" s="50"/>
      <c r="R61" s="50"/>
      <c r="S61" s="50"/>
    </row>
    <row r="62" spans="1:19" x14ac:dyDescent="0.2">
      <c r="A62" s="59">
        <v>205</v>
      </c>
      <c r="B62" s="59">
        <v>208</v>
      </c>
      <c r="C62" s="59" t="s">
        <v>356</v>
      </c>
      <c r="E62" s="20" t="s">
        <v>420</v>
      </c>
      <c r="F62" s="8" t="s">
        <v>421</v>
      </c>
      <c r="G62" s="293">
        <f t="shared" ca="1" si="24"/>
        <v>600</v>
      </c>
      <c r="H62" s="294">
        <f t="shared" ca="1" si="23"/>
        <v>600</v>
      </c>
      <c r="I62" s="294">
        <f t="shared" ca="1" si="23"/>
        <v>600</v>
      </c>
      <c r="J62" s="294">
        <f t="shared" ca="1" si="23"/>
        <v>600</v>
      </c>
      <c r="K62" s="294">
        <f t="shared" ca="1" si="23"/>
        <v>600</v>
      </c>
      <c r="L62" s="295">
        <f t="shared" ca="1" si="23"/>
        <v>600</v>
      </c>
      <c r="N62" s="50"/>
      <c r="O62" s="50"/>
      <c r="P62" s="50"/>
      <c r="Q62" s="50"/>
      <c r="R62" s="50"/>
      <c r="S62" s="50"/>
    </row>
    <row r="63" spans="1:19" ht="13.5" thickBot="1" x14ac:dyDescent="0.25">
      <c r="A63" s="59">
        <v>205</v>
      </c>
      <c r="B63" s="59">
        <v>208</v>
      </c>
      <c r="C63" s="59" t="s">
        <v>160</v>
      </c>
      <c r="E63" s="32" t="s">
        <v>404</v>
      </c>
      <c r="F63" s="33" t="s">
        <v>8</v>
      </c>
      <c r="G63" s="43">
        <f t="shared" ca="1" si="24"/>
        <v>26600</v>
      </c>
      <c r="H63" s="44">
        <f t="shared" ca="1" si="23"/>
        <v>26600</v>
      </c>
      <c r="I63" s="44">
        <f t="shared" ca="1" si="23"/>
        <v>26600</v>
      </c>
      <c r="J63" s="44">
        <f t="shared" ca="1" si="23"/>
        <v>26600</v>
      </c>
      <c r="K63" s="44">
        <f t="shared" ca="1" si="23"/>
        <v>26600</v>
      </c>
      <c r="L63" s="45">
        <f t="shared" ca="1" si="23"/>
        <v>26600</v>
      </c>
      <c r="N63" s="50"/>
      <c r="O63" s="50"/>
      <c r="P63" s="50"/>
      <c r="Q63" s="50"/>
      <c r="R63" s="50"/>
      <c r="S63" s="50"/>
    </row>
    <row r="65" spans="5:5" x14ac:dyDescent="0.2">
      <c r="E65" s="10" t="s">
        <v>419</v>
      </c>
    </row>
  </sheetData>
  <mergeCells count="3">
    <mergeCell ref="G4:L4"/>
    <mergeCell ref="G6:L6"/>
    <mergeCell ref="A57:C57"/>
  </mergeCells>
  <printOptions horizontalCentered="1" gridLines="1"/>
  <pageMargins left="0.7" right="0.7" top="0.75" bottom="0.75" header="0.3" footer="0.3"/>
  <pageSetup scale="85" orientation="landscape" r:id="rId1"/>
  <headerFooter>
    <oddHeader>&amp;C&amp;F</oddHeader>
    <oddFooter>&amp;L&amp;D&amp;C&amp;A</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
  <sheetViews>
    <sheetView workbookViewId="0"/>
  </sheetViews>
  <sheetFormatPr defaultRowHeight="12.75" x14ac:dyDescent="0.2"/>
  <cols>
    <col min="1" max="16384" width="9.33203125" style="273"/>
  </cols>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D247"/>
  <sheetViews>
    <sheetView zoomScale="70" zoomScaleNormal="70" workbookViewId="0"/>
  </sheetViews>
  <sheetFormatPr defaultColWidth="10.6640625" defaultRowHeight="15" x14ac:dyDescent="0.2"/>
  <cols>
    <col min="1" max="1" width="14.83203125" style="61" customWidth="1"/>
    <col min="2" max="2" width="63.33203125" style="61" customWidth="1"/>
    <col min="3" max="8" width="30" style="188" customWidth="1"/>
    <col min="9" max="16384" width="10.6640625" style="61"/>
  </cols>
  <sheetData>
    <row r="1" spans="2:8" ht="16.5" thickBot="1" x14ac:dyDescent="0.25">
      <c r="B1" s="62"/>
      <c r="C1" s="63"/>
      <c r="D1" s="63"/>
      <c r="E1" s="63"/>
      <c r="F1" s="63"/>
      <c r="G1" s="64"/>
      <c r="H1" s="63"/>
    </row>
    <row r="2" spans="2:8" ht="16.5" thickTop="1" x14ac:dyDescent="0.2">
      <c r="B2" s="307" t="s">
        <v>74</v>
      </c>
      <c r="C2" s="308"/>
      <c r="D2" s="308"/>
      <c r="E2" s="308"/>
      <c r="F2" s="308"/>
      <c r="G2" s="308"/>
      <c r="H2" s="309"/>
    </row>
    <row r="3" spans="2:8" ht="15.75" x14ac:dyDescent="0.2">
      <c r="B3" s="310" t="s">
        <v>197</v>
      </c>
      <c r="C3" s="311"/>
      <c r="D3" s="311"/>
      <c r="E3" s="311"/>
      <c r="F3" s="311"/>
      <c r="G3" s="311"/>
      <c r="H3" s="312"/>
    </row>
    <row r="4" spans="2:8" ht="15.75" x14ac:dyDescent="0.2">
      <c r="B4" s="313" t="s">
        <v>76</v>
      </c>
      <c r="C4" s="314"/>
      <c r="D4" s="314"/>
      <c r="E4" s="314"/>
      <c r="F4" s="314"/>
      <c r="G4" s="314"/>
      <c r="H4" s="315"/>
    </row>
    <row r="5" spans="2:8" ht="16.5" thickBot="1" x14ac:dyDescent="0.25">
      <c r="B5" s="316" t="s">
        <v>439</v>
      </c>
      <c r="C5" s="317"/>
      <c r="D5" s="317"/>
      <c r="E5" s="317"/>
      <c r="F5" s="317"/>
      <c r="G5" s="317"/>
      <c r="H5" s="318"/>
    </row>
    <row r="6" spans="2:8" ht="48.6" customHeight="1" thickTop="1" thickBot="1" x14ac:dyDescent="0.25">
      <c r="B6" s="65" t="s">
        <v>77</v>
      </c>
      <c r="C6" s="66" t="s">
        <v>63</v>
      </c>
      <c r="D6" s="66" t="s">
        <v>62</v>
      </c>
      <c r="E6" s="66" t="s">
        <v>60</v>
      </c>
      <c r="F6" s="66" t="s">
        <v>61</v>
      </c>
      <c r="G6" s="66" t="s">
        <v>59</v>
      </c>
      <c r="H6" s="67" t="s">
        <v>58</v>
      </c>
    </row>
    <row r="7" spans="2:8" ht="15.6" customHeight="1" thickTop="1" thickBot="1" x14ac:dyDescent="0.25">
      <c r="B7" s="68" t="s">
        <v>78</v>
      </c>
      <c r="C7" s="69"/>
      <c r="D7" s="69"/>
      <c r="E7" s="69"/>
      <c r="F7" s="69"/>
      <c r="G7" s="70"/>
      <c r="H7" s="71"/>
    </row>
    <row r="8" spans="2:8" ht="15.75" thickTop="1" x14ac:dyDescent="0.2">
      <c r="B8" s="72" t="s">
        <v>79</v>
      </c>
      <c r="C8" s="73">
        <v>3</v>
      </c>
      <c r="D8" s="73">
        <v>3</v>
      </c>
      <c r="E8" s="73">
        <v>3</v>
      </c>
      <c r="F8" s="73">
        <v>3</v>
      </c>
      <c r="G8" s="73">
        <v>3</v>
      </c>
      <c r="H8" s="74">
        <v>3</v>
      </c>
    </row>
    <row r="9" spans="2:8" x14ac:dyDescent="0.2">
      <c r="B9" s="75" t="s">
        <v>80</v>
      </c>
      <c r="C9" s="76" t="s">
        <v>198</v>
      </c>
      <c r="D9" s="76" t="s">
        <v>198</v>
      </c>
      <c r="E9" s="76" t="s">
        <v>198</v>
      </c>
      <c r="F9" s="76" t="s">
        <v>198</v>
      </c>
      <c r="G9" s="76" t="s">
        <v>198</v>
      </c>
      <c r="H9" s="77" t="s">
        <v>198</v>
      </c>
    </row>
    <row r="10" spans="2:8" ht="15" customHeight="1" x14ac:dyDescent="0.2">
      <c r="B10" s="78" t="s">
        <v>82</v>
      </c>
      <c r="C10" s="79">
        <v>5</v>
      </c>
      <c r="D10" s="79">
        <v>5</v>
      </c>
      <c r="E10" s="79">
        <v>5</v>
      </c>
      <c r="F10" s="79">
        <v>5</v>
      </c>
      <c r="G10" s="79">
        <v>5</v>
      </c>
      <c r="H10" s="80">
        <v>5</v>
      </c>
    </row>
    <row r="11" spans="2:8" ht="15" customHeight="1" x14ac:dyDescent="0.2">
      <c r="B11" s="78" t="s">
        <v>84</v>
      </c>
      <c r="C11" s="79">
        <v>4</v>
      </c>
      <c r="D11" s="79">
        <v>4</v>
      </c>
      <c r="E11" s="79">
        <v>4</v>
      </c>
      <c r="F11" s="79">
        <v>4</v>
      </c>
      <c r="G11" s="79">
        <v>4</v>
      </c>
      <c r="H11" s="80">
        <v>4</v>
      </c>
    </row>
    <row r="12" spans="2:8" ht="15" customHeight="1" x14ac:dyDescent="0.2">
      <c r="B12" s="78" t="s">
        <v>86</v>
      </c>
      <c r="C12" s="79">
        <v>45</v>
      </c>
      <c r="D12" s="79">
        <v>45</v>
      </c>
      <c r="E12" s="79">
        <v>45</v>
      </c>
      <c r="F12" s="79">
        <v>45</v>
      </c>
      <c r="G12" s="79">
        <v>45</v>
      </c>
      <c r="H12" s="80">
        <v>45</v>
      </c>
    </row>
    <row r="13" spans="2:8" hidden="1" x14ac:dyDescent="0.2">
      <c r="B13" s="78"/>
      <c r="C13" s="81"/>
      <c r="D13" s="81"/>
      <c r="E13" s="81"/>
      <c r="F13" s="81"/>
      <c r="G13" s="81"/>
      <c r="H13" s="82"/>
    </row>
    <row r="14" spans="2:8" hidden="1" x14ac:dyDescent="0.2">
      <c r="B14" s="78"/>
      <c r="C14" s="79"/>
      <c r="D14" s="79"/>
      <c r="E14" s="79"/>
      <c r="F14" s="79"/>
      <c r="G14" s="79"/>
      <c r="H14" s="80"/>
    </row>
    <row r="15" spans="2:8" hidden="1" x14ac:dyDescent="0.2">
      <c r="B15" s="78"/>
      <c r="C15" s="79"/>
      <c r="D15" s="79"/>
      <c r="E15" s="79"/>
      <c r="F15" s="79"/>
      <c r="G15" s="79"/>
      <c r="H15" s="80"/>
    </row>
    <row r="16" spans="2:8" x14ac:dyDescent="0.2">
      <c r="B16" s="85" t="s">
        <v>87</v>
      </c>
      <c r="C16" s="83">
        <v>0.1003</v>
      </c>
      <c r="D16" s="83">
        <v>0.1003</v>
      </c>
      <c r="E16" s="83">
        <v>0.1003</v>
      </c>
      <c r="F16" s="83">
        <v>0.1003</v>
      </c>
      <c r="G16" s="83">
        <v>0.1003</v>
      </c>
      <c r="H16" s="84">
        <v>0.1003</v>
      </c>
    </row>
    <row r="17" spans="2:8" hidden="1" x14ac:dyDescent="0.2">
      <c r="B17" s="85"/>
      <c r="C17" s="83"/>
      <c r="D17" s="83"/>
      <c r="E17" s="83"/>
      <c r="F17" s="83"/>
      <c r="G17" s="83"/>
      <c r="H17" s="84"/>
    </row>
    <row r="18" spans="2:8" x14ac:dyDescent="0.2">
      <c r="B18" s="85" t="s">
        <v>88</v>
      </c>
      <c r="C18" s="86">
        <v>15</v>
      </c>
      <c r="D18" s="86">
        <v>15</v>
      </c>
      <c r="E18" s="86">
        <v>15</v>
      </c>
      <c r="F18" s="86">
        <v>15</v>
      </c>
      <c r="G18" s="86">
        <v>12</v>
      </c>
      <c r="H18" s="87">
        <v>15</v>
      </c>
    </row>
    <row r="19" spans="2:8" ht="30" x14ac:dyDescent="0.2">
      <c r="B19" s="78" t="s">
        <v>89</v>
      </c>
      <c r="C19" s="88" t="s">
        <v>408</v>
      </c>
      <c r="D19" s="88" t="s">
        <v>408</v>
      </c>
      <c r="E19" s="88" t="s">
        <v>90</v>
      </c>
      <c r="F19" s="88" t="s">
        <v>90</v>
      </c>
      <c r="G19" s="88" t="s">
        <v>90</v>
      </c>
      <c r="H19" s="89" t="s">
        <v>90</v>
      </c>
    </row>
    <row r="20" spans="2:8" ht="15" customHeight="1" x14ac:dyDescent="0.2">
      <c r="B20" s="78" t="s">
        <v>91</v>
      </c>
      <c r="C20" s="88" t="s">
        <v>92</v>
      </c>
      <c r="D20" s="88" t="s">
        <v>92</v>
      </c>
      <c r="E20" s="88" t="s">
        <v>92</v>
      </c>
      <c r="F20" s="88" t="s">
        <v>92</v>
      </c>
      <c r="G20" s="88" t="s">
        <v>92</v>
      </c>
      <c r="H20" s="89" t="s">
        <v>92</v>
      </c>
    </row>
    <row r="21" spans="2:8" ht="15" customHeight="1" x14ac:dyDescent="0.2">
      <c r="B21" s="75" t="s">
        <v>93</v>
      </c>
      <c r="C21" s="90" t="s">
        <v>94</v>
      </c>
      <c r="D21" s="90" t="s">
        <v>94</v>
      </c>
      <c r="E21" s="90" t="s">
        <v>94</v>
      </c>
      <c r="F21" s="90" t="s">
        <v>94</v>
      </c>
      <c r="G21" s="90" t="s">
        <v>94</v>
      </c>
      <c r="H21" s="91" t="s">
        <v>94</v>
      </c>
    </row>
    <row r="22" spans="2:8" ht="33" customHeight="1" x14ac:dyDescent="0.2">
      <c r="B22" s="85" t="s">
        <v>95</v>
      </c>
      <c r="C22" s="88" t="s">
        <v>96</v>
      </c>
      <c r="D22" s="88" t="s">
        <v>96</v>
      </c>
      <c r="E22" s="88" t="s">
        <v>96</v>
      </c>
      <c r="F22" s="88" t="s">
        <v>96</v>
      </c>
      <c r="G22" s="88" t="s">
        <v>96</v>
      </c>
      <c r="H22" s="89" t="s">
        <v>96</v>
      </c>
    </row>
    <row r="23" spans="2:8" ht="33" customHeight="1" x14ac:dyDescent="0.2">
      <c r="B23" s="85" t="s">
        <v>97</v>
      </c>
      <c r="C23" s="88" t="s">
        <v>98</v>
      </c>
      <c r="D23" s="88" t="s">
        <v>98</v>
      </c>
      <c r="E23" s="88" t="s">
        <v>98</v>
      </c>
      <c r="F23" s="88" t="s">
        <v>98</v>
      </c>
      <c r="G23" s="88" t="s">
        <v>98</v>
      </c>
      <c r="H23" s="89" t="s">
        <v>98</v>
      </c>
    </row>
    <row r="24" spans="2:8" ht="33" customHeight="1" x14ac:dyDescent="0.2">
      <c r="B24" s="75" t="s">
        <v>99</v>
      </c>
      <c r="C24" s="90" t="s">
        <v>100</v>
      </c>
      <c r="D24" s="90" t="s">
        <v>100</v>
      </c>
      <c r="E24" s="90" t="s">
        <v>100</v>
      </c>
      <c r="F24" s="90" t="s">
        <v>100</v>
      </c>
      <c r="G24" s="90" t="s">
        <v>100</v>
      </c>
      <c r="H24" s="91" t="s">
        <v>100</v>
      </c>
    </row>
    <row r="25" spans="2:8" x14ac:dyDescent="0.2">
      <c r="B25" s="75" t="s">
        <v>101</v>
      </c>
      <c r="C25" s="92">
        <v>345</v>
      </c>
      <c r="D25" s="92">
        <v>345</v>
      </c>
      <c r="E25" s="92">
        <v>345</v>
      </c>
      <c r="F25" s="92">
        <v>345</v>
      </c>
      <c r="G25" s="92">
        <v>345</v>
      </c>
      <c r="H25" s="93">
        <v>138</v>
      </c>
    </row>
    <row r="26" spans="2:8" ht="15" customHeight="1" x14ac:dyDescent="0.2">
      <c r="B26" s="75" t="s">
        <v>102</v>
      </c>
      <c r="C26" s="90" t="s">
        <v>103</v>
      </c>
      <c r="D26" s="90" t="s">
        <v>103</v>
      </c>
      <c r="E26" s="90" t="s">
        <v>103</v>
      </c>
      <c r="F26" s="90" t="s">
        <v>103</v>
      </c>
      <c r="G26" s="90" t="s">
        <v>103</v>
      </c>
      <c r="H26" s="91" t="s">
        <v>103</v>
      </c>
    </row>
    <row r="27" spans="2:8" ht="15" customHeight="1" x14ac:dyDescent="0.2">
      <c r="B27" s="75" t="s">
        <v>104</v>
      </c>
      <c r="C27" s="79">
        <v>3</v>
      </c>
      <c r="D27" s="79">
        <v>3</v>
      </c>
      <c r="E27" s="79">
        <v>3</v>
      </c>
      <c r="F27" s="79">
        <v>3</v>
      </c>
      <c r="G27" s="79">
        <v>3</v>
      </c>
      <c r="H27" s="80">
        <v>3</v>
      </c>
    </row>
    <row r="28" spans="2:8" ht="15.75" thickBot="1" x14ac:dyDescent="0.25">
      <c r="B28" s="94"/>
      <c r="C28" s="70"/>
      <c r="D28" s="70"/>
      <c r="E28" s="70"/>
      <c r="F28" s="70"/>
      <c r="G28" s="70"/>
      <c r="H28" s="71"/>
    </row>
    <row r="29" spans="2:8" ht="17.25" thickTop="1" thickBot="1" x14ac:dyDescent="0.25">
      <c r="B29" s="95" t="s">
        <v>105</v>
      </c>
      <c r="C29" s="70"/>
      <c r="D29" s="70"/>
      <c r="E29" s="70"/>
      <c r="F29" s="70"/>
      <c r="G29" s="70"/>
      <c r="H29" s="71"/>
    </row>
    <row r="30" spans="2:8" ht="15.75" thickTop="1" x14ac:dyDescent="0.2">
      <c r="B30" s="96"/>
      <c r="C30" s="97"/>
      <c r="D30" s="97"/>
      <c r="E30" s="97"/>
      <c r="F30" s="97"/>
      <c r="G30" s="97"/>
      <c r="H30" s="98"/>
    </row>
    <row r="31" spans="2:8" x14ac:dyDescent="0.2">
      <c r="B31" s="78" t="s">
        <v>106</v>
      </c>
      <c r="C31" s="99"/>
      <c r="D31" s="99"/>
      <c r="E31" s="99"/>
      <c r="F31" s="99"/>
      <c r="G31" s="99"/>
      <c r="H31" s="100"/>
    </row>
    <row r="32" spans="2:8" x14ac:dyDescent="0.2">
      <c r="B32" s="101" t="s">
        <v>107</v>
      </c>
      <c r="C32" s="102">
        <v>64.39</v>
      </c>
      <c r="D32" s="102">
        <v>65.459999999999994</v>
      </c>
      <c r="E32" s="102">
        <v>67.14</v>
      </c>
      <c r="F32" s="102">
        <v>67.14</v>
      </c>
      <c r="G32" s="102">
        <v>70.709999999999994</v>
      </c>
      <c r="H32" s="103">
        <v>67.8</v>
      </c>
    </row>
    <row r="33" spans="2:8" x14ac:dyDescent="0.2">
      <c r="B33" s="101" t="s">
        <v>108</v>
      </c>
      <c r="C33" s="104">
        <v>0.76019999999999999</v>
      </c>
      <c r="D33" s="104">
        <v>0.69099999999999995</v>
      </c>
      <c r="E33" s="104">
        <v>0.77210000000000012</v>
      </c>
      <c r="F33" s="104">
        <v>0.77210000000000012</v>
      </c>
      <c r="G33" s="104">
        <v>0.66439999999999999</v>
      </c>
      <c r="H33" s="105">
        <v>0.77300000000000002</v>
      </c>
    </row>
    <row r="34" spans="2:8" x14ac:dyDescent="0.2">
      <c r="B34" s="101" t="s">
        <v>65</v>
      </c>
      <c r="C34" s="99">
        <v>166700</v>
      </c>
      <c r="D34" s="99">
        <v>166700</v>
      </c>
      <c r="E34" s="99">
        <v>166500</v>
      </c>
      <c r="F34" s="99">
        <v>166500</v>
      </c>
      <c r="G34" s="99">
        <v>166500</v>
      </c>
      <c r="H34" s="100">
        <v>166600</v>
      </c>
    </row>
    <row r="35" spans="2:8" x14ac:dyDescent="0.2">
      <c r="B35" s="101" t="s">
        <v>69</v>
      </c>
      <c r="C35" s="99">
        <v>9670</v>
      </c>
      <c r="D35" s="99">
        <v>9660</v>
      </c>
      <c r="E35" s="99">
        <v>9670</v>
      </c>
      <c r="F35" s="99">
        <v>9670</v>
      </c>
      <c r="G35" s="99">
        <v>9670</v>
      </c>
      <c r="H35" s="100">
        <v>9670</v>
      </c>
    </row>
    <row r="36" spans="2:8" x14ac:dyDescent="0.2">
      <c r="B36" s="101" t="s">
        <v>109</v>
      </c>
      <c r="C36" s="99">
        <v>1610</v>
      </c>
      <c r="D36" s="99">
        <v>1610</v>
      </c>
      <c r="E36" s="99">
        <v>1610</v>
      </c>
      <c r="F36" s="99">
        <v>1610</v>
      </c>
      <c r="G36" s="99">
        <v>1610</v>
      </c>
      <c r="H36" s="100">
        <v>1610</v>
      </c>
    </row>
    <row r="37" spans="2:8" ht="15" customHeight="1" x14ac:dyDescent="0.2">
      <c r="B37" s="78"/>
      <c r="C37" s="99"/>
      <c r="D37" s="99"/>
      <c r="E37" s="99"/>
      <c r="F37" s="99"/>
      <c r="G37" s="99"/>
      <c r="H37" s="100"/>
    </row>
    <row r="38" spans="2:8" x14ac:dyDescent="0.2">
      <c r="B38" s="101" t="s">
        <v>110</v>
      </c>
      <c r="C38" s="99">
        <v>22800</v>
      </c>
      <c r="D38" s="99">
        <v>22800</v>
      </c>
      <c r="E38" s="99">
        <v>22700</v>
      </c>
      <c r="F38" s="99">
        <v>22700</v>
      </c>
      <c r="G38" s="99">
        <v>22600</v>
      </c>
      <c r="H38" s="100">
        <v>22700</v>
      </c>
    </row>
    <row r="39" spans="2:8" x14ac:dyDescent="0.2">
      <c r="B39" s="101" t="s">
        <v>111</v>
      </c>
      <c r="C39" s="99">
        <v>11860</v>
      </c>
      <c r="D39" s="99">
        <v>11870</v>
      </c>
      <c r="E39" s="99">
        <v>11880</v>
      </c>
      <c r="F39" s="99">
        <v>11880</v>
      </c>
      <c r="G39" s="99">
        <v>11910</v>
      </c>
      <c r="H39" s="100">
        <v>11870</v>
      </c>
    </row>
    <row r="40" spans="2:8" x14ac:dyDescent="0.2">
      <c r="B40" s="101" t="s">
        <v>112</v>
      </c>
      <c r="C40" s="99">
        <v>270</v>
      </c>
      <c r="D40" s="99">
        <v>270</v>
      </c>
      <c r="E40" s="99">
        <v>270</v>
      </c>
      <c r="F40" s="99">
        <v>270</v>
      </c>
      <c r="G40" s="99">
        <v>270</v>
      </c>
      <c r="H40" s="100">
        <v>270</v>
      </c>
    </row>
    <row r="41" spans="2:8" x14ac:dyDescent="0.2">
      <c r="B41" s="78"/>
      <c r="C41" s="99"/>
      <c r="D41" s="104"/>
      <c r="E41" s="104"/>
      <c r="F41" s="104"/>
      <c r="G41" s="99"/>
      <c r="H41" s="100"/>
    </row>
    <row r="42" spans="2:8" x14ac:dyDescent="0.2">
      <c r="B42" s="78"/>
      <c r="C42" s="99"/>
      <c r="D42" s="104"/>
      <c r="E42" s="104"/>
      <c r="F42" s="104"/>
      <c r="G42" s="99"/>
      <c r="H42" s="106"/>
    </row>
    <row r="43" spans="2:8" x14ac:dyDescent="0.2">
      <c r="B43" s="78" t="s">
        <v>113</v>
      </c>
      <c r="C43" s="99"/>
      <c r="D43" s="99"/>
      <c r="E43" s="99"/>
      <c r="F43" s="99"/>
      <c r="G43" s="99"/>
      <c r="H43" s="100"/>
    </row>
    <row r="44" spans="2:8" x14ac:dyDescent="0.2">
      <c r="B44" s="101" t="s">
        <v>107</v>
      </c>
      <c r="C44" s="102">
        <v>31.96</v>
      </c>
      <c r="D44" s="102">
        <v>33.130000000000003</v>
      </c>
      <c r="E44" s="102">
        <v>36.049999999999997</v>
      </c>
      <c r="F44" s="102">
        <v>36.049999999999997</v>
      </c>
      <c r="G44" s="102">
        <v>41.19</v>
      </c>
      <c r="H44" s="103">
        <v>39.5</v>
      </c>
    </row>
    <row r="45" spans="2:8" x14ac:dyDescent="0.2">
      <c r="B45" s="101" t="s">
        <v>108</v>
      </c>
      <c r="C45" s="104">
        <v>0.74439999999999995</v>
      </c>
      <c r="D45" s="104">
        <v>0.65620000000000001</v>
      </c>
      <c r="E45" s="104">
        <v>0.75539999999999996</v>
      </c>
      <c r="F45" s="104">
        <v>0.75539999999999996</v>
      </c>
      <c r="G45" s="104">
        <v>0.60899999999999999</v>
      </c>
      <c r="H45" s="105">
        <v>0.69199999999999984</v>
      </c>
    </row>
    <row r="46" spans="2:8" ht="15" customHeight="1" x14ac:dyDescent="0.2">
      <c r="B46" s="101" t="s">
        <v>65</v>
      </c>
      <c r="C46" s="99">
        <v>188200</v>
      </c>
      <c r="D46" s="99">
        <v>188200</v>
      </c>
      <c r="E46" s="99">
        <v>188200</v>
      </c>
      <c r="F46" s="99">
        <v>188200</v>
      </c>
      <c r="G46" s="99">
        <v>188200</v>
      </c>
      <c r="H46" s="100">
        <v>188200</v>
      </c>
    </row>
    <row r="47" spans="2:8" ht="15" customHeight="1" x14ac:dyDescent="0.2">
      <c r="B47" s="101" t="s">
        <v>69</v>
      </c>
      <c r="C47" s="99">
        <v>9440</v>
      </c>
      <c r="D47" s="99">
        <v>9440</v>
      </c>
      <c r="E47" s="99">
        <v>9440</v>
      </c>
      <c r="F47" s="99">
        <v>9440</v>
      </c>
      <c r="G47" s="99">
        <v>9460</v>
      </c>
      <c r="H47" s="100">
        <v>9450</v>
      </c>
    </row>
    <row r="48" spans="2:8" ht="15" customHeight="1" x14ac:dyDescent="0.2">
      <c r="B48" s="101" t="s">
        <v>109</v>
      </c>
      <c r="C48" s="99">
        <v>1780</v>
      </c>
      <c r="D48" s="99">
        <v>1780</v>
      </c>
      <c r="E48" s="99">
        <v>1780</v>
      </c>
      <c r="F48" s="99">
        <v>1780</v>
      </c>
      <c r="G48" s="99">
        <v>1780</v>
      </c>
      <c r="H48" s="100">
        <v>1780</v>
      </c>
    </row>
    <row r="49" spans="2:8" ht="15" customHeight="1" x14ac:dyDescent="0.2">
      <c r="B49" s="78"/>
      <c r="C49" s="99"/>
      <c r="D49" s="99"/>
      <c r="E49" s="99"/>
      <c r="F49" s="99"/>
      <c r="G49" s="99"/>
      <c r="H49" s="100"/>
    </row>
    <row r="50" spans="2:8" ht="15" customHeight="1" x14ac:dyDescent="0.2">
      <c r="B50" s="101" t="s">
        <v>110</v>
      </c>
      <c r="C50" s="99">
        <v>25700</v>
      </c>
      <c r="D50" s="99">
        <v>25700</v>
      </c>
      <c r="E50" s="99">
        <v>25700</v>
      </c>
      <c r="F50" s="99">
        <v>25700</v>
      </c>
      <c r="G50" s="99">
        <v>25700</v>
      </c>
      <c r="H50" s="100">
        <v>25700</v>
      </c>
    </row>
    <row r="51" spans="2:8" x14ac:dyDescent="0.2">
      <c r="B51" s="101" t="s">
        <v>111</v>
      </c>
      <c r="C51" s="99">
        <v>11550</v>
      </c>
      <c r="D51" s="99">
        <v>11550</v>
      </c>
      <c r="E51" s="99">
        <v>11550</v>
      </c>
      <c r="F51" s="99">
        <v>11550</v>
      </c>
      <c r="G51" s="99">
        <v>11560</v>
      </c>
      <c r="H51" s="100">
        <v>11550</v>
      </c>
    </row>
    <row r="52" spans="2:8" x14ac:dyDescent="0.2">
      <c r="B52" s="101" t="s">
        <v>112</v>
      </c>
      <c r="C52" s="99">
        <v>300</v>
      </c>
      <c r="D52" s="99">
        <v>300</v>
      </c>
      <c r="E52" s="99">
        <v>300</v>
      </c>
      <c r="F52" s="99">
        <v>300</v>
      </c>
      <c r="G52" s="99">
        <v>300</v>
      </c>
      <c r="H52" s="100">
        <v>300</v>
      </c>
    </row>
    <row r="53" spans="2:8" x14ac:dyDescent="0.2">
      <c r="B53" s="78"/>
      <c r="C53" s="99"/>
      <c r="D53" s="99"/>
      <c r="E53" s="99"/>
      <c r="F53" s="99"/>
      <c r="G53" s="99"/>
      <c r="H53" s="100"/>
    </row>
    <row r="54" spans="2:8" x14ac:dyDescent="0.2">
      <c r="B54" s="78"/>
      <c r="C54" s="99"/>
      <c r="D54" s="99"/>
      <c r="E54" s="99"/>
      <c r="F54" s="99"/>
      <c r="G54" s="99"/>
      <c r="H54" s="100"/>
    </row>
    <row r="55" spans="2:8" x14ac:dyDescent="0.2">
      <c r="B55" s="78" t="s">
        <v>114</v>
      </c>
      <c r="C55" s="99"/>
      <c r="D55" s="99"/>
      <c r="E55" s="99"/>
      <c r="F55" s="99"/>
      <c r="G55" s="99"/>
      <c r="H55" s="100"/>
    </row>
    <row r="56" spans="2:8" x14ac:dyDescent="0.2">
      <c r="B56" s="101" t="s">
        <v>107</v>
      </c>
      <c r="C56" s="102">
        <v>59</v>
      </c>
      <c r="D56" s="102">
        <v>59</v>
      </c>
      <c r="E56" s="102">
        <v>59</v>
      </c>
      <c r="F56" s="102">
        <v>59</v>
      </c>
      <c r="G56" s="102">
        <v>59</v>
      </c>
      <c r="H56" s="103">
        <v>59</v>
      </c>
    </row>
    <row r="57" spans="2:8" x14ac:dyDescent="0.2">
      <c r="B57" s="101" t="s">
        <v>108</v>
      </c>
      <c r="C57" s="104">
        <v>0.6</v>
      </c>
      <c r="D57" s="104">
        <v>0.6</v>
      </c>
      <c r="E57" s="104">
        <v>0.6</v>
      </c>
      <c r="F57" s="104">
        <v>0.6</v>
      </c>
      <c r="G57" s="104">
        <v>0.6</v>
      </c>
      <c r="H57" s="105">
        <v>0.6</v>
      </c>
    </row>
    <row r="58" spans="2:8" x14ac:dyDescent="0.2">
      <c r="B58" s="101" t="s">
        <v>65</v>
      </c>
      <c r="C58" s="99">
        <v>184700</v>
      </c>
      <c r="D58" s="99">
        <v>184700</v>
      </c>
      <c r="E58" s="99">
        <v>184800</v>
      </c>
      <c r="F58" s="99">
        <v>184800</v>
      </c>
      <c r="G58" s="99">
        <v>184900</v>
      </c>
      <c r="H58" s="100">
        <v>184900</v>
      </c>
    </row>
    <row r="59" spans="2:8" x14ac:dyDescent="0.2">
      <c r="B59" s="101" t="s">
        <v>69</v>
      </c>
      <c r="C59" s="99">
        <v>9430</v>
      </c>
      <c r="D59" s="99">
        <v>9430</v>
      </c>
      <c r="E59" s="99">
        <v>9430</v>
      </c>
      <c r="F59" s="99">
        <v>9430</v>
      </c>
      <c r="G59" s="99">
        <v>9420</v>
      </c>
      <c r="H59" s="100">
        <v>9420</v>
      </c>
    </row>
    <row r="60" spans="2:8" x14ac:dyDescent="0.2">
      <c r="B60" s="101" t="s">
        <v>109</v>
      </c>
      <c r="C60" s="99">
        <v>1740</v>
      </c>
      <c r="D60" s="99">
        <v>1740</v>
      </c>
      <c r="E60" s="99">
        <v>1740</v>
      </c>
      <c r="F60" s="99">
        <v>1740</v>
      </c>
      <c r="G60" s="99">
        <v>1740</v>
      </c>
      <c r="H60" s="100">
        <v>1740</v>
      </c>
    </row>
    <row r="61" spans="2:8" x14ac:dyDescent="0.2">
      <c r="B61" s="78"/>
      <c r="C61" s="99"/>
      <c r="D61" s="99"/>
      <c r="E61" s="99"/>
      <c r="F61" s="99"/>
      <c r="G61" s="99"/>
      <c r="H61" s="100"/>
    </row>
    <row r="62" spans="2:8" ht="15" customHeight="1" x14ac:dyDescent="0.2">
      <c r="B62" s="101" t="s">
        <v>110</v>
      </c>
      <c r="C62" s="99">
        <v>25300</v>
      </c>
      <c r="D62" s="99">
        <v>25300</v>
      </c>
      <c r="E62" s="99">
        <v>25300</v>
      </c>
      <c r="F62" s="99">
        <v>25300</v>
      </c>
      <c r="G62" s="99">
        <v>25300</v>
      </c>
      <c r="H62" s="100">
        <v>25300</v>
      </c>
    </row>
    <row r="63" spans="2:8" ht="15" customHeight="1" x14ac:dyDescent="0.2">
      <c r="B63" s="101" t="s">
        <v>111</v>
      </c>
      <c r="C63" s="99">
        <v>11630</v>
      </c>
      <c r="D63" s="99">
        <v>11620</v>
      </c>
      <c r="E63" s="99">
        <v>11620</v>
      </c>
      <c r="F63" s="99">
        <v>11620</v>
      </c>
      <c r="G63" s="99">
        <v>11620</v>
      </c>
      <c r="H63" s="100">
        <v>11620</v>
      </c>
    </row>
    <row r="64" spans="2:8" ht="15" customHeight="1" x14ac:dyDescent="0.2">
      <c r="B64" s="101" t="s">
        <v>112</v>
      </c>
      <c r="C64" s="99">
        <v>290</v>
      </c>
      <c r="D64" s="99">
        <v>290</v>
      </c>
      <c r="E64" s="99">
        <v>290</v>
      </c>
      <c r="F64" s="99">
        <v>290</v>
      </c>
      <c r="G64" s="99">
        <v>290</v>
      </c>
      <c r="H64" s="100">
        <v>290</v>
      </c>
    </row>
    <row r="65" spans="2:8" ht="15" customHeight="1" x14ac:dyDescent="0.2">
      <c r="B65" s="78"/>
      <c r="C65" s="192"/>
      <c r="D65" s="99"/>
      <c r="E65" s="99"/>
      <c r="F65" s="99"/>
      <c r="G65" s="192"/>
      <c r="H65" s="193"/>
    </row>
    <row r="66" spans="2:8" ht="15" customHeight="1" x14ac:dyDescent="0.2">
      <c r="B66" s="78"/>
      <c r="C66" s="99"/>
      <c r="D66" s="99"/>
      <c r="E66" s="99"/>
      <c r="F66" s="99"/>
      <c r="G66" s="99"/>
      <c r="H66" s="100"/>
    </row>
    <row r="67" spans="2:8" ht="15" customHeight="1" x14ac:dyDescent="0.2">
      <c r="B67" s="78" t="s">
        <v>115</v>
      </c>
      <c r="C67" s="99"/>
      <c r="D67" s="99"/>
      <c r="E67" s="99"/>
      <c r="F67" s="99"/>
      <c r="G67" s="99"/>
      <c r="H67" s="100"/>
    </row>
    <row r="68" spans="2:8" ht="15" customHeight="1" x14ac:dyDescent="0.2">
      <c r="B68" s="101" t="s">
        <v>107</v>
      </c>
      <c r="C68" s="102">
        <v>88.86</v>
      </c>
      <c r="D68" s="102">
        <v>89.43</v>
      </c>
      <c r="E68" s="102">
        <v>92.85</v>
      </c>
      <c r="F68" s="102">
        <v>92.85</v>
      </c>
      <c r="G68" s="102">
        <v>93.25</v>
      </c>
      <c r="H68" s="103">
        <v>88.8</v>
      </c>
    </row>
    <row r="69" spans="2:8" ht="15" customHeight="1" x14ac:dyDescent="0.2">
      <c r="B69" s="101" t="s">
        <v>108</v>
      </c>
      <c r="C69" s="104">
        <v>0.57699999999999996</v>
      </c>
      <c r="D69" s="104">
        <v>0.54649999999999999</v>
      </c>
      <c r="E69" s="104">
        <v>0.51490000000000002</v>
      </c>
      <c r="F69" s="104">
        <v>0.51490000000000002</v>
      </c>
      <c r="G69" s="104">
        <v>0.58799999999999997</v>
      </c>
      <c r="H69" s="105">
        <v>0.59</v>
      </c>
    </row>
    <row r="70" spans="2:8" ht="15" customHeight="1" x14ac:dyDescent="0.2">
      <c r="B70" s="101" t="s">
        <v>65</v>
      </c>
      <c r="C70" s="99">
        <v>160900</v>
      </c>
      <c r="D70" s="99">
        <v>161200</v>
      </c>
      <c r="E70" s="99">
        <v>160200</v>
      </c>
      <c r="F70" s="99">
        <v>160200</v>
      </c>
      <c r="G70" s="99">
        <v>158800</v>
      </c>
      <c r="H70" s="100">
        <v>160800</v>
      </c>
    </row>
    <row r="71" spans="2:8" ht="15" customHeight="1" x14ac:dyDescent="0.2">
      <c r="B71" s="101" t="s">
        <v>69</v>
      </c>
      <c r="C71" s="99">
        <v>9730</v>
      </c>
      <c r="D71" s="99">
        <v>9720</v>
      </c>
      <c r="E71" s="99">
        <v>9730</v>
      </c>
      <c r="F71" s="99">
        <v>9730</v>
      </c>
      <c r="G71" s="99">
        <v>9730</v>
      </c>
      <c r="H71" s="100">
        <v>9720</v>
      </c>
    </row>
    <row r="72" spans="2:8" ht="15" customHeight="1" x14ac:dyDescent="0.2">
      <c r="B72" s="101" t="s">
        <v>109</v>
      </c>
      <c r="C72" s="99">
        <v>1570</v>
      </c>
      <c r="D72" s="99">
        <v>1570</v>
      </c>
      <c r="E72" s="99">
        <v>1560</v>
      </c>
      <c r="F72" s="99">
        <v>1560</v>
      </c>
      <c r="G72" s="99">
        <v>1550</v>
      </c>
      <c r="H72" s="100">
        <v>1560</v>
      </c>
    </row>
    <row r="73" spans="2:8" ht="15" customHeight="1" x14ac:dyDescent="0.2">
      <c r="B73" s="78"/>
      <c r="C73" s="99"/>
      <c r="D73" s="99"/>
      <c r="E73" s="99"/>
      <c r="F73" s="99"/>
      <c r="G73" s="99"/>
      <c r="H73" s="100"/>
    </row>
    <row r="74" spans="2:8" ht="15" customHeight="1" x14ac:dyDescent="0.2">
      <c r="B74" s="101" t="s">
        <v>110</v>
      </c>
      <c r="C74" s="99">
        <v>21300</v>
      </c>
      <c r="D74" s="99">
        <v>21200</v>
      </c>
      <c r="E74" s="99">
        <v>21000</v>
      </c>
      <c r="F74" s="99">
        <v>21000</v>
      </c>
      <c r="G74" s="99">
        <v>21000</v>
      </c>
      <c r="H74" s="100">
        <v>21300</v>
      </c>
    </row>
    <row r="75" spans="2:8" ht="15" customHeight="1" x14ac:dyDescent="0.2">
      <c r="B75" s="101" t="s">
        <v>111</v>
      </c>
      <c r="C75" s="99">
        <v>12230</v>
      </c>
      <c r="D75" s="99">
        <v>12240</v>
      </c>
      <c r="E75" s="99">
        <v>12290</v>
      </c>
      <c r="F75" s="99">
        <v>12290</v>
      </c>
      <c r="G75" s="99">
        <v>12290</v>
      </c>
      <c r="H75" s="100">
        <v>12210</v>
      </c>
    </row>
    <row r="76" spans="2:8" ht="15" customHeight="1" x14ac:dyDescent="0.2">
      <c r="B76" s="101" t="s">
        <v>112</v>
      </c>
      <c r="C76" s="99">
        <v>260</v>
      </c>
      <c r="D76" s="99">
        <v>260</v>
      </c>
      <c r="E76" s="99">
        <v>260</v>
      </c>
      <c r="F76" s="99">
        <v>260</v>
      </c>
      <c r="G76" s="99">
        <v>260</v>
      </c>
      <c r="H76" s="100">
        <v>260</v>
      </c>
    </row>
    <row r="77" spans="2:8" ht="15" customHeight="1" x14ac:dyDescent="0.2">
      <c r="B77" s="78"/>
      <c r="C77" s="99"/>
      <c r="D77" s="99"/>
      <c r="E77" s="99"/>
      <c r="F77" s="99"/>
      <c r="G77" s="99"/>
      <c r="H77" s="100"/>
    </row>
    <row r="78" spans="2:8" ht="15" customHeight="1" x14ac:dyDescent="0.2">
      <c r="B78" s="78"/>
      <c r="C78" s="99"/>
      <c r="D78" s="99"/>
      <c r="E78" s="99"/>
      <c r="F78" s="99"/>
      <c r="G78" s="99"/>
      <c r="H78" s="100"/>
    </row>
    <row r="79" spans="2:8" ht="15" customHeight="1" x14ac:dyDescent="0.2">
      <c r="B79" s="78" t="s">
        <v>116</v>
      </c>
      <c r="C79" s="99"/>
      <c r="D79" s="99"/>
      <c r="E79" s="99"/>
      <c r="F79" s="99"/>
      <c r="G79" s="99"/>
      <c r="H79" s="100"/>
    </row>
    <row r="80" spans="2:8" ht="15" customHeight="1" x14ac:dyDescent="0.2">
      <c r="B80" s="101" t="s">
        <v>107</v>
      </c>
      <c r="C80" s="102">
        <v>10.84</v>
      </c>
      <c r="D80" s="102">
        <v>13.23</v>
      </c>
      <c r="E80" s="102">
        <v>12.48</v>
      </c>
      <c r="F80" s="102">
        <v>12.48</v>
      </c>
      <c r="G80" s="102">
        <v>21.15</v>
      </c>
      <c r="H80" s="103">
        <v>16.5</v>
      </c>
    </row>
    <row r="81" spans="2:8" ht="15" customHeight="1" x14ac:dyDescent="0.2">
      <c r="B81" s="101" t="s">
        <v>108</v>
      </c>
      <c r="C81" s="104">
        <v>0.55669999999999997</v>
      </c>
      <c r="D81" s="104">
        <v>0.59079999999999999</v>
      </c>
      <c r="E81" s="104">
        <v>0.57550000000000001</v>
      </c>
      <c r="F81" s="104">
        <v>0.57550000000000001</v>
      </c>
      <c r="G81" s="104">
        <v>0.46439999999999998</v>
      </c>
      <c r="H81" s="105">
        <v>0.502</v>
      </c>
    </row>
    <row r="82" spans="2:8" ht="15" customHeight="1" x14ac:dyDescent="0.2">
      <c r="B82" s="101" t="s">
        <v>65</v>
      </c>
      <c r="C82" s="99">
        <v>188200</v>
      </c>
      <c r="D82" s="99">
        <v>188200</v>
      </c>
      <c r="E82" s="99">
        <v>188200</v>
      </c>
      <c r="F82" s="99">
        <v>188200</v>
      </c>
      <c r="G82" s="99">
        <v>188200</v>
      </c>
      <c r="H82" s="100">
        <v>188200</v>
      </c>
    </row>
    <row r="83" spans="2:8" ht="15" customHeight="1" x14ac:dyDescent="0.2">
      <c r="B83" s="101" t="s">
        <v>69</v>
      </c>
      <c r="C83" s="99">
        <v>9380</v>
      </c>
      <c r="D83" s="99">
        <v>9390</v>
      </c>
      <c r="E83" s="99">
        <v>9380</v>
      </c>
      <c r="F83" s="99">
        <v>9380</v>
      </c>
      <c r="G83" s="99">
        <v>9400</v>
      </c>
      <c r="H83" s="100">
        <v>9390</v>
      </c>
    </row>
    <row r="84" spans="2:8" ht="15" customHeight="1" x14ac:dyDescent="0.2">
      <c r="B84" s="101" t="s">
        <v>109</v>
      </c>
      <c r="C84" s="99">
        <v>1770</v>
      </c>
      <c r="D84" s="99">
        <v>1770</v>
      </c>
      <c r="E84" s="99">
        <v>1770</v>
      </c>
      <c r="F84" s="99">
        <v>1770</v>
      </c>
      <c r="G84" s="99">
        <v>1770</v>
      </c>
      <c r="H84" s="100">
        <v>1770</v>
      </c>
    </row>
    <row r="85" spans="2:8" ht="15" customHeight="1" x14ac:dyDescent="0.2">
      <c r="B85" s="78"/>
      <c r="C85" s="99"/>
      <c r="D85" s="99"/>
      <c r="E85" s="99"/>
      <c r="F85" s="99"/>
      <c r="G85" s="99"/>
      <c r="H85" s="100"/>
    </row>
    <row r="86" spans="2:8" ht="15" customHeight="1" x14ac:dyDescent="0.2">
      <c r="B86" s="101" t="s">
        <v>110</v>
      </c>
      <c r="C86" s="99">
        <v>25700</v>
      </c>
      <c r="D86" s="99">
        <v>25700</v>
      </c>
      <c r="E86" s="99">
        <v>25700</v>
      </c>
      <c r="F86" s="99">
        <v>25700</v>
      </c>
      <c r="G86" s="99">
        <v>25700</v>
      </c>
      <c r="H86" s="100">
        <v>25700</v>
      </c>
    </row>
    <row r="87" spans="2:8" x14ac:dyDescent="0.2">
      <c r="B87" s="101" t="s">
        <v>111</v>
      </c>
      <c r="C87" s="99">
        <v>11500</v>
      </c>
      <c r="D87" s="99">
        <v>11500</v>
      </c>
      <c r="E87" s="99">
        <v>11500</v>
      </c>
      <c r="F87" s="99">
        <v>11500</v>
      </c>
      <c r="G87" s="99">
        <v>11510</v>
      </c>
      <c r="H87" s="100">
        <v>11500</v>
      </c>
    </row>
    <row r="88" spans="2:8" x14ac:dyDescent="0.2">
      <c r="B88" s="101" t="s">
        <v>112</v>
      </c>
      <c r="C88" s="99">
        <v>300</v>
      </c>
      <c r="D88" s="99">
        <v>300</v>
      </c>
      <c r="E88" s="99">
        <v>300</v>
      </c>
      <c r="F88" s="99">
        <v>300</v>
      </c>
      <c r="G88" s="99">
        <v>300</v>
      </c>
      <c r="H88" s="100">
        <v>300</v>
      </c>
    </row>
    <row r="89" spans="2:8" x14ac:dyDescent="0.2">
      <c r="B89" s="78"/>
      <c r="C89" s="99"/>
      <c r="D89" s="99"/>
      <c r="E89" s="99"/>
      <c r="F89" s="99"/>
      <c r="G89" s="99"/>
      <c r="H89" s="100"/>
    </row>
    <row r="90" spans="2:8" x14ac:dyDescent="0.2">
      <c r="B90" s="78"/>
      <c r="C90" s="99"/>
      <c r="D90" s="99"/>
      <c r="E90" s="99"/>
      <c r="F90" s="99"/>
      <c r="G90" s="99"/>
      <c r="H90" s="100"/>
    </row>
    <row r="91" spans="2:8" x14ac:dyDescent="0.2">
      <c r="B91" s="78" t="s">
        <v>117</v>
      </c>
      <c r="C91" s="99"/>
      <c r="D91" s="99"/>
      <c r="E91" s="99"/>
      <c r="F91" s="99"/>
      <c r="G91" s="99"/>
      <c r="H91" s="100"/>
    </row>
    <row r="92" spans="2:8" ht="15" customHeight="1" x14ac:dyDescent="0.2">
      <c r="B92" s="101" t="s">
        <v>107</v>
      </c>
      <c r="C92" s="102">
        <v>90</v>
      </c>
      <c r="D92" s="102">
        <v>90</v>
      </c>
      <c r="E92" s="102">
        <v>90</v>
      </c>
      <c r="F92" s="102">
        <v>90</v>
      </c>
      <c r="G92" s="102">
        <v>90</v>
      </c>
      <c r="H92" s="103">
        <v>90</v>
      </c>
    </row>
    <row r="93" spans="2:8" ht="15" customHeight="1" x14ac:dyDescent="0.2">
      <c r="B93" s="101" t="s">
        <v>108</v>
      </c>
      <c r="C93" s="104">
        <v>0.7</v>
      </c>
      <c r="D93" s="104">
        <v>0.7</v>
      </c>
      <c r="E93" s="104">
        <v>0.7</v>
      </c>
      <c r="F93" s="104">
        <v>0.7</v>
      </c>
      <c r="G93" s="104">
        <v>0.7</v>
      </c>
      <c r="H93" s="105">
        <v>0.7</v>
      </c>
    </row>
    <row r="94" spans="2:8" ht="15" customHeight="1" x14ac:dyDescent="0.2">
      <c r="B94" s="101" t="s">
        <v>65</v>
      </c>
      <c r="C94" s="99">
        <v>158600</v>
      </c>
      <c r="D94" s="99">
        <v>158600</v>
      </c>
      <c r="E94" s="99">
        <v>158700</v>
      </c>
      <c r="F94" s="99">
        <v>158700</v>
      </c>
      <c r="G94" s="99">
        <v>158700</v>
      </c>
      <c r="H94" s="100">
        <v>158700</v>
      </c>
    </row>
    <row r="95" spans="2:8" ht="15" customHeight="1" x14ac:dyDescent="0.2">
      <c r="B95" s="101" t="s">
        <v>69</v>
      </c>
      <c r="C95" s="99">
        <v>9730</v>
      </c>
      <c r="D95" s="99">
        <v>9730</v>
      </c>
      <c r="E95" s="99">
        <v>9730</v>
      </c>
      <c r="F95" s="99">
        <v>9730</v>
      </c>
      <c r="G95" s="99">
        <v>9720</v>
      </c>
      <c r="H95" s="100">
        <v>9720</v>
      </c>
    </row>
    <row r="96" spans="2:8" ht="15" customHeight="1" x14ac:dyDescent="0.2">
      <c r="B96" s="101" t="s">
        <v>109</v>
      </c>
      <c r="C96" s="99">
        <v>1540</v>
      </c>
      <c r="D96" s="99">
        <v>1540</v>
      </c>
      <c r="E96" s="99">
        <v>1540</v>
      </c>
      <c r="F96" s="99">
        <v>1540</v>
      </c>
      <c r="G96" s="99">
        <v>1540</v>
      </c>
      <c r="H96" s="100">
        <v>1540</v>
      </c>
    </row>
    <row r="97" spans="2:8" ht="15" customHeight="1" x14ac:dyDescent="0.2">
      <c r="B97" s="78"/>
      <c r="C97" s="99"/>
      <c r="D97" s="99"/>
      <c r="E97" s="99"/>
      <c r="F97" s="99"/>
      <c r="G97" s="99"/>
      <c r="H97" s="100"/>
    </row>
    <row r="98" spans="2:8" ht="15" customHeight="1" x14ac:dyDescent="0.2">
      <c r="B98" s="101" t="s">
        <v>110</v>
      </c>
      <c r="C98" s="99">
        <v>21200</v>
      </c>
      <c r="D98" s="99">
        <v>21200</v>
      </c>
      <c r="E98" s="99">
        <v>21200</v>
      </c>
      <c r="F98" s="99">
        <v>21200</v>
      </c>
      <c r="G98" s="99">
        <v>21200</v>
      </c>
      <c r="H98" s="100">
        <v>21200</v>
      </c>
    </row>
    <row r="99" spans="2:8" ht="15" customHeight="1" x14ac:dyDescent="0.2">
      <c r="B99" s="101" t="s">
        <v>111</v>
      </c>
      <c r="C99" s="99">
        <v>12240</v>
      </c>
      <c r="D99" s="99">
        <v>12240</v>
      </c>
      <c r="E99" s="99">
        <v>12230</v>
      </c>
      <c r="F99" s="99">
        <v>12230</v>
      </c>
      <c r="G99" s="99">
        <v>12230</v>
      </c>
      <c r="H99" s="100">
        <v>12230</v>
      </c>
    </row>
    <row r="100" spans="2:8" ht="15" customHeight="1" x14ac:dyDescent="0.2">
      <c r="B100" s="101" t="s">
        <v>112</v>
      </c>
      <c r="C100" s="99">
        <v>260</v>
      </c>
      <c r="D100" s="99">
        <v>260</v>
      </c>
      <c r="E100" s="99">
        <v>260</v>
      </c>
      <c r="F100" s="99">
        <v>260</v>
      </c>
      <c r="G100" s="99">
        <v>260</v>
      </c>
      <c r="H100" s="100">
        <v>260</v>
      </c>
    </row>
    <row r="101" spans="2:8" ht="15" customHeight="1" x14ac:dyDescent="0.2">
      <c r="B101" s="78"/>
      <c r="C101" s="99"/>
      <c r="D101" s="99"/>
      <c r="E101" s="99"/>
      <c r="F101" s="99"/>
      <c r="G101" s="99"/>
      <c r="H101" s="100"/>
    </row>
    <row r="102" spans="2:8" ht="15" customHeight="1" x14ac:dyDescent="0.2">
      <c r="B102" s="78"/>
      <c r="C102" s="99"/>
      <c r="D102" s="99"/>
      <c r="E102" s="99"/>
      <c r="F102" s="99"/>
      <c r="G102" s="99"/>
      <c r="H102" s="100"/>
    </row>
    <row r="103" spans="2:8" ht="15.75" x14ac:dyDescent="0.2">
      <c r="B103" s="107" t="s">
        <v>118</v>
      </c>
      <c r="C103" s="99"/>
      <c r="D103" s="99"/>
      <c r="E103" s="99"/>
      <c r="F103" s="99"/>
      <c r="G103" s="99"/>
      <c r="H103" s="100"/>
    </row>
    <row r="104" spans="2:8" hidden="1" x14ac:dyDescent="0.2">
      <c r="B104" s="78"/>
      <c r="C104" s="99"/>
      <c r="D104" s="99"/>
      <c r="E104" s="99"/>
      <c r="F104" s="99"/>
      <c r="G104" s="99"/>
      <c r="H104" s="100"/>
    </row>
    <row r="105" spans="2:8" x14ac:dyDescent="0.2">
      <c r="B105" s="78" t="s">
        <v>199</v>
      </c>
      <c r="C105" s="99">
        <v>100</v>
      </c>
      <c r="D105" s="99">
        <v>100</v>
      </c>
      <c r="E105" s="99">
        <v>100</v>
      </c>
      <c r="F105" s="99">
        <v>100</v>
      </c>
      <c r="G105" s="99">
        <v>100</v>
      </c>
      <c r="H105" s="100">
        <v>100</v>
      </c>
    </row>
    <row r="106" spans="2:8" hidden="1" x14ac:dyDescent="0.2">
      <c r="B106" s="78"/>
      <c r="C106" s="99"/>
      <c r="D106" s="99"/>
      <c r="E106" s="99"/>
      <c r="F106" s="99"/>
      <c r="G106" s="99"/>
      <c r="H106" s="100"/>
    </row>
    <row r="107" spans="2:8" ht="15.75" hidden="1" x14ac:dyDescent="0.2">
      <c r="B107" s="107"/>
      <c r="C107" s="99"/>
      <c r="D107" s="99"/>
      <c r="E107" s="99"/>
      <c r="F107" s="99"/>
      <c r="G107" s="99"/>
      <c r="H107" s="100"/>
    </row>
    <row r="108" spans="2:8" hidden="1" x14ac:dyDescent="0.2">
      <c r="B108" s="78"/>
      <c r="C108" s="108"/>
      <c r="D108" s="108"/>
      <c r="E108" s="108"/>
      <c r="F108" s="108"/>
      <c r="G108" s="108"/>
      <c r="H108" s="109"/>
    </row>
    <row r="109" spans="2:8" hidden="1" x14ac:dyDescent="0.2">
      <c r="B109" s="78"/>
      <c r="C109" s="108"/>
      <c r="D109" s="108"/>
      <c r="E109" s="108"/>
      <c r="F109" s="108"/>
      <c r="G109" s="99"/>
      <c r="H109" s="109"/>
    </row>
    <row r="110" spans="2:8" ht="15" hidden="1" customHeight="1" x14ac:dyDescent="0.2">
      <c r="B110" s="78"/>
      <c r="C110" s="99"/>
      <c r="D110" s="99"/>
      <c r="E110" s="99"/>
      <c r="F110" s="99"/>
      <c r="G110" s="99"/>
      <c r="H110" s="100"/>
    </row>
    <row r="111" spans="2:8" ht="15" hidden="1" customHeight="1" x14ac:dyDescent="0.2">
      <c r="B111" s="78"/>
      <c r="C111" s="99"/>
      <c r="D111" s="99"/>
      <c r="E111" s="99"/>
      <c r="F111" s="99"/>
      <c r="G111" s="99"/>
      <c r="H111" s="100"/>
    </row>
    <row r="112" spans="2:8" ht="15" hidden="1" customHeight="1" x14ac:dyDescent="0.2">
      <c r="B112" s="78"/>
      <c r="C112" s="99"/>
      <c r="D112" s="99"/>
      <c r="E112" s="99"/>
      <c r="F112" s="99"/>
      <c r="G112" s="99"/>
      <c r="H112" s="100"/>
    </row>
    <row r="113" spans="2:8" ht="15" hidden="1" customHeight="1" x14ac:dyDescent="0.2">
      <c r="B113" s="78"/>
      <c r="C113" s="99"/>
      <c r="D113" s="99"/>
      <c r="E113" s="99"/>
      <c r="F113" s="99"/>
      <c r="G113" s="99"/>
      <c r="H113" s="100"/>
    </row>
    <row r="114" spans="2:8" ht="15" hidden="1" customHeight="1" x14ac:dyDescent="0.2">
      <c r="B114" s="78"/>
      <c r="C114" s="99"/>
      <c r="D114" s="99"/>
      <c r="E114" s="99"/>
      <c r="F114" s="99"/>
      <c r="G114" s="99"/>
      <c r="H114" s="100"/>
    </row>
    <row r="115" spans="2:8" ht="15" hidden="1" customHeight="1" x14ac:dyDescent="0.2">
      <c r="B115" s="78"/>
      <c r="C115" s="99"/>
      <c r="D115" s="99"/>
      <c r="E115" s="99"/>
      <c r="F115" s="99"/>
      <c r="G115" s="99"/>
      <c r="H115" s="100"/>
    </row>
    <row r="116" spans="2:8" hidden="1" x14ac:dyDescent="0.2">
      <c r="B116" s="78"/>
      <c r="C116" s="99"/>
      <c r="D116" s="99"/>
      <c r="E116" s="99"/>
      <c r="F116" s="99"/>
      <c r="G116" s="99"/>
      <c r="H116" s="100"/>
    </row>
    <row r="117" spans="2:8" ht="15.75" hidden="1" x14ac:dyDescent="0.2">
      <c r="B117" s="107"/>
      <c r="C117" s="99"/>
      <c r="D117" s="99"/>
      <c r="E117" s="99"/>
      <c r="F117" s="99"/>
      <c r="G117" s="99"/>
      <c r="H117" s="100"/>
    </row>
    <row r="118" spans="2:8" hidden="1" x14ac:dyDescent="0.2">
      <c r="B118" s="78"/>
      <c r="C118" s="108"/>
      <c r="D118" s="108"/>
      <c r="E118" s="108"/>
      <c r="F118" s="108"/>
      <c r="G118" s="99"/>
      <c r="H118" s="109"/>
    </row>
    <row r="119" spans="2:8" ht="15.75" thickBot="1" x14ac:dyDescent="0.25">
      <c r="B119" s="110"/>
      <c r="C119" s="111"/>
      <c r="D119" s="111"/>
      <c r="E119" s="111"/>
      <c r="F119" s="111"/>
      <c r="G119" s="111"/>
      <c r="H119" s="112"/>
    </row>
    <row r="120" spans="2:8" ht="17.25" thickTop="1" thickBot="1" x14ac:dyDescent="0.25">
      <c r="B120" s="113" t="s">
        <v>121</v>
      </c>
      <c r="C120" s="114"/>
      <c r="D120" s="114"/>
      <c r="E120" s="114"/>
      <c r="F120" s="114"/>
      <c r="G120" s="114"/>
      <c r="H120" s="115"/>
    </row>
    <row r="121" spans="2:8" ht="15.75" thickTop="1" x14ac:dyDescent="0.2">
      <c r="B121" s="96"/>
      <c r="C121" s="116"/>
      <c r="D121" s="116"/>
      <c r="E121" s="116"/>
      <c r="F121" s="116"/>
      <c r="G121" s="116"/>
      <c r="H121" s="117"/>
    </row>
    <row r="122" spans="2:8" s="118" customFormat="1" ht="15.75" x14ac:dyDescent="0.2">
      <c r="B122" s="119" t="s">
        <v>122</v>
      </c>
      <c r="C122" s="120">
        <v>213.3</v>
      </c>
      <c r="D122" s="120">
        <v>215.65</v>
      </c>
      <c r="E122" s="120">
        <v>231.47</v>
      </c>
      <c r="F122" s="120">
        <v>239.8</v>
      </c>
      <c r="G122" s="120">
        <v>261.48</v>
      </c>
      <c r="H122" s="121">
        <v>258.42</v>
      </c>
    </row>
    <row r="123" spans="2:8" s="118" customFormat="1" ht="15.75" x14ac:dyDescent="0.2">
      <c r="B123" s="122" t="s">
        <v>123</v>
      </c>
      <c r="C123" s="123">
        <v>37.690629267327438</v>
      </c>
      <c r="D123" s="123">
        <v>39.308835047637935</v>
      </c>
      <c r="E123" s="123">
        <v>45.624985962863391</v>
      </c>
      <c r="F123" s="123">
        <v>53.794737630895945</v>
      </c>
      <c r="G123" s="123">
        <v>72.370264807259844</v>
      </c>
      <c r="H123" s="124">
        <v>69.91858813852069</v>
      </c>
    </row>
    <row r="124" spans="2:8" s="118" customFormat="1" ht="15.75" x14ac:dyDescent="0.2">
      <c r="B124" s="122" t="s">
        <v>124</v>
      </c>
      <c r="C124" s="123">
        <v>63.55408770899755</v>
      </c>
      <c r="D124" s="123">
        <v>63.741639861720877</v>
      </c>
      <c r="E124" s="123">
        <v>66.607656925832288</v>
      </c>
      <c r="F124" s="123">
        <v>66.77037145237712</v>
      </c>
      <c r="G124" s="123">
        <v>66.888450726706978</v>
      </c>
      <c r="H124" s="124">
        <v>66.945016459340891</v>
      </c>
    </row>
    <row r="125" spans="2:8" s="118" customFormat="1" ht="15.75" x14ac:dyDescent="0.2">
      <c r="B125" s="122" t="s">
        <v>125</v>
      </c>
      <c r="C125" s="123">
        <v>63</v>
      </c>
      <c r="D125" s="123">
        <v>63</v>
      </c>
      <c r="E125" s="123">
        <v>66</v>
      </c>
      <c r="F125" s="123">
        <v>66</v>
      </c>
      <c r="G125" s="123">
        <v>66</v>
      </c>
      <c r="H125" s="124">
        <v>66</v>
      </c>
    </row>
    <row r="126" spans="2:8" s="118" customFormat="1" ht="15.75" x14ac:dyDescent="0.2">
      <c r="B126" s="122" t="s">
        <v>126</v>
      </c>
      <c r="C126" s="123">
        <v>49.060110265655517</v>
      </c>
      <c r="D126" s="123">
        <v>49.599492505392895</v>
      </c>
      <c r="E126" s="123">
        <v>53.238321901818196</v>
      </c>
      <c r="F126" s="123">
        <v>53.235802334815702</v>
      </c>
      <c r="G126" s="123">
        <v>56.21735520993996</v>
      </c>
      <c r="H126" s="124">
        <v>55.561369412153169</v>
      </c>
    </row>
    <row r="127" spans="2:8" x14ac:dyDescent="0.2">
      <c r="B127" s="78"/>
      <c r="C127" s="81"/>
      <c r="D127" s="194"/>
      <c r="E127" s="194"/>
      <c r="F127" s="195"/>
      <c r="G127" s="81"/>
      <c r="H127" s="82"/>
    </row>
    <row r="128" spans="2:8" s="118" customFormat="1" ht="15.75" x14ac:dyDescent="0.2">
      <c r="B128" s="107" t="s">
        <v>127</v>
      </c>
      <c r="C128" s="120">
        <v>67.460000000000008</v>
      </c>
      <c r="D128" s="120">
        <v>67.59</v>
      </c>
      <c r="E128" s="120">
        <v>74.86</v>
      </c>
      <c r="F128" s="120">
        <v>75.63</v>
      </c>
      <c r="G128" s="120">
        <v>123.75000000000001</v>
      </c>
      <c r="H128" s="121">
        <v>64.489999999999995</v>
      </c>
    </row>
    <row r="129" spans="2:8" x14ac:dyDescent="0.2">
      <c r="B129" s="125" t="s">
        <v>128</v>
      </c>
      <c r="C129" s="126">
        <v>0.37</v>
      </c>
      <c r="D129" s="126">
        <v>0.37</v>
      </c>
      <c r="E129" s="126">
        <v>0.37</v>
      </c>
      <c r="F129" s="126">
        <v>0.37</v>
      </c>
      <c r="G129" s="126">
        <v>0.48</v>
      </c>
      <c r="H129" s="127">
        <v>0.41</v>
      </c>
    </row>
    <row r="130" spans="2:8" x14ac:dyDescent="0.2">
      <c r="B130" s="125" t="s">
        <v>129</v>
      </c>
      <c r="C130" s="126">
        <v>0.44</v>
      </c>
      <c r="D130" s="126">
        <v>0.44</v>
      </c>
      <c r="E130" s="126">
        <v>0.44</v>
      </c>
      <c r="F130" s="126">
        <v>0.44</v>
      </c>
      <c r="G130" s="126">
        <v>0.56999999999999995</v>
      </c>
      <c r="H130" s="127">
        <v>0.48</v>
      </c>
    </row>
    <row r="131" spans="2:8" x14ac:dyDescent="0.2">
      <c r="B131" s="125" t="s">
        <v>130</v>
      </c>
      <c r="C131" s="126">
        <v>1.02</v>
      </c>
      <c r="D131" s="126">
        <v>1.02</v>
      </c>
      <c r="E131" s="126">
        <v>1.02</v>
      </c>
      <c r="F131" s="126">
        <v>1.02</v>
      </c>
      <c r="G131" s="126">
        <v>1.33</v>
      </c>
      <c r="H131" s="127">
        <v>1.1200000000000001</v>
      </c>
    </row>
    <row r="132" spans="2:8" x14ac:dyDescent="0.2">
      <c r="B132" s="125" t="s">
        <v>131</v>
      </c>
      <c r="C132" s="126">
        <v>1.1299999999999999</v>
      </c>
      <c r="D132" s="126">
        <v>1.1299999999999999</v>
      </c>
      <c r="E132" s="126">
        <v>1.1299999999999999</v>
      </c>
      <c r="F132" s="126">
        <v>1.1299999999999999</v>
      </c>
      <c r="G132" s="126">
        <v>1.47</v>
      </c>
      <c r="H132" s="127">
        <v>1.24</v>
      </c>
    </row>
    <row r="133" spans="2:8" x14ac:dyDescent="0.2">
      <c r="B133" s="125" t="s">
        <v>132</v>
      </c>
      <c r="C133" s="126">
        <v>1</v>
      </c>
      <c r="D133" s="126">
        <v>1</v>
      </c>
      <c r="E133" s="126">
        <v>1</v>
      </c>
      <c r="F133" s="126">
        <v>1</v>
      </c>
      <c r="G133" s="126">
        <v>1.3</v>
      </c>
      <c r="H133" s="127">
        <v>1.1000000000000001</v>
      </c>
    </row>
    <row r="134" spans="2:8" x14ac:dyDescent="0.2">
      <c r="B134" s="125" t="s">
        <v>133</v>
      </c>
      <c r="C134" s="126">
        <v>0.27</v>
      </c>
      <c r="D134" s="126">
        <v>0.27</v>
      </c>
      <c r="E134" s="126">
        <v>0.27</v>
      </c>
      <c r="F134" s="126">
        <v>0.27</v>
      </c>
      <c r="G134" s="126">
        <v>0.35</v>
      </c>
      <c r="H134" s="127">
        <v>0.3</v>
      </c>
    </row>
    <row r="135" spans="2:8" x14ac:dyDescent="0.2">
      <c r="B135" s="125" t="s">
        <v>134</v>
      </c>
      <c r="C135" s="126">
        <v>0</v>
      </c>
      <c r="D135" s="126">
        <v>0</v>
      </c>
      <c r="E135" s="126">
        <v>0</v>
      </c>
      <c r="F135" s="126">
        <v>0</v>
      </c>
      <c r="G135" s="126">
        <v>0</v>
      </c>
      <c r="H135" s="127">
        <v>0</v>
      </c>
    </row>
    <row r="136" spans="2:8" x14ac:dyDescent="0.2">
      <c r="B136" s="125" t="s">
        <v>135</v>
      </c>
      <c r="C136" s="126">
        <v>0.51</v>
      </c>
      <c r="D136" s="126">
        <v>0.51</v>
      </c>
      <c r="E136" s="126">
        <v>0.51</v>
      </c>
      <c r="F136" s="126">
        <v>0.51</v>
      </c>
      <c r="G136" s="126">
        <v>0.66</v>
      </c>
      <c r="H136" s="127">
        <v>0.56000000000000005</v>
      </c>
    </row>
    <row r="137" spans="2:8" x14ac:dyDescent="0.2">
      <c r="B137" s="125" t="s">
        <v>136</v>
      </c>
      <c r="C137" s="126">
        <v>1</v>
      </c>
      <c r="D137" s="126">
        <v>1</v>
      </c>
      <c r="E137" s="126">
        <v>1</v>
      </c>
      <c r="F137" s="126">
        <v>1</v>
      </c>
      <c r="G137" s="126">
        <v>1.3</v>
      </c>
      <c r="H137" s="127">
        <v>1.1000000000000001</v>
      </c>
    </row>
    <row r="138" spans="2:8" x14ac:dyDescent="0.2">
      <c r="B138" s="125" t="s">
        <v>137</v>
      </c>
      <c r="C138" s="126">
        <v>17.079999999999998</v>
      </c>
      <c r="D138" s="126">
        <v>17.079999999999998</v>
      </c>
      <c r="E138" s="126">
        <v>17.079999999999998</v>
      </c>
      <c r="F138" s="126">
        <v>17.079999999999998</v>
      </c>
      <c r="G138" s="126">
        <v>52.03</v>
      </c>
      <c r="H138" s="127">
        <v>9.32</v>
      </c>
    </row>
    <row r="139" spans="2:8" x14ac:dyDescent="0.2">
      <c r="B139" s="125" t="s">
        <v>138</v>
      </c>
      <c r="C139" s="126">
        <v>11</v>
      </c>
      <c r="D139" s="126">
        <v>11</v>
      </c>
      <c r="E139" s="126">
        <v>11</v>
      </c>
      <c r="F139" s="126">
        <v>11</v>
      </c>
      <c r="G139" s="126">
        <v>13.01</v>
      </c>
      <c r="H139" s="127">
        <v>6.5</v>
      </c>
    </row>
    <row r="140" spans="2:8" x14ac:dyDescent="0.2">
      <c r="B140" s="125" t="s">
        <v>139</v>
      </c>
      <c r="C140" s="126">
        <v>14.3</v>
      </c>
      <c r="D140" s="126">
        <v>14.3</v>
      </c>
      <c r="E140" s="126">
        <v>14.3</v>
      </c>
      <c r="F140" s="126">
        <v>14.3</v>
      </c>
      <c r="G140" s="126">
        <v>20</v>
      </c>
      <c r="H140" s="127">
        <v>14.3</v>
      </c>
    </row>
    <row r="141" spans="2:8" x14ac:dyDescent="0.2">
      <c r="B141" s="125" t="s">
        <v>140</v>
      </c>
      <c r="C141" s="126">
        <v>0</v>
      </c>
      <c r="D141" s="126">
        <v>0</v>
      </c>
      <c r="E141" s="126">
        <v>0</v>
      </c>
      <c r="F141" s="126">
        <v>0</v>
      </c>
      <c r="G141" s="126">
        <v>0</v>
      </c>
      <c r="H141" s="127">
        <v>0</v>
      </c>
    </row>
    <row r="142" spans="2:8" x14ac:dyDescent="0.2">
      <c r="B142" s="125" t="s">
        <v>141</v>
      </c>
      <c r="C142" s="126">
        <v>0.1</v>
      </c>
      <c r="D142" s="126">
        <v>0.1</v>
      </c>
      <c r="E142" s="126">
        <v>0.1</v>
      </c>
      <c r="F142" s="126">
        <v>0.4</v>
      </c>
      <c r="G142" s="126">
        <v>0.4</v>
      </c>
      <c r="H142" s="127">
        <v>0.4</v>
      </c>
    </row>
    <row r="143" spans="2:8" x14ac:dyDescent="0.2">
      <c r="B143" s="125" t="s">
        <v>409</v>
      </c>
      <c r="C143" s="126">
        <v>0.5</v>
      </c>
      <c r="D143" s="126">
        <v>0.5</v>
      </c>
      <c r="E143" s="126">
        <v>0.5</v>
      </c>
      <c r="F143" s="126">
        <v>0.5</v>
      </c>
      <c r="G143" s="126">
        <v>0.65</v>
      </c>
      <c r="H143" s="127">
        <v>0.55000000000000004</v>
      </c>
    </row>
    <row r="144" spans="2:8" x14ac:dyDescent="0.2">
      <c r="B144" s="125" t="s">
        <v>142</v>
      </c>
      <c r="C144" s="126">
        <v>0.72</v>
      </c>
      <c r="D144" s="126">
        <v>0.72</v>
      </c>
      <c r="E144" s="126">
        <v>2.64</v>
      </c>
      <c r="F144" s="126">
        <v>2.64</v>
      </c>
      <c r="G144" s="126">
        <v>2.64</v>
      </c>
      <c r="H144" s="127">
        <v>2.64</v>
      </c>
    </row>
    <row r="145" spans="2:160" x14ac:dyDescent="0.2">
      <c r="B145" s="125" t="s">
        <v>143</v>
      </c>
      <c r="C145" s="126">
        <v>0</v>
      </c>
      <c r="D145" s="126">
        <v>0</v>
      </c>
      <c r="E145" s="126">
        <v>4.18</v>
      </c>
      <c r="F145" s="126">
        <v>4.18</v>
      </c>
      <c r="G145" s="126">
        <v>4.18</v>
      </c>
      <c r="H145" s="127">
        <v>4.18</v>
      </c>
    </row>
    <row r="146" spans="2:160" x14ac:dyDescent="0.2">
      <c r="B146" s="125" t="s">
        <v>144</v>
      </c>
      <c r="C146" s="126">
        <v>0.57999999999999996</v>
      </c>
      <c r="D146" s="126">
        <v>0.57999999999999996</v>
      </c>
      <c r="E146" s="126">
        <v>0.57999999999999996</v>
      </c>
      <c r="F146" s="126">
        <v>0.57999999999999996</v>
      </c>
      <c r="G146" s="126">
        <v>0.75</v>
      </c>
      <c r="H146" s="127">
        <v>0.64</v>
      </c>
    </row>
    <row r="147" spans="2:160" x14ac:dyDescent="0.2">
      <c r="B147" s="125" t="s">
        <v>145</v>
      </c>
      <c r="C147" s="126">
        <v>3.11</v>
      </c>
      <c r="D147" s="126">
        <v>3.11</v>
      </c>
      <c r="E147" s="126">
        <v>3.11</v>
      </c>
      <c r="F147" s="126">
        <v>3.11</v>
      </c>
      <c r="G147" s="126">
        <v>3.11</v>
      </c>
      <c r="H147" s="127">
        <v>3.11</v>
      </c>
    </row>
    <row r="148" spans="2:160" x14ac:dyDescent="0.2">
      <c r="B148" s="125"/>
      <c r="C148" s="126"/>
      <c r="D148" s="126"/>
      <c r="E148" s="126"/>
      <c r="F148" s="126"/>
      <c r="G148" s="126"/>
      <c r="H148" s="127"/>
    </row>
    <row r="149" spans="2:160" x14ac:dyDescent="0.2">
      <c r="B149" s="125" t="s">
        <v>146</v>
      </c>
      <c r="C149" s="126">
        <v>0.96</v>
      </c>
      <c r="D149" s="126">
        <v>0.97</v>
      </c>
      <c r="E149" s="126">
        <v>1.04</v>
      </c>
      <c r="F149" s="126">
        <v>1.08</v>
      </c>
      <c r="G149" s="126">
        <v>1.18</v>
      </c>
      <c r="H149" s="127">
        <v>1.1599999999999999</v>
      </c>
    </row>
    <row r="150" spans="2:160" x14ac:dyDescent="0.2">
      <c r="B150" s="125" t="s">
        <v>147</v>
      </c>
      <c r="C150" s="126">
        <v>13.37</v>
      </c>
      <c r="D150" s="126">
        <v>13.49</v>
      </c>
      <c r="E150" s="126">
        <v>14.59</v>
      </c>
      <c r="F150" s="126">
        <v>15.02</v>
      </c>
      <c r="G150" s="126">
        <v>18.34</v>
      </c>
      <c r="H150" s="127">
        <v>15.38</v>
      </c>
    </row>
    <row r="151" spans="2:160" x14ac:dyDescent="0.2">
      <c r="B151" s="125"/>
      <c r="C151" s="128"/>
      <c r="D151" s="128"/>
      <c r="E151" s="128"/>
      <c r="F151" s="128"/>
      <c r="G151" s="128"/>
      <c r="H151" s="129"/>
    </row>
    <row r="152" spans="2:160" ht="15.75" x14ac:dyDescent="0.2">
      <c r="B152" s="107" t="s">
        <v>340</v>
      </c>
      <c r="C152" s="120">
        <v>19.653200000000005</v>
      </c>
      <c r="D152" s="120">
        <v>19.826800000000002</v>
      </c>
      <c r="E152" s="120">
        <v>21.443100000000005</v>
      </c>
      <c r="F152" s="120">
        <v>22.080100000000002</v>
      </c>
      <c r="G152" s="120">
        <v>26.966100000000004</v>
      </c>
      <c r="H152" s="121">
        <v>22.603700000000003</v>
      </c>
    </row>
    <row r="153" spans="2:160" x14ac:dyDescent="0.2">
      <c r="B153" s="125" t="s">
        <v>148</v>
      </c>
      <c r="C153" s="128">
        <v>14.931000000000003</v>
      </c>
      <c r="D153" s="128">
        <v>15.095500000000001</v>
      </c>
      <c r="E153" s="128">
        <v>16.202900000000003</v>
      </c>
      <c r="F153" s="128">
        <v>16.786000000000001</v>
      </c>
      <c r="G153" s="128">
        <v>18.303600000000003</v>
      </c>
      <c r="H153" s="129">
        <v>18.089400000000001</v>
      </c>
    </row>
    <row r="154" spans="2:160" x14ac:dyDescent="0.2">
      <c r="B154" s="125" t="s">
        <v>149</v>
      </c>
      <c r="C154" s="128">
        <v>4.7222000000000008</v>
      </c>
      <c r="D154" s="128">
        <v>4.7313000000000009</v>
      </c>
      <c r="E154" s="128">
        <v>5.2402000000000006</v>
      </c>
      <c r="F154" s="128">
        <v>5.2941000000000003</v>
      </c>
      <c r="G154" s="128">
        <v>8.6625000000000014</v>
      </c>
      <c r="H154" s="129">
        <v>4.5143000000000004</v>
      </c>
    </row>
    <row r="155" spans="2:160" hidden="1" x14ac:dyDescent="0.2">
      <c r="B155" s="125"/>
      <c r="C155" s="128"/>
      <c r="D155" s="128"/>
      <c r="E155" s="128"/>
      <c r="F155" s="128"/>
      <c r="G155" s="128"/>
      <c r="H155" s="129"/>
    </row>
    <row r="156" spans="2:160" x14ac:dyDescent="0.2">
      <c r="B156" s="125"/>
      <c r="C156" s="128"/>
      <c r="D156" s="128"/>
      <c r="E156" s="128"/>
      <c r="F156" s="128"/>
      <c r="G156" s="128"/>
      <c r="H156" s="129"/>
    </row>
    <row r="157" spans="2:160" s="130" customFormat="1" ht="15.75" x14ac:dyDescent="0.2">
      <c r="B157" s="131" t="s">
        <v>150</v>
      </c>
      <c r="C157" s="132">
        <v>300.41320000000002</v>
      </c>
      <c r="D157" s="132">
        <v>303.0668</v>
      </c>
      <c r="E157" s="132">
        <v>327.7731</v>
      </c>
      <c r="F157" s="132">
        <v>337.51010000000002</v>
      </c>
      <c r="G157" s="132">
        <v>412.1961</v>
      </c>
      <c r="H157" s="133">
        <v>345.51370000000003</v>
      </c>
      <c r="I157" s="276"/>
      <c r="J157" s="276"/>
      <c r="K157" s="276"/>
      <c r="L157" s="276"/>
      <c r="N157" s="277"/>
      <c r="O157" s="276"/>
      <c r="P157" s="276"/>
      <c r="Q157" s="276"/>
      <c r="R157" s="276"/>
      <c r="S157" s="276"/>
      <c r="T157" s="276"/>
      <c r="U157" s="276"/>
      <c r="W157" s="277"/>
      <c r="X157" s="276"/>
      <c r="Y157" s="276"/>
      <c r="Z157" s="276"/>
      <c r="AA157" s="276"/>
      <c r="AB157" s="276"/>
      <c r="AC157" s="276"/>
      <c r="AD157" s="276"/>
      <c r="AF157" s="277"/>
      <c r="AG157" s="276"/>
      <c r="AH157" s="276"/>
      <c r="AI157" s="276"/>
      <c r="AJ157" s="276"/>
      <c r="AK157" s="276"/>
      <c r="AL157" s="276"/>
      <c r="AM157" s="276"/>
      <c r="AO157" s="277"/>
      <c r="AP157" s="276"/>
      <c r="AQ157" s="276"/>
      <c r="AR157" s="276"/>
      <c r="AS157" s="276"/>
      <c r="AT157" s="276"/>
      <c r="AU157" s="276"/>
      <c r="AV157" s="276"/>
      <c r="AX157" s="277"/>
      <c r="AY157" s="276"/>
      <c r="AZ157" s="276"/>
      <c r="BA157" s="276"/>
      <c r="BB157" s="276"/>
      <c r="BC157" s="276"/>
      <c r="BD157" s="276"/>
      <c r="BE157" s="276"/>
      <c r="BG157" s="277"/>
      <c r="BH157" s="276"/>
      <c r="BI157" s="276"/>
      <c r="BJ157" s="276"/>
      <c r="BK157" s="276"/>
      <c r="BL157" s="276"/>
      <c r="BM157" s="276"/>
      <c r="BN157" s="276"/>
      <c r="BP157" s="277"/>
      <c r="BQ157" s="276"/>
      <c r="BR157" s="276"/>
      <c r="BS157" s="276"/>
      <c r="BT157" s="276"/>
      <c r="BU157" s="276"/>
      <c r="BV157" s="276"/>
      <c r="BW157" s="276"/>
      <c r="BY157" s="277"/>
      <c r="BZ157" s="276"/>
      <c r="CA157" s="276"/>
      <c r="CB157" s="276"/>
      <c r="CC157" s="276"/>
      <c r="CD157" s="276"/>
      <c r="CE157" s="276"/>
      <c r="CF157" s="276"/>
      <c r="CH157" s="277"/>
      <c r="CI157" s="276"/>
      <c r="CJ157" s="276"/>
      <c r="CK157" s="276"/>
      <c r="CL157" s="276"/>
      <c r="CM157" s="276"/>
      <c r="CN157" s="276"/>
      <c r="CO157" s="276"/>
      <c r="CQ157" s="277"/>
      <c r="CR157" s="276"/>
      <c r="CS157" s="276"/>
      <c r="CT157" s="276"/>
      <c r="CU157" s="276"/>
      <c r="CV157" s="276"/>
      <c r="CW157" s="276"/>
      <c r="CX157" s="276"/>
      <c r="CZ157" s="277"/>
      <c r="DA157" s="276"/>
      <c r="DB157" s="276"/>
      <c r="DC157" s="276"/>
      <c r="DD157" s="276"/>
      <c r="DE157" s="276"/>
      <c r="DF157" s="276"/>
      <c r="DG157" s="276"/>
      <c r="DI157" s="277"/>
      <c r="DJ157" s="276"/>
      <c r="DK157" s="276"/>
      <c r="DL157" s="276"/>
      <c r="DM157" s="276"/>
      <c r="DN157" s="276"/>
      <c r="DO157" s="276"/>
      <c r="DP157" s="276"/>
      <c r="DR157" s="277"/>
      <c r="DS157" s="276"/>
      <c r="DT157" s="276"/>
      <c r="DU157" s="276"/>
      <c r="DV157" s="276"/>
      <c r="DW157" s="276"/>
      <c r="DX157" s="276"/>
      <c r="DY157" s="276"/>
      <c r="EA157" s="277"/>
      <c r="EB157" s="276"/>
      <c r="EC157" s="276"/>
      <c r="ED157" s="276"/>
      <c r="EE157" s="276"/>
      <c r="EF157" s="276"/>
      <c r="EG157" s="276"/>
      <c r="EH157" s="276"/>
      <c r="EJ157" s="277"/>
      <c r="EK157" s="276"/>
      <c r="EL157" s="276"/>
      <c r="EM157" s="276"/>
      <c r="EN157" s="276"/>
      <c r="EO157" s="276"/>
      <c r="EP157" s="276"/>
      <c r="EQ157" s="276"/>
      <c r="ES157" s="277"/>
      <c r="ET157" s="276"/>
      <c r="EU157" s="276"/>
      <c r="EV157" s="276"/>
      <c r="EW157" s="276"/>
      <c r="EX157" s="276"/>
      <c r="EY157" s="276"/>
      <c r="EZ157" s="276"/>
      <c r="FB157" s="277"/>
      <c r="FC157" s="276"/>
      <c r="FD157" s="276"/>
    </row>
    <row r="158" spans="2:160" x14ac:dyDescent="0.2">
      <c r="B158" s="85"/>
      <c r="C158" s="134"/>
      <c r="D158" s="196"/>
      <c r="E158" s="196"/>
      <c r="F158" s="126"/>
      <c r="G158" s="196"/>
      <c r="H158" s="197"/>
    </row>
    <row r="159" spans="2:160" ht="15.75" x14ac:dyDescent="0.2">
      <c r="B159" s="131" t="s">
        <v>151</v>
      </c>
      <c r="C159" s="132">
        <v>1340</v>
      </c>
      <c r="D159" s="132">
        <v>1360</v>
      </c>
      <c r="E159" s="132">
        <v>1460</v>
      </c>
      <c r="F159" s="132">
        <v>1510</v>
      </c>
      <c r="G159" s="132">
        <v>1650</v>
      </c>
      <c r="H159" s="133">
        <v>1630</v>
      </c>
    </row>
    <row r="160" spans="2:160" s="130" customFormat="1" ht="15.75" x14ac:dyDescent="0.2">
      <c r="B160" s="131" t="s">
        <v>152</v>
      </c>
      <c r="C160" s="132">
        <v>1890</v>
      </c>
      <c r="D160" s="132">
        <v>1910</v>
      </c>
      <c r="E160" s="132">
        <v>2070</v>
      </c>
      <c r="F160" s="132">
        <v>2130</v>
      </c>
      <c r="G160" s="132">
        <v>2600</v>
      </c>
      <c r="H160" s="133">
        <v>2180</v>
      </c>
      <c r="I160" s="276"/>
      <c r="J160" s="276"/>
      <c r="K160" s="276"/>
      <c r="L160" s="276"/>
      <c r="N160" s="277"/>
      <c r="O160" s="276"/>
      <c r="P160" s="276"/>
      <c r="Q160" s="276"/>
      <c r="R160" s="276"/>
      <c r="S160" s="276"/>
      <c r="T160" s="276"/>
      <c r="U160" s="276"/>
      <c r="W160" s="277"/>
      <c r="X160" s="276"/>
      <c r="Y160" s="276"/>
      <c r="Z160" s="276"/>
      <c r="AA160" s="276"/>
      <c r="AB160" s="276"/>
      <c r="AC160" s="276"/>
      <c r="AD160" s="276"/>
      <c r="AF160" s="277"/>
      <c r="AG160" s="276"/>
      <c r="AH160" s="276"/>
      <c r="AI160" s="276"/>
      <c r="AJ160" s="276"/>
      <c r="AK160" s="276"/>
      <c r="AL160" s="276"/>
      <c r="AM160" s="276"/>
      <c r="AO160" s="277"/>
      <c r="AP160" s="276"/>
      <c r="AQ160" s="276"/>
      <c r="AR160" s="276"/>
      <c r="AS160" s="276"/>
      <c r="AT160" s="276"/>
      <c r="AU160" s="276"/>
      <c r="AV160" s="276"/>
      <c r="AX160" s="277"/>
      <c r="AY160" s="276"/>
      <c r="AZ160" s="276"/>
      <c r="BA160" s="276"/>
      <c r="BB160" s="276"/>
      <c r="BC160" s="276"/>
      <c r="BD160" s="276"/>
      <c r="BE160" s="276"/>
      <c r="BG160" s="277"/>
      <c r="BH160" s="276"/>
      <c r="BI160" s="276"/>
      <c r="BJ160" s="276"/>
      <c r="BK160" s="276"/>
      <c r="BL160" s="276"/>
      <c r="BM160" s="276"/>
      <c r="BN160" s="276"/>
      <c r="BP160" s="277"/>
      <c r="BQ160" s="276"/>
      <c r="BR160" s="276"/>
      <c r="BS160" s="276"/>
      <c r="BT160" s="276"/>
      <c r="BU160" s="276"/>
      <c r="BV160" s="276"/>
      <c r="BW160" s="276"/>
      <c r="BY160" s="277"/>
      <c r="BZ160" s="276"/>
      <c r="CA160" s="276"/>
      <c r="CB160" s="276"/>
      <c r="CC160" s="276"/>
      <c r="CD160" s="276"/>
      <c r="CE160" s="276"/>
      <c r="CF160" s="276"/>
      <c r="CH160" s="277"/>
      <c r="CI160" s="276"/>
      <c r="CJ160" s="276"/>
      <c r="CK160" s="276"/>
      <c r="CL160" s="276"/>
      <c r="CM160" s="276"/>
      <c r="CN160" s="276"/>
      <c r="CO160" s="276"/>
      <c r="CQ160" s="277"/>
      <c r="CR160" s="276"/>
      <c r="CS160" s="276"/>
      <c r="CT160" s="276"/>
      <c r="CU160" s="276"/>
      <c r="CV160" s="276"/>
      <c r="CW160" s="276"/>
      <c r="CX160" s="276"/>
      <c r="CZ160" s="277"/>
      <c r="DA160" s="276"/>
      <c r="DB160" s="276"/>
      <c r="DC160" s="276"/>
      <c r="DD160" s="276"/>
      <c r="DE160" s="276"/>
      <c r="DF160" s="276"/>
      <c r="DG160" s="276"/>
      <c r="DI160" s="277"/>
      <c r="DJ160" s="276"/>
      <c r="DK160" s="276"/>
      <c r="DL160" s="276"/>
      <c r="DM160" s="276"/>
      <c r="DN160" s="276"/>
      <c r="DO160" s="276"/>
      <c r="DP160" s="276"/>
      <c r="DR160" s="277"/>
      <c r="DS160" s="276"/>
      <c r="DT160" s="276"/>
      <c r="DU160" s="276"/>
      <c r="DV160" s="276"/>
      <c r="DW160" s="276"/>
      <c r="DX160" s="276"/>
      <c r="DY160" s="276"/>
      <c r="EA160" s="277"/>
      <c r="EB160" s="276"/>
      <c r="EC160" s="276"/>
      <c r="ED160" s="276"/>
      <c r="EE160" s="276"/>
      <c r="EF160" s="276"/>
      <c r="EG160" s="276"/>
      <c r="EH160" s="276"/>
      <c r="EJ160" s="277"/>
      <c r="EK160" s="276"/>
      <c r="EL160" s="276"/>
      <c r="EM160" s="276"/>
      <c r="EN160" s="276"/>
      <c r="EO160" s="276"/>
      <c r="EP160" s="276"/>
      <c r="EQ160" s="276"/>
      <c r="ES160" s="277"/>
      <c r="ET160" s="276"/>
      <c r="EU160" s="276"/>
      <c r="EV160" s="276"/>
      <c r="EW160" s="276"/>
      <c r="EX160" s="276"/>
      <c r="EY160" s="276"/>
      <c r="EZ160" s="276"/>
      <c r="FB160" s="277"/>
      <c r="FC160" s="276"/>
      <c r="FD160" s="276"/>
    </row>
    <row r="161" spans="2:160" x14ac:dyDescent="0.2">
      <c r="B161" s="85"/>
      <c r="C161" s="126"/>
      <c r="D161" s="126"/>
      <c r="E161" s="126"/>
      <c r="F161" s="126"/>
      <c r="G161" s="136"/>
      <c r="H161" s="137"/>
      <c r="I161" s="278"/>
      <c r="J161" s="278"/>
      <c r="K161" s="278"/>
      <c r="L161" s="278"/>
      <c r="N161" s="279"/>
      <c r="O161" s="278"/>
      <c r="P161" s="278"/>
      <c r="Q161" s="278"/>
      <c r="R161" s="278"/>
      <c r="S161" s="278"/>
      <c r="T161" s="278"/>
      <c r="U161" s="278"/>
      <c r="W161" s="279"/>
      <c r="X161" s="278"/>
      <c r="Y161" s="278"/>
      <c r="Z161" s="278"/>
      <c r="AA161" s="278"/>
      <c r="AB161" s="278"/>
      <c r="AC161" s="278"/>
      <c r="AD161" s="278"/>
      <c r="AF161" s="279"/>
      <c r="AG161" s="278"/>
      <c r="AH161" s="278"/>
      <c r="AI161" s="278"/>
      <c r="AJ161" s="278"/>
      <c r="AK161" s="278"/>
      <c r="AL161" s="278"/>
      <c r="AM161" s="278"/>
      <c r="AO161" s="279"/>
      <c r="AP161" s="278"/>
      <c r="AQ161" s="278"/>
      <c r="AR161" s="278"/>
      <c r="AS161" s="278"/>
      <c r="AT161" s="278"/>
      <c r="AU161" s="278"/>
      <c r="AV161" s="278"/>
      <c r="AX161" s="279"/>
      <c r="AY161" s="278"/>
      <c r="AZ161" s="278"/>
      <c r="BA161" s="278"/>
      <c r="BB161" s="278"/>
      <c r="BC161" s="278"/>
      <c r="BD161" s="278"/>
      <c r="BE161" s="278"/>
      <c r="BG161" s="279"/>
      <c r="BH161" s="278"/>
      <c r="BI161" s="278"/>
      <c r="BJ161" s="278"/>
      <c r="BK161" s="278"/>
      <c r="BL161" s="278"/>
      <c r="BM161" s="278"/>
      <c r="BN161" s="278"/>
      <c r="BP161" s="279"/>
      <c r="BQ161" s="278"/>
      <c r="BR161" s="278"/>
      <c r="BS161" s="278"/>
      <c r="BT161" s="278"/>
      <c r="BU161" s="278"/>
      <c r="BV161" s="278"/>
      <c r="BW161" s="278"/>
      <c r="BY161" s="279"/>
      <c r="BZ161" s="278"/>
      <c r="CA161" s="278"/>
      <c r="CB161" s="278"/>
      <c r="CC161" s="278"/>
      <c r="CD161" s="278"/>
      <c r="CE161" s="278"/>
      <c r="CF161" s="278"/>
      <c r="CH161" s="279"/>
      <c r="CI161" s="278"/>
      <c r="CJ161" s="278"/>
      <c r="CK161" s="278"/>
      <c r="CL161" s="278"/>
      <c r="CM161" s="278"/>
      <c r="CN161" s="278"/>
      <c r="CO161" s="278"/>
      <c r="CQ161" s="279"/>
      <c r="CR161" s="278"/>
      <c r="CS161" s="278"/>
      <c r="CT161" s="278"/>
      <c r="CU161" s="278"/>
      <c r="CV161" s="278"/>
      <c r="CW161" s="278"/>
      <c r="CX161" s="278"/>
      <c r="CZ161" s="279"/>
      <c r="DA161" s="278"/>
      <c r="DB161" s="278"/>
      <c r="DC161" s="278"/>
      <c r="DD161" s="278"/>
      <c r="DE161" s="278"/>
      <c r="DF161" s="278"/>
      <c r="DG161" s="278"/>
      <c r="DI161" s="279"/>
      <c r="DJ161" s="278"/>
      <c r="DK161" s="278"/>
      <c r="DL161" s="278"/>
      <c r="DM161" s="278"/>
      <c r="DN161" s="278"/>
      <c r="DO161" s="278"/>
      <c r="DP161" s="278"/>
      <c r="DR161" s="279"/>
      <c r="DS161" s="278"/>
      <c r="DT161" s="278"/>
      <c r="DU161" s="278"/>
      <c r="DV161" s="278"/>
      <c r="DW161" s="278"/>
      <c r="DX161" s="278"/>
      <c r="DY161" s="278"/>
      <c r="EA161" s="279"/>
      <c r="EB161" s="278"/>
      <c r="EC161" s="278"/>
      <c r="ED161" s="278"/>
      <c r="EE161" s="278"/>
      <c r="EF161" s="278"/>
      <c r="EG161" s="278"/>
      <c r="EH161" s="278"/>
      <c r="EJ161" s="279"/>
      <c r="EK161" s="278"/>
      <c r="EL161" s="278"/>
      <c r="EM161" s="278"/>
      <c r="EN161" s="278"/>
      <c r="EO161" s="278"/>
      <c r="EP161" s="278"/>
      <c r="EQ161" s="278"/>
      <c r="ES161" s="279"/>
      <c r="ET161" s="278"/>
      <c r="EU161" s="278"/>
      <c r="EV161" s="278"/>
      <c r="EW161" s="278"/>
      <c r="EX161" s="278"/>
      <c r="EY161" s="278"/>
      <c r="EZ161" s="278"/>
      <c r="FB161" s="279"/>
      <c r="FC161" s="278"/>
      <c r="FD161" s="278"/>
    </row>
    <row r="162" spans="2:160" ht="15" hidden="1" customHeight="1" x14ac:dyDescent="0.2">
      <c r="B162" s="85"/>
      <c r="C162" s="126"/>
      <c r="D162" s="126"/>
      <c r="E162" s="126"/>
      <c r="F162" s="126"/>
      <c r="G162" s="136"/>
      <c r="H162" s="137"/>
      <c r="I162" s="278"/>
      <c r="J162" s="278"/>
      <c r="K162" s="278"/>
      <c r="L162" s="278"/>
      <c r="N162" s="279"/>
      <c r="O162" s="278"/>
      <c r="P162" s="278"/>
      <c r="Q162" s="278"/>
      <c r="R162" s="278"/>
      <c r="S162" s="278"/>
      <c r="T162" s="278"/>
      <c r="U162" s="278"/>
      <c r="W162" s="279"/>
      <c r="X162" s="278"/>
      <c r="Y162" s="278"/>
      <c r="Z162" s="278"/>
      <c r="AA162" s="278"/>
      <c r="AB162" s="278"/>
      <c r="AC162" s="278"/>
      <c r="AD162" s="278"/>
      <c r="AF162" s="279"/>
      <c r="AG162" s="278"/>
      <c r="AH162" s="278"/>
      <c r="AI162" s="278"/>
      <c r="AJ162" s="278"/>
      <c r="AK162" s="278"/>
      <c r="AL162" s="278"/>
      <c r="AM162" s="278"/>
      <c r="AO162" s="279"/>
      <c r="AP162" s="278"/>
      <c r="AQ162" s="278"/>
      <c r="AR162" s="278"/>
      <c r="AS162" s="278"/>
      <c r="AT162" s="278"/>
      <c r="AU162" s="278"/>
      <c r="AV162" s="278"/>
      <c r="AX162" s="279"/>
      <c r="AY162" s="278"/>
      <c r="AZ162" s="278"/>
      <c r="BA162" s="278"/>
      <c r="BB162" s="278"/>
      <c r="BC162" s="278"/>
      <c r="BD162" s="278"/>
      <c r="BE162" s="278"/>
      <c r="BG162" s="279"/>
      <c r="BH162" s="278"/>
      <c r="BI162" s="278"/>
      <c r="BJ162" s="278"/>
      <c r="BK162" s="278"/>
      <c r="BL162" s="278"/>
      <c r="BM162" s="278"/>
      <c r="BN162" s="278"/>
      <c r="BP162" s="279"/>
      <c r="BQ162" s="278"/>
      <c r="BR162" s="278"/>
      <c r="BS162" s="278"/>
      <c r="BT162" s="278"/>
      <c r="BU162" s="278"/>
      <c r="BV162" s="278"/>
      <c r="BW162" s="278"/>
      <c r="BY162" s="279"/>
      <c r="BZ162" s="278"/>
      <c r="CA162" s="278"/>
      <c r="CB162" s="278"/>
      <c r="CC162" s="278"/>
      <c r="CD162" s="278"/>
      <c r="CE162" s="278"/>
      <c r="CF162" s="278"/>
      <c r="CH162" s="279"/>
      <c r="CI162" s="278"/>
      <c r="CJ162" s="278"/>
      <c r="CK162" s="278"/>
      <c r="CL162" s="278"/>
      <c r="CM162" s="278"/>
      <c r="CN162" s="278"/>
      <c r="CO162" s="278"/>
      <c r="CQ162" s="279"/>
      <c r="CR162" s="278"/>
      <c r="CS162" s="278"/>
      <c r="CT162" s="278"/>
      <c r="CU162" s="278"/>
      <c r="CV162" s="278"/>
      <c r="CW162" s="278"/>
      <c r="CX162" s="278"/>
      <c r="CZ162" s="279"/>
      <c r="DA162" s="278"/>
      <c r="DB162" s="278"/>
      <c r="DC162" s="278"/>
      <c r="DD162" s="278"/>
      <c r="DE162" s="278"/>
      <c r="DF162" s="278"/>
      <c r="DG162" s="278"/>
      <c r="DI162" s="279"/>
      <c r="DJ162" s="278"/>
      <c r="DK162" s="278"/>
      <c r="DL162" s="278"/>
      <c r="DM162" s="278"/>
      <c r="DN162" s="278"/>
      <c r="DO162" s="278"/>
      <c r="DP162" s="278"/>
      <c r="DR162" s="279"/>
      <c r="DS162" s="278"/>
      <c r="DT162" s="278"/>
      <c r="DU162" s="278"/>
      <c r="DV162" s="278"/>
      <c r="DW162" s="278"/>
      <c r="DX162" s="278"/>
      <c r="DY162" s="278"/>
      <c r="EA162" s="279"/>
      <c r="EB162" s="278"/>
      <c r="EC162" s="278"/>
      <c r="ED162" s="278"/>
      <c r="EE162" s="278"/>
      <c r="EF162" s="278"/>
      <c r="EG162" s="278"/>
      <c r="EH162" s="278"/>
      <c r="EJ162" s="279"/>
      <c r="EK162" s="278"/>
      <c r="EL162" s="278"/>
      <c r="EM162" s="278"/>
      <c r="EN162" s="278"/>
      <c r="EO162" s="278"/>
      <c r="EP162" s="278"/>
      <c r="EQ162" s="278"/>
      <c r="ES162" s="279"/>
      <c r="ET162" s="278"/>
      <c r="EU162" s="278"/>
      <c r="EV162" s="278"/>
      <c r="EW162" s="278"/>
      <c r="EX162" s="278"/>
      <c r="EY162" s="278"/>
      <c r="EZ162" s="278"/>
      <c r="FB162" s="279"/>
      <c r="FC162" s="278"/>
      <c r="FD162" s="278"/>
    </row>
    <row r="163" spans="2:160" ht="15" hidden="1" customHeight="1" x14ac:dyDescent="0.2">
      <c r="B163" s="85"/>
      <c r="C163" s="126"/>
      <c r="D163" s="126"/>
      <c r="E163" s="126"/>
      <c r="F163" s="126"/>
      <c r="G163" s="136"/>
      <c r="H163" s="137"/>
      <c r="I163" s="278"/>
      <c r="J163" s="278"/>
      <c r="K163" s="278"/>
      <c r="L163" s="278"/>
      <c r="N163" s="279"/>
      <c r="O163" s="278"/>
      <c r="P163" s="278"/>
      <c r="Q163" s="278"/>
      <c r="R163" s="278"/>
      <c r="S163" s="278"/>
      <c r="T163" s="278"/>
      <c r="U163" s="278"/>
      <c r="W163" s="279"/>
      <c r="X163" s="278"/>
      <c r="Y163" s="278"/>
      <c r="Z163" s="278"/>
      <c r="AA163" s="278"/>
      <c r="AB163" s="278"/>
      <c r="AC163" s="278"/>
      <c r="AD163" s="278"/>
      <c r="AF163" s="279"/>
      <c r="AG163" s="278"/>
      <c r="AH163" s="278"/>
      <c r="AI163" s="278"/>
      <c r="AJ163" s="278"/>
      <c r="AK163" s="278"/>
      <c r="AL163" s="278"/>
      <c r="AM163" s="278"/>
      <c r="AO163" s="279"/>
      <c r="AP163" s="278"/>
      <c r="AQ163" s="278"/>
      <c r="AR163" s="278"/>
      <c r="AS163" s="278"/>
      <c r="AT163" s="278"/>
      <c r="AU163" s="278"/>
      <c r="AV163" s="278"/>
      <c r="AX163" s="279"/>
      <c r="AY163" s="278"/>
      <c r="AZ163" s="278"/>
      <c r="BA163" s="278"/>
      <c r="BB163" s="278"/>
      <c r="BC163" s="278"/>
      <c r="BD163" s="278"/>
      <c r="BE163" s="278"/>
      <c r="BG163" s="279"/>
      <c r="BH163" s="278"/>
      <c r="BI163" s="278"/>
      <c r="BJ163" s="278"/>
      <c r="BK163" s="278"/>
      <c r="BL163" s="278"/>
      <c r="BM163" s="278"/>
      <c r="BN163" s="278"/>
      <c r="BP163" s="279"/>
      <c r="BQ163" s="278"/>
      <c r="BR163" s="278"/>
      <c r="BS163" s="278"/>
      <c r="BT163" s="278"/>
      <c r="BU163" s="278"/>
      <c r="BV163" s="278"/>
      <c r="BW163" s="278"/>
      <c r="BY163" s="279"/>
      <c r="BZ163" s="278"/>
      <c r="CA163" s="278"/>
      <c r="CB163" s="278"/>
      <c r="CC163" s="278"/>
      <c r="CD163" s="278"/>
      <c r="CE163" s="278"/>
      <c r="CF163" s="278"/>
      <c r="CH163" s="279"/>
      <c r="CI163" s="278"/>
      <c r="CJ163" s="278"/>
      <c r="CK163" s="278"/>
      <c r="CL163" s="278"/>
      <c r="CM163" s="278"/>
      <c r="CN163" s="278"/>
      <c r="CO163" s="278"/>
      <c r="CQ163" s="279"/>
      <c r="CR163" s="278"/>
      <c r="CS163" s="278"/>
      <c r="CT163" s="278"/>
      <c r="CU163" s="278"/>
      <c r="CV163" s="278"/>
      <c r="CW163" s="278"/>
      <c r="CX163" s="278"/>
      <c r="CZ163" s="279"/>
      <c r="DA163" s="278"/>
      <c r="DB163" s="278"/>
      <c r="DC163" s="278"/>
      <c r="DD163" s="278"/>
      <c r="DE163" s="278"/>
      <c r="DF163" s="278"/>
      <c r="DG163" s="278"/>
      <c r="DI163" s="279"/>
      <c r="DJ163" s="278"/>
      <c r="DK163" s="278"/>
      <c r="DL163" s="278"/>
      <c r="DM163" s="278"/>
      <c r="DN163" s="278"/>
      <c r="DO163" s="278"/>
      <c r="DP163" s="278"/>
      <c r="DR163" s="279"/>
      <c r="DS163" s="278"/>
      <c r="DT163" s="278"/>
      <c r="DU163" s="278"/>
      <c r="DV163" s="278"/>
      <c r="DW163" s="278"/>
      <c r="DX163" s="278"/>
      <c r="DY163" s="278"/>
      <c r="EA163" s="279"/>
      <c r="EB163" s="278"/>
      <c r="EC163" s="278"/>
      <c r="ED163" s="278"/>
      <c r="EE163" s="278"/>
      <c r="EF163" s="278"/>
      <c r="EG163" s="278"/>
      <c r="EH163" s="278"/>
      <c r="EJ163" s="279"/>
      <c r="EK163" s="278"/>
      <c r="EL163" s="278"/>
      <c r="EM163" s="278"/>
      <c r="EN163" s="278"/>
      <c r="EO163" s="278"/>
      <c r="EP163" s="278"/>
      <c r="EQ163" s="278"/>
      <c r="ES163" s="279"/>
      <c r="ET163" s="278"/>
      <c r="EU163" s="278"/>
      <c r="EV163" s="278"/>
      <c r="EW163" s="278"/>
      <c r="EX163" s="278"/>
      <c r="EY163" s="278"/>
      <c r="EZ163" s="278"/>
      <c r="FB163" s="279"/>
      <c r="FC163" s="278"/>
      <c r="FD163" s="278"/>
    </row>
    <row r="164" spans="2:160" ht="15" hidden="1" customHeight="1" x14ac:dyDescent="0.2">
      <c r="B164" s="85"/>
      <c r="C164" s="126"/>
      <c r="D164" s="126"/>
      <c r="E164" s="126"/>
      <c r="F164" s="126"/>
      <c r="G164" s="136"/>
      <c r="H164" s="137"/>
      <c r="I164" s="278"/>
      <c r="J164" s="278"/>
      <c r="K164" s="278"/>
      <c r="L164" s="278"/>
      <c r="N164" s="279"/>
      <c r="O164" s="278"/>
      <c r="P164" s="278"/>
      <c r="Q164" s="278"/>
      <c r="R164" s="278"/>
      <c r="S164" s="278"/>
      <c r="T164" s="278"/>
      <c r="U164" s="278"/>
      <c r="W164" s="279"/>
      <c r="X164" s="278"/>
      <c r="Y164" s="278"/>
      <c r="Z164" s="278"/>
      <c r="AA164" s="278"/>
      <c r="AB164" s="278"/>
      <c r="AC164" s="278"/>
      <c r="AD164" s="278"/>
      <c r="AF164" s="279"/>
      <c r="AG164" s="278"/>
      <c r="AH164" s="278"/>
      <c r="AI164" s="278"/>
      <c r="AJ164" s="278"/>
      <c r="AK164" s="278"/>
      <c r="AL164" s="278"/>
      <c r="AM164" s="278"/>
      <c r="AO164" s="279"/>
      <c r="AP164" s="278"/>
      <c r="AQ164" s="278"/>
      <c r="AR164" s="278"/>
      <c r="AS164" s="278"/>
      <c r="AT164" s="278"/>
      <c r="AU164" s="278"/>
      <c r="AV164" s="278"/>
      <c r="AX164" s="279"/>
      <c r="AY164" s="278"/>
      <c r="AZ164" s="278"/>
      <c r="BA164" s="278"/>
      <c r="BB164" s="278"/>
      <c r="BC164" s="278"/>
      <c r="BD164" s="278"/>
      <c r="BE164" s="278"/>
      <c r="BG164" s="279"/>
      <c r="BH164" s="278"/>
      <c r="BI164" s="278"/>
      <c r="BJ164" s="278"/>
      <c r="BK164" s="278"/>
      <c r="BL164" s="278"/>
      <c r="BM164" s="278"/>
      <c r="BN164" s="278"/>
      <c r="BP164" s="279"/>
      <c r="BQ164" s="278"/>
      <c r="BR164" s="278"/>
      <c r="BS164" s="278"/>
      <c r="BT164" s="278"/>
      <c r="BU164" s="278"/>
      <c r="BV164" s="278"/>
      <c r="BW164" s="278"/>
      <c r="BY164" s="279"/>
      <c r="BZ164" s="278"/>
      <c r="CA164" s="278"/>
      <c r="CB164" s="278"/>
      <c r="CC164" s="278"/>
      <c r="CD164" s="278"/>
      <c r="CE164" s="278"/>
      <c r="CF164" s="278"/>
      <c r="CH164" s="279"/>
      <c r="CI164" s="278"/>
      <c r="CJ164" s="278"/>
      <c r="CK164" s="278"/>
      <c r="CL164" s="278"/>
      <c r="CM164" s="278"/>
      <c r="CN164" s="278"/>
      <c r="CO164" s="278"/>
      <c r="CQ164" s="279"/>
      <c r="CR164" s="278"/>
      <c r="CS164" s="278"/>
      <c r="CT164" s="278"/>
      <c r="CU164" s="278"/>
      <c r="CV164" s="278"/>
      <c r="CW164" s="278"/>
      <c r="CX164" s="278"/>
      <c r="CZ164" s="279"/>
      <c r="DA164" s="278"/>
      <c r="DB164" s="278"/>
      <c r="DC164" s="278"/>
      <c r="DD164" s="278"/>
      <c r="DE164" s="278"/>
      <c r="DF164" s="278"/>
      <c r="DG164" s="278"/>
      <c r="DI164" s="279"/>
      <c r="DJ164" s="278"/>
      <c r="DK164" s="278"/>
      <c r="DL164" s="278"/>
      <c r="DM164" s="278"/>
      <c r="DN164" s="278"/>
      <c r="DO164" s="278"/>
      <c r="DP164" s="278"/>
      <c r="DR164" s="279"/>
      <c r="DS164" s="278"/>
      <c r="DT164" s="278"/>
      <c r="DU164" s="278"/>
      <c r="DV164" s="278"/>
      <c r="DW164" s="278"/>
      <c r="DX164" s="278"/>
      <c r="DY164" s="278"/>
      <c r="EA164" s="279"/>
      <c r="EB164" s="278"/>
      <c r="EC164" s="278"/>
      <c r="ED164" s="278"/>
      <c r="EE164" s="278"/>
      <c r="EF164" s="278"/>
      <c r="EG164" s="278"/>
      <c r="EH164" s="278"/>
      <c r="EJ164" s="279"/>
      <c r="EK164" s="278"/>
      <c r="EL164" s="278"/>
      <c r="EM164" s="278"/>
      <c r="EN164" s="278"/>
      <c r="EO164" s="278"/>
      <c r="EP164" s="278"/>
      <c r="EQ164" s="278"/>
      <c r="ES164" s="279"/>
      <c r="ET164" s="278"/>
      <c r="EU164" s="278"/>
      <c r="EV164" s="278"/>
      <c r="EW164" s="278"/>
      <c r="EX164" s="278"/>
      <c r="EY164" s="278"/>
      <c r="EZ164" s="278"/>
      <c r="FB164" s="279"/>
      <c r="FC164" s="278"/>
      <c r="FD164" s="278"/>
    </row>
    <row r="165" spans="2:160" ht="15.75" x14ac:dyDescent="0.2">
      <c r="B165" s="107" t="s">
        <v>341</v>
      </c>
      <c r="C165" s="126"/>
      <c r="D165" s="126"/>
      <c r="E165" s="126"/>
      <c r="F165" s="126"/>
      <c r="G165" s="136"/>
      <c r="H165" s="137"/>
      <c r="I165" s="278"/>
      <c r="J165" s="278"/>
      <c r="K165" s="278"/>
      <c r="L165" s="278"/>
      <c r="N165" s="279"/>
      <c r="O165" s="278"/>
      <c r="P165" s="278"/>
      <c r="Q165" s="278"/>
      <c r="R165" s="278"/>
      <c r="S165" s="278"/>
      <c r="T165" s="278"/>
      <c r="U165" s="278"/>
      <c r="W165" s="279"/>
      <c r="X165" s="278"/>
      <c r="Y165" s="278"/>
      <c r="Z165" s="278"/>
      <c r="AA165" s="278"/>
      <c r="AB165" s="278"/>
      <c r="AC165" s="278"/>
      <c r="AD165" s="278"/>
      <c r="AF165" s="279"/>
      <c r="AG165" s="278"/>
      <c r="AH165" s="278"/>
      <c r="AI165" s="278"/>
      <c r="AJ165" s="278"/>
      <c r="AK165" s="278"/>
      <c r="AL165" s="278"/>
      <c r="AM165" s="278"/>
      <c r="AO165" s="279"/>
      <c r="AP165" s="278"/>
      <c r="AQ165" s="278"/>
      <c r="AR165" s="278"/>
      <c r="AS165" s="278"/>
      <c r="AT165" s="278"/>
      <c r="AU165" s="278"/>
      <c r="AV165" s="278"/>
      <c r="AX165" s="279"/>
      <c r="AY165" s="278"/>
      <c r="AZ165" s="278"/>
      <c r="BA165" s="278"/>
      <c r="BB165" s="278"/>
      <c r="BC165" s="278"/>
      <c r="BD165" s="278"/>
      <c r="BE165" s="278"/>
      <c r="BG165" s="279"/>
      <c r="BH165" s="278"/>
      <c r="BI165" s="278"/>
      <c r="BJ165" s="278"/>
      <c r="BK165" s="278"/>
      <c r="BL165" s="278"/>
      <c r="BM165" s="278"/>
      <c r="BN165" s="278"/>
      <c r="BP165" s="279"/>
      <c r="BQ165" s="278"/>
      <c r="BR165" s="278"/>
      <c r="BS165" s="278"/>
      <c r="BT165" s="278"/>
      <c r="BU165" s="278"/>
      <c r="BV165" s="278"/>
      <c r="BW165" s="278"/>
      <c r="BY165" s="279"/>
      <c r="BZ165" s="278"/>
      <c r="CA165" s="278"/>
      <c r="CB165" s="278"/>
      <c r="CC165" s="278"/>
      <c r="CD165" s="278"/>
      <c r="CE165" s="278"/>
      <c r="CF165" s="278"/>
      <c r="CH165" s="279"/>
      <c r="CI165" s="278"/>
      <c r="CJ165" s="278"/>
      <c r="CK165" s="278"/>
      <c r="CL165" s="278"/>
      <c r="CM165" s="278"/>
      <c r="CN165" s="278"/>
      <c r="CO165" s="278"/>
      <c r="CQ165" s="279"/>
      <c r="CR165" s="278"/>
      <c r="CS165" s="278"/>
      <c r="CT165" s="278"/>
      <c r="CU165" s="278"/>
      <c r="CV165" s="278"/>
      <c r="CW165" s="278"/>
      <c r="CX165" s="278"/>
      <c r="CZ165" s="279"/>
      <c r="DA165" s="278"/>
      <c r="DB165" s="278"/>
      <c r="DC165" s="278"/>
      <c r="DD165" s="278"/>
      <c r="DE165" s="278"/>
      <c r="DF165" s="278"/>
      <c r="DG165" s="278"/>
      <c r="DI165" s="279"/>
      <c r="DJ165" s="278"/>
      <c r="DK165" s="278"/>
      <c r="DL165" s="278"/>
      <c r="DM165" s="278"/>
      <c r="DN165" s="278"/>
      <c r="DO165" s="278"/>
      <c r="DP165" s="278"/>
      <c r="DR165" s="279"/>
      <c r="DS165" s="278"/>
      <c r="DT165" s="278"/>
      <c r="DU165" s="278"/>
      <c r="DV165" s="278"/>
      <c r="DW165" s="278"/>
      <c r="DX165" s="278"/>
      <c r="DY165" s="278"/>
      <c r="EA165" s="279"/>
      <c r="EB165" s="278"/>
      <c r="EC165" s="278"/>
      <c r="ED165" s="278"/>
      <c r="EE165" s="278"/>
      <c r="EF165" s="278"/>
      <c r="EG165" s="278"/>
      <c r="EH165" s="278"/>
      <c r="EJ165" s="279"/>
      <c r="EK165" s="278"/>
      <c r="EL165" s="278"/>
      <c r="EM165" s="278"/>
      <c r="EN165" s="278"/>
      <c r="EO165" s="278"/>
      <c r="EP165" s="278"/>
      <c r="EQ165" s="278"/>
      <c r="ES165" s="279"/>
      <c r="ET165" s="278"/>
      <c r="EU165" s="278"/>
      <c r="EV165" s="278"/>
      <c r="EW165" s="278"/>
      <c r="EX165" s="278"/>
      <c r="EY165" s="278"/>
      <c r="EZ165" s="278"/>
      <c r="FB165" s="279"/>
      <c r="FC165" s="278"/>
      <c r="FD165" s="278"/>
    </row>
    <row r="166" spans="2:160" x14ac:dyDescent="0.2">
      <c r="B166" s="78" t="s">
        <v>154</v>
      </c>
      <c r="C166" s="138">
        <v>0.9</v>
      </c>
      <c r="D166" s="138">
        <v>1</v>
      </c>
      <c r="E166" s="138">
        <v>1.3</v>
      </c>
      <c r="F166" s="138">
        <v>1.3</v>
      </c>
      <c r="G166" s="138">
        <v>1.7</v>
      </c>
      <c r="H166" s="139">
        <v>1.5</v>
      </c>
    </row>
    <row r="167" spans="2:160" x14ac:dyDescent="0.2">
      <c r="B167" s="78" t="s">
        <v>155</v>
      </c>
      <c r="C167" s="138">
        <v>1.1000000000000001</v>
      </c>
      <c r="D167" s="138">
        <v>1.1000000000000001</v>
      </c>
      <c r="E167" s="138">
        <v>1.1000000000000001</v>
      </c>
      <c r="F167" s="138">
        <v>1.1000000000000001</v>
      </c>
      <c r="G167" s="138">
        <v>1.1000000000000001</v>
      </c>
      <c r="H167" s="139">
        <v>1.1000000000000001</v>
      </c>
    </row>
    <row r="168" spans="2:160" x14ac:dyDescent="0.2">
      <c r="B168" s="78" t="s">
        <v>200</v>
      </c>
      <c r="C168" s="126">
        <v>0.33</v>
      </c>
      <c r="D168" s="126">
        <v>0.33</v>
      </c>
      <c r="E168" s="126">
        <v>0.33</v>
      </c>
      <c r="F168" s="126">
        <v>0.33</v>
      </c>
      <c r="G168" s="126">
        <v>3.24</v>
      </c>
      <c r="H168" s="127">
        <v>0.39</v>
      </c>
    </row>
    <row r="169" spans="2:160" x14ac:dyDescent="0.2">
      <c r="B169" s="78" t="s">
        <v>157</v>
      </c>
      <c r="C169" s="126">
        <v>1.2798</v>
      </c>
      <c r="D169" s="126">
        <v>1.2939000000000001</v>
      </c>
      <c r="E169" s="126">
        <v>1.3888199999999999</v>
      </c>
      <c r="F169" s="126">
        <v>1.4388000000000001</v>
      </c>
      <c r="G169" s="126">
        <v>1.5688800000000001</v>
      </c>
      <c r="H169" s="127">
        <v>1.5505200000000001</v>
      </c>
    </row>
    <row r="170" spans="2:160" x14ac:dyDescent="0.2">
      <c r="B170" s="78"/>
      <c r="C170" s="138"/>
      <c r="D170" s="126"/>
      <c r="E170" s="126"/>
      <c r="F170" s="126"/>
      <c r="G170" s="126"/>
      <c r="H170" s="127"/>
    </row>
    <row r="171" spans="2:160" ht="15.75" x14ac:dyDescent="0.2">
      <c r="B171" s="107" t="s">
        <v>342</v>
      </c>
      <c r="C171" s="126"/>
      <c r="D171" s="126"/>
      <c r="E171" s="126"/>
      <c r="F171" s="126"/>
      <c r="G171" s="136"/>
      <c r="H171" s="137"/>
      <c r="I171" s="278"/>
      <c r="J171" s="278"/>
      <c r="K171" s="278"/>
      <c r="L171" s="278"/>
      <c r="N171" s="279"/>
      <c r="O171" s="278"/>
      <c r="P171" s="278"/>
      <c r="Q171" s="278"/>
      <c r="R171" s="278"/>
      <c r="S171" s="278"/>
      <c r="T171" s="278"/>
      <c r="U171" s="278"/>
      <c r="W171" s="279"/>
      <c r="X171" s="278"/>
      <c r="Y171" s="278"/>
      <c r="Z171" s="278"/>
      <c r="AA171" s="278"/>
      <c r="AB171" s="278"/>
      <c r="AC171" s="278"/>
      <c r="AD171" s="278"/>
      <c r="AF171" s="279"/>
      <c r="AG171" s="278"/>
      <c r="AH171" s="278"/>
      <c r="AI171" s="278"/>
      <c r="AJ171" s="278"/>
      <c r="AK171" s="278"/>
      <c r="AL171" s="278"/>
      <c r="AM171" s="278"/>
      <c r="AO171" s="279"/>
      <c r="AP171" s="278"/>
      <c r="AQ171" s="278"/>
      <c r="AR171" s="278"/>
      <c r="AS171" s="278"/>
      <c r="AT171" s="278"/>
      <c r="AU171" s="278"/>
      <c r="AV171" s="278"/>
      <c r="AX171" s="279"/>
      <c r="AY171" s="278"/>
      <c r="AZ171" s="278"/>
      <c r="BA171" s="278"/>
      <c r="BB171" s="278"/>
      <c r="BC171" s="278"/>
      <c r="BD171" s="278"/>
      <c r="BE171" s="278"/>
      <c r="BG171" s="279"/>
      <c r="BH171" s="278"/>
      <c r="BI171" s="278"/>
      <c r="BJ171" s="278"/>
      <c r="BK171" s="278"/>
      <c r="BL171" s="278"/>
      <c r="BM171" s="278"/>
      <c r="BN171" s="278"/>
      <c r="BP171" s="279"/>
      <c r="BQ171" s="278"/>
      <c r="BR171" s="278"/>
      <c r="BS171" s="278"/>
      <c r="BT171" s="278"/>
      <c r="BU171" s="278"/>
      <c r="BV171" s="278"/>
      <c r="BW171" s="278"/>
      <c r="BY171" s="279"/>
      <c r="BZ171" s="278"/>
      <c r="CA171" s="278"/>
      <c r="CB171" s="278"/>
      <c r="CC171" s="278"/>
      <c r="CD171" s="278"/>
      <c r="CE171" s="278"/>
      <c r="CF171" s="278"/>
      <c r="CH171" s="279"/>
      <c r="CI171" s="278"/>
      <c r="CJ171" s="278"/>
      <c r="CK171" s="278"/>
      <c r="CL171" s="278"/>
      <c r="CM171" s="278"/>
      <c r="CN171" s="278"/>
      <c r="CO171" s="278"/>
      <c r="CQ171" s="279"/>
      <c r="CR171" s="278"/>
      <c r="CS171" s="278"/>
      <c r="CT171" s="278"/>
      <c r="CU171" s="278"/>
      <c r="CV171" s="278"/>
      <c r="CW171" s="278"/>
      <c r="CX171" s="278"/>
      <c r="CZ171" s="279"/>
      <c r="DA171" s="278"/>
      <c r="DB171" s="278"/>
      <c r="DC171" s="278"/>
      <c r="DD171" s="278"/>
      <c r="DE171" s="278"/>
      <c r="DF171" s="278"/>
      <c r="DG171" s="278"/>
      <c r="DI171" s="279"/>
      <c r="DJ171" s="278"/>
      <c r="DK171" s="278"/>
      <c r="DL171" s="278"/>
      <c r="DM171" s="278"/>
      <c r="DN171" s="278"/>
      <c r="DO171" s="278"/>
      <c r="DP171" s="278"/>
      <c r="DR171" s="279"/>
      <c r="DS171" s="278"/>
      <c r="DT171" s="278"/>
      <c r="DU171" s="278"/>
      <c r="DV171" s="278"/>
      <c r="DW171" s="278"/>
      <c r="DX171" s="278"/>
      <c r="DY171" s="278"/>
      <c r="EA171" s="279"/>
      <c r="EB171" s="278"/>
      <c r="EC171" s="278"/>
      <c r="ED171" s="278"/>
      <c r="EE171" s="278"/>
      <c r="EF171" s="278"/>
      <c r="EG171" s="278"/>
      <c r="EH171" s="278"/>
      <c r="EJ171" s="279"/>
      <c r="EK171" s="278"/>
      <c r="EL171" s="278"/>
      <c r="EM171" s="278"/>
      <c r="EN171" s="278"/>
      <c r="EO171" s="278"/>
      <c r="EP171" s="278"/>
      <c r="EQ171" s="278"/>
      <c r="ES171" s="279"/>
      <c r="ET171" s="278"/>
      <c r="EU171" s="278"/>
      <c r="EV171" s="278"/>
      <c r="EW171" s="278"/>
      <c r="EX171" s="278"/>
      <c r="EY171" s="278"/>
      <c r="EZ171" s="278"/>
      <c r="FB171" s="279"/>
      <c r="FC171" s="278"/>
      <c r="FD171" s="278"/>
    </row>
    <row r="172" spans="2:160" x14ac:dyDescent="0.2">
      <c r="B172" s="78" t="s">
        <v>154</v>
      </c>
      <c r="C172" s="142">
        <v>0.9</v>
      </c>
      <c r="D172" s="142">
        <v>1</v>
      </c>
      <c r="E172" s="142">
        <v>1.3</v>
      </c>
      <c r="F172" s="142">
        <v>1.3</v>
      </c>
      <c r="G172" s="138">
        <v>1.7</v>
      </c>
      <c r="H172" s="139">
        <v>1.5</v>
      </c>
    </row>
    <row r="173" spans="2:160" x14ac:dyDescent="0.2">
      <c r="B173" s="78" t="s">
        <v>155</v>
      </c>
      <c r="C173" s="142">
        <v>1.1000000000000001</v>
      </c>
      <c r="D173" s="142">
        <v>1.1000000000000001</v>
      </c>
      <c r="E173" s="142">
        <v>1.1000000000000001</v>
      </c>
      <c r="F173" s="142">
        <v>1.1000000000000001</v>
      </c>
      <c r="G173" s="138">
        <v>1.1000000000000001</v>
      </c>
      <c r="H173" s="139">
        <v>1.1000000000000001</v>
      </c>
    </row>
    <row r="174" spans="2:160" x14ac:dyDescent="0.2">
      <c r="B174" s="78" t="s">
        <v>200</v>
      </c>
      <c r="C174" s="253">
        <v>0.33</v>
      </c>
      <c r="D174" s="253">
        <v>0.33</v>
      </c>
      <c r="E174" s="253">
        <v>0.33</v>
      </c>
      <c r="F174" s="253">
        <v>0.33</v>
      </c>
      <c r="G174" s="126">
        <v>3.24</v>
      </c>
      <c r="H174" s="127">
        <v>0.39</v>
      </c>
    </row>
    <row r="175" spans="2:160" x14ac:dyDescent="0.2">
      <c r="B175" s="78" t="s">
        <v>157</v>
      </c>
      <c r="C175" s="253">
        <v>1.2798</v>
      </c>
      <c r="D175" s="253">
        <v>1.2939000000000001</v>
      </c>
      <c r="E175" s="253">
        <v>1.3888199999999999</v>
      </c>
      <c r="F175" s="253">
        <v>1.4388000000000001</v>
      </c>
      <c r="G175" s="126">
        <v>1.5688800000000001</v>
      </c>
      <c r="H175" s="127">
        <v>1.5505200000000001</v>
      </c>
    </row>
    <row r="176" spans="2:160" x14ac:dyDescent="0.2">
      <c r="B176" s="78"/>
      <c r="C176" s="138"/>
      <c r="D176" s="126"/>
      <c r="E176" s="126"/>
      <c r="F176" s="126"/>
      <c r="G176" s="126"/>
      <c r="H176" s="127"/>
    </row>
    <row r="177" spans="2:8" ht="15.75" x14ac:dyDescent="0.2">
      <c r="B177" s="140" t="s">
        <v>158</v>
      </c>
      <c r="C177" s="126"/>
      <c r="D177" s="126"/>
      <c r="E177" s="126"/>
      <c r="F177" s="126"/>
      <c r="G177" s="126"/>
      <c r="H177" s="127"/>
    </row>
    <row r="178" spans="2:8" x14ac:dyDescent="0.2">
      <c r="B178" s="141" t="s">
        <v>159</v>
      </c>
      <c r="C178" s="123">
        <v>190</v>
      </c>
      <c r="D178" s="123">
        <v>190</v>
      </c>
      <c r="E178" s="123">
        <v>190</v>
      </c>
      <c r="F178" s="123">
        <v>190</v>
      </c>
      <c r="G178" s="123">
        <v>190</v>
      </c>
      <c r="H178" s="124">
        <v>190</v>
      </c>
    </row>
    <row r="179" spans="2:8" x14ac:dyDescent="0.2">
      <c r="B179" s="141" t="s">
        <v>160</v>
      </c>
      <c r="C179" s="138" t="s">
        <v>201</v>
      </c>
      <c r="D179" s="138" t="s">
        <v>201</v>
      </c>
      <c r="E179" s="138" t="s">
        <v>201</v>
      </c>
      <c r="F179" s="138" t="s">
        <v>201</v>
      </c>
      <c r="G179" s="138" t="s">
        <v>201</v>
      </c>
      <c r="H179" s="139" t="s">
        <v>201</v>
      </c>
    </row>
    <row r="180" spans="2:8" x14ac:dyDescent="0.2">
      <c r="B180" s="141" t="s">
        <v>161</v>
      </c>
      <c r="C180" s="138">
        <v>3</v>
      </c>
      <c r="D180" s="138">
        <v>3</v>
      </c>
      <c r="E180" s="138">
        <v>3</v>
      </c>
      <c r="F180" s="138">
        <v>3</v>
      </c>
      <c r="G180" s="138">
        <v>3</v>
      </c>
      <c r="H180" s="139">
        <v>3</v>
      </c>
    </row>
    <row r="181" spans="2:8" hidden="1" x14ac:dyDescent="0.2">
      <c r="B181" s="141"/>
      <c r="C181" s="138"/>
      <c r="D181" s="123"/>
      <c r="E181" s="123"/>
      <c r="F181" s="138"/>
      <c r="G181" s="138"/>
      <c r="H181" s="124"/>
    </row>
    <row r="182" spans="2:8" x14ac:dyDescent="0.2">
      <c r="B182" s="85"/>
      <c r="C182" s="123"/>
      <c r="D182" s="123"/>
      <c r="E182" s="123"/>
      <c r="F182" s="123"/>
      <c r="G182" s="123"/>
      <c r="H182" s="124"/>
    </row>
    <row r="183" spans="2:8" ht="15.75" x14ac:dyDescent="0.2">
      <c r="B183" s="107" t="s">
        <v>162</v>
      </c>
      <c r="C183" s="123"/>
      <c r="D183" s="123"/>
      <c r="E183" s="123"/>
      <c r="F183" s="123"/>
      <c r="G183" s="123"/>
      <c r="H183" s="124"/>
    </row>
    <row r="184" spans="2:8" x14ac:dyDescent="0.2">
      <c r="B184" s="96" t="s">
        <v>163</v>
      </c>
      <c r="C184" s="142">
        <f>SUM(C185:C187)</f>
        <v>10.09</v>
      </c>
      <c r="D184" s="142">
        <f t="shared" ref="D184:H184" si="0">SUM(D185:D187)</f>
        <v>9.9700000000000006</v>
      </c>
      <c r="E184" s="142">
        <f t="shared" si="0"/>
        <v>9.870000000000001</v>
      </c>
      <c r="F184" s="142">
        <f t="shared" si="0"/>
        <v>9.870000000000001</v>
      </c>
      <c r="G184" s="142">
        <f t="shared" si="0"/>
        <v>10.190000000000001</v>
      </c>
      <c r="H184" s="143">
        <f t="shared" si="0"/>
        <v>9.74</v>
      </c>
    </row>
    <row r="185" spans="2:8" x14ac:dyDescent="0.2">
      <c r="B185" s="144" t="s">
        <v>164</v>
      </c>
      <c r="C185" s="142">
        <v>8.3699999999999992</v>
      </c>
      <c r="D185" s="142">
        <v>8.24</v>
      </c>
      <c r="E185" s="142">
        <v>8.14</v>
      </c>
      <c r="F185" s="142">
        <v>8.14</v>
      </c>
      <c r="G185" s="142">
        <v>8.4600000000000009</v>
      </c>
      <c r="H185" s="143">
        <v>8.01</v>
      </c>
    </row>
    <row r="186" spans="2:8" x14ac:dyDescent="0.2">
      <c r="B186" s="144" t="s">
        <v>165</v>
      </c>
      <c r="C186" s="142">
        <v>0.82</v>
      </c>
      <c r="D186" s="142">
        <v>0.83</v>
      </c>
      <c r="E186" s="142">
        <v>0.83</v>
      </c>
      <c r="F186" s="142">
        <v>0.83</v>
      </c>
      <c r="G186" s="142">
        <v>0.83</v>
      </c>
      <c r="H186" s="143">
        <v>0.83</v>
      </c>
    </row>
    <row r="187" spans="2:8" x14ac:dyDescent="0.2">
      <c r="B187" s="144" t="s">
        <v>166</v>
      </c>
      <c r="C187" s="142">
        <v>0.9</v>
      </c>
      <c r="D187" s="142">
        <v>0.9</v>
      </c>
      <c r="E187" s="142">
        <v>0.9</v>
      </c>
      <c r="F187" s="142">
        <v>0.9</v>
      </c>
      <c r="G187" s="142">
        <v>0.9</v>
      </c>
      <c r="H187" s="143">
        <v>0.9</v>
      </c>
    </row>
    <row r="188" spans="2:8" x14ac:dyDescent="0.2">
      <c r="B188" s="96"/>
      <c r="C188" s="145"/>
      <c r="D188" s="145"/>
      <c r="E188" s="145"/>
      <c r="F188" s="145"/>
      <c r="G188" s="145"/>
      <c r="H188" s="146"/>
    </row>
    <row r="189" spans="2:8" ht="15.75" x14ac:dyDescent="0.2">
      <c r="B189" s="107" t="s">
        <v>167</v>
      </c>
      <c r="C189" s="123"/>
      <c r="D189" s="123"/>
      <c r="E189" s="123"/>
      <c r="F189" s="123"/>
      <c r="G189" s="123"/>
      <c r="H189" s="124"/>
    </row>
    <row r="190" spans="2:8" x14ac:dyDescent="0.2">
      <c r="B190" s="96" t="s">
        <v>163</v>
      </c>
      <c r="C190" s="142">
        <f t="shared" ref="C190:D190" si="1">SUM(C191:C193)</f>
        <v>10.120000000000001</v>
      </c>
      <c r="D190" s="142">
        <f t="shared" si="1"/>
        <v>10.02</v>
      </c>
      <c r="E190" s="142">
        <f t="shared" ref="E190" si="2">SUM(E191:E193)</f>
        <v>9.92</v>
      </c>
      <c r="F190" s="142">
        <f t="shared" ref="F190" si="3">SUM(F191:F193)</f>
        <v>9.92</v>
      </c>
      <c r="G190" s="142">
        <f t="shared" ref="G190" si="4">SUM(G191:G193)</f>
        <v>10.23</v>
      </c>
      <c r="H190" s="143">
        <f t="shared" ref="H190" si="5">SUM(H191:H193)</f>
        <v>9.81</v>
      </c>
    </row>
    <row r="191" spans="2:8" x14ac:dyDescent="0.2">
      <c r="B191" s="144" t="s">
        <v>164</v>
      </c>
      <c r="C191" s="142">
        <v>8.2200000000000006</v>
      </c>
      <c r="D191" s="142">
        <v>8.1199999999999992</v>
      </c>
      <c r="E191" s="142">
        <v>8.02</v>
      </c>
      <c r="F191" s="142">
        <v>8.02</v>
      </c>
      <c r="G191" s="142">
        <v>8.3000000000000007</v>
      </c>
      <c r="H191" s="143">
        <v>7.88</v>
      </c>
    </row>
    <row r="192" spans="2:8" x14ac:dyDescent="0.2">
      <c r="B192" s="144" t="s">
        <v>165</v>
      </c>
      <c r="C192" s="142">
        <v>1</v>
      </c>
      <c r="D192" s="142">
        <v>1</v>
      </c>
      <c r="E192" s="142">
        <v>1</v>
      </c>
      <c r="F192" s="142">
        <v>1</v>
      </c>
      <c r="G192" s="142">
        <v>1.03</v>
      </c>
      <c r="H192" s="143">
        <v>1.03</v>
      </c>
    </row>
    <row r="193" spans="2:8" x14ac:dyDescent="0.2">
      <c r="B193" s="144" t="s">
        <v>166</v>
      </c>
      <c r="C193" s="142">
        <v>0.9</v>
      </c>
      <c r="D193" s="142">
        <v>0.9</v>
      </c>
      <c r="E193" s="142">
        <v>0.9</v>
      </c>
      <c r="F193" s="142">
        <v>0.9</v>
      </c>
      <c r="G193" s="142">
        <v>0.9</v>
      </c>
      <c r="H193" s="143">
        <v>0.9</v>
      </c>
    </row>
    <row r="194" spans="2:8" x14ac:dyDescent="0.2">
      <c r="B194" s="96"/>
      <c r="C194" s="145"/>
      <c r="D194" s="145"/>
      <c r="E194" s="145"/>
      <c r="F194" s="145"/>
      <c r="G194" s="145"/>
      <c r="H194" s="146"/>
    </row>
    <row r="195" spans="2:8" ht="15" customHeight="1" x14ac:dyDescent="0.2">
      <c r="B195" s="147" t="s">
        <v>410</v>
      </c>
      <c r="C195" s="104"/>
      <c r="D195" s="104"/>
      <c r="E195" s="104"/>
      <c r="F195" s="104"/>
      <c r="G195" s="104"/>
      <c r="H195" s="105"/>
    </row>
    <row r="196" spans="2:8" ht="15" customHeight="1" x14ac:dyDescent="0.2">
      <c r="B196" s="141" t="s">
        <v>168</v>
      </c>
      <c r="C196" s="148">
        <v>11.315681214178989</v>
      </c>
      <c r="D196" s="148">
        <v>11.315681214178989</v>
      </c>
      <c r="E196" s="148">
        <v>-11.315681214178989</v>
      </c>
      <c r="F196" s="148">
        <v>-11.315681214178989</v>
      </c>
      <c r="G196" s="148">
        <v>-12.319098773169202</v>
      </c>
      <c r="H196" s="149">
        <v>-12.319098773169202</v>
      </c>
    </row>
    <row r="197" spans="2:8" ht="15" customHeight="1" x14ac:dyDescent="0.2">
      <c r="B197" s="141" t="s">
        <v>169</v>
      </c>
      <c r="C197" s="148">
        <v>7</v>
      </c>
      <c r="D197" s="148">
        <v>7</v>
      </c>
      <c r="E197" s="148">
        <v>-7</v>
      </c>
      <c r="F197" s="148">
        <v>-7</v>
      </c>
      <c r="G197" s="148">
        <v>-7.1</v>
      </c>
      <c r="H197" s="149">
        <v>-7.1</v>
      </c>
    </row>
    <row r="198" spans="2:8" ht="15" customHeight="1" x14ac:dyDescent="0.2">
      <c r="B198" s="141"/>
      <c r="C198" s="148"/>
      <c r="D198" s="148"/>
      <c r="E198" s="148"/>
      <c r="F198" s="148"/>
      <c r="G198" s="148"/>
      <c r="H198" s="149"/>
    </row>
    <row r="199" spans="2:8" ht="15" customHeight="1" x14ac:dyDescent="0.2">
      <c r="B199" s="147" t="s">
        <v>411</v>
      </c>
      <c r="C199" s="148"/>
      <c r="D199" s="148"/>
      <c r="E199" s="148"/>
      <c r="F199" s="148"/>
      <c r="G199" s="148"/>
      <c r="H199" s="149"/>
    </row>
    <row r="200" spans="2:8" ht="15" customHeight="1" x14ac:dyDescent="0.2">
      <c r="B200" s="141" t="s">
        <v>168</v>
      </c>
      <c r="C200" s="148">
        <v>-17.100000000000001</v>
      </c>
      <c r="D200" s="148">
        <v>-17.100000000000001</v>
      </c>
      <c r="E200" s="148">
        <v>-17.100000000000001</v>
      </c>
      <c r="F200" s="148">
        <v>-17.100000000000001</v>
      </c>
      <c r="G200" s="148">
        <v>-20.399999999999999</v>
      </c>
      <c r="H200" s="149">
        <v>-20.399999999999999</v>
      </c>
    </row>
    <row r="201" spans="2:8" ht="15" customHeight="1" x14ac:dyDescent="0.2">
      <c r="B201" s="141" t="s">
        <v>169</v>
      </c>
      <c r="C201" s="148">
        <v>-0.9</v>
      </c>
      <c r="D201" s="148">
        <v>-0.9</v>
      </c>
      <c r="E201" s="148">
        <v>-0.9</v>
      </c>
      <c r="F201" s="148">
        <v>-0.9</v>
      </c>
      <c r="G201" s="148">
        <v>-1.1000000000000001</v>
      </c>
      <c r="H201" s="149">
        <v>-1.1000000000000001</v>
      </c>
    </row>
    <row r="202" spans="2:8" ht="15.75" thickBot="1" x14ac:dyDescent="0.25">
      <c r="B202" s="150"/>
      <c r="C202" s="111"/>
      <c r="D202" s="111"/>
      <c r="E202" s="111"/>
      <c r="F202" s="111"/>
      <c r="G202" s="151"/>
      <c r="H202" s="152"/>
    </row>
    <row r="203" spans="2:8" ht="17.25" thickTop="1" thickBot="1" x14ac:dyDescent="0.25">
      <c r="B203" s="95" t="s">
        <v>170</v>
      </c>
      <c r="C203" s="153"/>
      <c r="D203" s="153"/>
      <c r="E203" s="153"/>
      <c r="F203" s="153"/>
      <c r="G203" s="153"/>
      <c r="H203" s="154"/>
    </row>
    <row r="204" spans="2:8" ht="15.75" thickTop="1" x14ac:dyDescent="0.2">
      <c r="B204" s="141"/>
      <c r="C204" s="97"/>
      <c r="D204" s="97"/>
      <c r="E204" s="97"/>
      <c r="F204" s="97"/>
      <c r="G204" s="97"/>
      <c r="H204" s="98"/>
    </row>
    <row r="205" spans="2:8" x14ac:dyDescent="0.2">
      <c r="B205" s="141" t="s">
        <v>171</v>
      </c>
      <c r="C205" s="155"/>
      <c r="D205" s="155"/>
      <c r="E205" s="155"/>
      <c r="F205" s="155"/>
      <c r="G205" s="155"/>
      <c r="H205" s="156"/>
    </row>
    <row r="206" spans="2:8" ht="15.75" x14ac:dyDescent="0.2">
      <c r="B206" s="157" t="s">
        <v>172</v>
      </c>
      <c r="C206" s="158">
        <v>166.8</v>
      </c>
      <c r="D206" s="158">
        <v>166.8</v>
      </c>
      <c r="E206" s="158">
        <v>166.8</v>
      </c>
      <c r="F206" s="158">
        <v>166.8</v>
      </c>
      <c r="G206" s="158">
        <v>166.8</v>
      </c>
      <c r="H206" s="159">
        <v>166.8</v>
      </c>
    </row>
    <row r="207" spans="2:8" ht="15.75" x14ac:dyDescent="0.2">
      <c r="B207" s="125" t="s">
        <v>173</v>
      </c>
      <c r="C207" s="160">
        <v>3.5</v>
      </c>
      <c r="D207" s="160">
        <v>3.5</v>
      </c>
      <c r="E207" s="160">
        <v>3.5</v>
      </c>
      <c r="F207" s="160">
        <v>3.5</v>
      </c>
      <c r="G207" s="160">
        <v>3.5</v>
      </c>
      <c r="H207" s="161">
        <v>3.5</v>
      </c>
    </row>
    <row r="208" spans="2:8" x14ac:dyDescent="0.2">
      <c r="B208" s="157" t="s">
        <v>174</v>
      </c>
      <c r="C208" s="158">
        <v>302.39999999999998</v>
      </c>
      <c r="D208" s="158">
        <v>302.39999999999998</v>
      </c>
      <c r="E208" s="158">
        <v>302.39999999999998</v>
      </c>
      <c r="F208" s="158">
        <v>302.39999999999998</v>
      </c>
      <c r="G208" s="158">
        <v>302.39999999999998</v>
      </c>
      <c r="H208" s="159">
        <v>302.39999999999998</v>
      </c>
    </row>
    <row r="209" spans="2:8" ht="15.75" x14ac:dyDescent="0.2">
      <c r="B209" s="157" t="s">
        <v>175</v>
      </c>
      <c r="C209" s="158">
        <v>208800</v>
      </c>
      <c r="D209" s="158">
        <v>208800</v>
      </c>
      <c r="E209" s="158">
        <v>208800</v>
      </c>
      <c r="F209" s="158">
        <v>208800</v>
      </c>
      <c r="G209" s="158">
        <v>208800</v>
      </c>
      <c r="H209" s="159">
        <v>208800</v>
      </c>
    </row>
    <row r="210" spans="2:8" x14ac:dyDescent="0.2">
      <c r="B210" s="157"/>
      <c r="C210" s="162"/>
      <c r="D210" s="86"/>
      <c r="E210" s="86"/>
      <c r="F210" s="162"/>
      <c r="G210" s="162"/>
      <c r="H210" s="163"/>
    </row>
    <row r="211" spans="2:8" x14ac:dyDescent="0.2">
      <c r="B211" s="141" t="s">
        <v>176</v>
      </c>
      <c r="C211" s="162"/>
      <c r="D211" s="86"/>
      <c r="E211" s="86"/>
      <c r="F211" s="162"/>
      <c r="G211" s="162"/>
      <c r="H211" s="163"/>
    </row>
    <row r="212" spans="2:8" ht="15.75" x14ac:dyDescent="0.2">
      <c r="B212" s="157" t="s">
        <v>172</v>
      </c>
      <c r="C212" s="158">
        <v>13.3</v>
      </c>
      <c r="D212" s="158">
        <v>13.3</v>
      </c>
      <c r="E212" s="158">
        <v>13.3</v>
      </c>
      <c r="F212" s="158">
        <v>13.3</v>
      </c>
      <c r="G212" s="158">
        <v>13.3</v>
      </c>
      <c r="H212" s="159">
        <v>13.3</v>
      </c>
    </row>
    <row r="213" spans="2:8" ht="15.75" x14ac:dyDescent="0.2">
      <c r="B213" s="157" t="s">
        <v>173</v>
      </c>
      <c r="C213" s="160">
        <v>3.5</v>
      </c>
      <c r="D213" s="160">
        <v>3.5</v>
      </c>
      <c r="E213" s="160">
        <v>3.5</v>
      </c>
      <c r="F213" s="160">
        <v>3.5</v>
      </c>
      <c r="G213" s="160">
        <v>3.5</v>
      </c>
      <c r="H213" s="161">
        <v>3.5</v>
      </c>
    </row>
    <row r="214" spans="2:8" x14ac:dyDescent="0.2">
      <c r="B214" s="157" t="s">
        <v>174</v>
      </c>
      <c r="C214" s="158">
        <v>6.7</v>
      </c>
      <c r="D214" s="158">
        <v>6.7</v>
      </c>
      <c r="E214" s="158">
        <v>6.7</v>
      </c>
      <c r="F214" s="158">
        <v>6.7</v>
      </c>
      <c r="G214" s="158">
        <v>6.7</v>
      </c>
      <c r="H214" s="159">
        <v>6.7</v>
      </c>
    </row>
    <row r="215" spans="2:8" ht="15.75" x14ac:dyDescent="0.2">
      <c r="B215" s="157" t="s">
        <v>175</v>
      </c>
      <c r="C215" s="158">
        <v>208800</v>
      </c>
      <c r="D215" s="158">
        <v>208800</v>
      </c>
      <c r="E215" s="158">
        <v>208800</v>
      </c>
      <c r="F215" s="158">
        <v>208800</v>
      </c>
      <c r="G215" s="158">
        <v>208800</v>
      </c>
      <c r="H215" s="159">
        <v>208800</v>
      </c>
    </row>
    <row r="216" spans="2:8" ht="15.75" thickBot="1" x14ac:dyDescent="0.25">
      <c r="B216" s="141"/>
      <c r="C216" s="164"/>
      <c r="D216" s="164"/>
      <c r="E216" s="164"/>
      <c r="F216" s="164"/>
      <c r="G216" s="164"/>
      <c r="H216" s="165"/>
    </row>
    <row r="217" spans="2:8" ht="17.25" thickTop="1" thickBot="1" x14ac:dyDescent="0.25">
      <c r="B217" s="95" t="s">
        <v>177</v>
      </c>
      <c r="C217" s="166"/>
      <c r="D217" s="166"/>
      <c r="E217" s="166"/>
      <c r="F217" s="166"/>
      <c r="G217" s="166"/>
      <c r="H217" s="167"/>
    </row>
    <row r="218" spans="2:8" ht="15.75" thickTop="1" x14ac:dyDescent="0.2">
      <c r="B218" s="141"/>
      <c r="C218" s="168"/>
      <c r="D218" s="168"/>
      <c r="E218" s="168"/>
      <c r="F218" s="168"/>
      <c r="G218" s="168"/>
      <c r="H218" s="169"/>
    </row>
    <row r="219" spans="2:8" ht="15.75" x14ac:dyDescent="0.2">
      <c r="B219" s="141" t="s">
        <v>171</v>
      </c>
      <c r="C219" s="170"/>
      <c r="D219" s="171"/>
      <c r="E219" s="171"/>
      <c r="F219" s="171"/>
      <c r="G219" s="171"/>
      <c r="H219" s="172"/>
    </row>
    <row r="220" spans="2:8" ht="15.75" x14ac:dyDescent="0.2">
      <c r="B220" s="157" t="s">
        <v>172</v>
      </c>
      <c r="C220" s="158">
        <v>278</v>
      </c>
      <c r="D220" s="158">
        <v>278</v>
      </c>
      <c r="E220" s="158">
        <v>278</v>
      </c>
      <c r="F220" s="158">
        <v>278</v>
      </c>
      <c r="G220" s="158">
        <v>278</v>
      </c>
      <c r="H220" s="159">
        <v>278</v>
      </c>
    </row>
    <row r="221" spans="2:8" ht="15.75" x14ac:dyDescent="0.2">
      <c r="B221" s="125" t="s">
        <v>173</v>
      </c>
      <c r="C221" s="160">
        <v>2.6</v>
      </c>
      <c r="D221" s="160">
        <v>2.6</v>
      </c>
      <c r="E221" s="160">
        <v>2.6</v>
      </c>
      <c r="F221" s="160">
        <v>2.6</v>
      </c>
      <c r="G221" s="160">
        <v>2.6</v>
      </c>
      <c r="H221" s="161">
        <v>2.6</v>
      </c>
    </row>
    <row r="222" spans="2:8" ht="18.600000000000001" customHeight="1" x14ac:dyDescent="0.2">
      <c r="B222" s="157" t="s">
        <v>174</v>
      </c>
      <c r="C222" s="158">
        <v>81.400000000000006</v>
      </c>
      <c r="D222" s="158">
        <v>81.400000000000006</v>
      </c>
      <c r="E222" s="158">
        <v>81.400000000000006</v>
      </c>
      <c r="F222" s="158">
        <v>81.400000000000006</v>
      </c>
      <c r="G222" s="158">
        <v>81.400000000000006</v>
      </c>
      <c r="H222" s="159">
        <v>81.400000000000006</v>
      </c>
    </row>
    <row r="223" spans="2:8" ht="15.75" x14ac:dyDescent="0.2">
      <c r="B223" s="157" t="s">
        <v>175</v>
      </c>
      <c r="C223" s="158">
        <v>278400</v>
      </c>
      <c r="D223" s="158">
        <v>278400</v>
      </c>
      <c r="E223" s="158">
        <v>278400</v>
      </c>
      <c r="F223" s="158">
        <v>278400</v>
      </c>
      <c r="G223" s="158">
        <v>278400</v>
      </c>
      <c r="H223" s="159">
        <v>278400</v>
      </c>
    </row>
    <row r="224" spans="2:8" x14ac:dyDescent="0.2">
      <c r="B224" s="157"/>
      <c r="C224" s="198"/>
      <c r="D224" s="199"/>
      <c r="E224" s="199"/>
      <c r="F224" s="199"/>
      <c r="G224" s="200"/>
      <c r="H224" s="201"/>
    </row>
    <row r="225" spans="2:9" x14ac:dyDescent="0.2">
      <c r="B225" s="141" t="s">
        <v>176</v>
      </c>
      <c r="C225" s="162"/>
      <c r="D225" s="86"/>
      <c r="E225" s="86"/>
      <c r="F225" s="162"/>
      <c r="G225" s="162"/>
      <c r="H225" s="163"/>
    </row>
    <row r="226" spans="2:9" ht="15.75" x14ac:dyDescent="0.2">
      <c r="B226" s="157" t="s">
        <v>172</v>
      </c>
      <c r="C226" s="158">
        <v>41.7</v>
      </c>
      <c r="D226" s="158">
        <v>41.7</v>
      </c>
      <c r="E226" s="158">
        <v>41.7</v>
      </c>
      <c r="F226" s="158">
        <v>41.7</v>
      </c>
      <c r="G226" s="158">
        <v>41.7</v>
      </c>
      <c r="H226" s="159">
        <v>41.7</v>
      </c>
    </row>
    <row r="227" spans="2:9" ht="15.75" x14ac:dyDescent="0.2">
      <c r="B227" s="157" t="s">
        <v>173</v>
      </c>
      <c r="C227" s="160">
        <v>2.6</v>
      </c>
      <c r="D227" s="160">
        <v>2.6</v>
      </c>
      <c r="E227" s="160">
        <v>2.6</v>
      </c>
      <c r="F227" s="160">
        <v>2.6</v>
      </c>
      <c r="G227" s="160">
        <v>2.6</v>
      </c>
      <c r="H227" s="161">
        <v>2.6</v>
      </c>
    </row>
    <row r="228" spans="2:9" x14ac:dyDescent="0.2">
      <c r="B228" s="157" t="s">
        <v>174</v>
      </c>
      <c r="C228" s="158">
        <v>12.2</v>
      </c>
      <c r="D228" s="158">
        <v>12.2</v>
      </c>
      <c r="E228" s="158">
        <v>12.2</v>
      </c>
      <c r="F228" s="158">
        <v>12.2</v>
      </c>
      <c r="G228" s="158">
        <v>12.2</v>
      </c>
      <c r="H228" s="159">
        <v>12.2</v>
      </c>
    </row>
    <row r="229" spans="2:9" ht="15.75" x14ac:dyDescent="0.2">
      <c r="B229" s="157" t="s">
        <v>175</v>
      </c>
      <c r="C229" s="158">
        <v>278400</v>
      </c>
      <c r="D229" s="158">
        <v>278400</v>
      </c>
      <c r="E229" s="158">
        <v>278400</v>
      </c>
      <c r="F229" s="158">
        <v>278400</v>
      </c>
      <c r="G229" s="158">
        <v>278400</v>
      </c>
      <c r="H229" s="159">
        <v>278400</v>
      </c>
    </row>
    <row r="230" spans="2:9" ht="15.75" thickBot="1" x14ac:dyDescent="0.25">
      <c r="B230" s="173"/>
      <c r="C230" s="174"/>
      <c r="D230" s="174"/>
      <c r="E230" s="174"/>
      <c r="F230" s="174"/>
      <c r="G230" s="174"/>
      <c r="H230" s="175"/>
    </row>
    <row r="231" spans="2:9" ht="16.5" thickTop="1" x14ac:dyDescent="0.2">
      <c r="B231" s="176" t="s">
        <v>178</v>
      </c>
      <c r="C231" s="177"/>
      <c r="D231" s="177"/>
      <c r="E231" s="177"/>
      <c r="F231" s="177"/>
      <c r="G231" s="177"/>
      <c r="H231" s="178"/>
    </row>
    <row r="232" spans="2:9" s="179" customFormat="1" x14ac:dyDescent="0.2">
      <c r="B232" s="78" t="s">
        <v>412</v>
      </c>
      <c r="C232" s="180"/>
      <c r="D232" s="180"/>
      <c r="E232" s="180"/>
      <c r="F232" s="180"/>
      <c r="G232" s="180"/>
      <c r="H232" s="181"/>
      <c r="I232" s="289"/>
    </row>
    <row r="233" spans="2:9" s="179" customFormat="1" x14ac:dyDescent="0.2">
      <c r="B233" s="78" t="s">
        <v>179</v>
      </c>
      <c r="C233" s="180"/>
      <c r="D233" s="180"/>
      <c r="E233" s="180"/>
      <c r="F233" s="180"/>
      <c r="G233" s="180"/>
      <c r="H233" s="181"/>
      <c r="I233" s="289"/>
    </row>
    <row r="234" spans="2:9" s="179" customFormat="1" ht="15" customHeight="1" x14ac:dyDescent="0.2">
      <c r="B234" s="182" t="s">
        <v>180</v>
      </c>
      <c r="C234" s="183"/>
      <c r="D234" s="183"/>
      <c r="E234" s="183"/>
      <c r="F234" s="183"/>
      <c r="G234" s="183"/>
      <c r="H234" s="184"/>
      <c r="I234" s="289"/>
    </row>
    <row r="235" spans="2:9" s="179" customFormat="1" ht="15" customHeight="1" x14ac:dyDescent="0.2">
      <c r="B235" s="182" t="s">
        <v>181</v>
      </c>
      <c r="C235" s="183"/>
      <c r="D235" s="183"/>
      <c r="E235" s="183"/>
      <c r="F235" s="183"/>
      <c r="G235" s="183"/>
      <c r="H235" s="184"/>
      <c r="I235" s="289"/>
    </row>
    <row r="236" spans="2:9" s="179" customFormat="1" ht="15" hidden="1" customHeight="1" x14ac:dyDescent="0.2">
      <c r="B236" s="185"/>
      <c r="C236" s="183"/>
      <c r="D236" s="183"/>
      <c r="E236" s="183"/>
      <c r="F236" s="183"/>
      <c r="G236" s="183"/>
      <c r="H236" s="184"/>
      <c r="I236" s="289"/>
    </row>
    <row r="237" spans="2:9" s="179" customFormat="1" x14ac:dyDescent="0.2">
      <c r="B237" s="78" t="s">
        <v>202</v>
      </c>
      <c r="C237" s="180"/>
      <c r="D237" s="180"/>
      <c r="E237" s="180"/>
      <c r="F237" s="180"/>
      <c r="G237" s="180"/>
      <c r="H237" s="181"/>
      <c r="I237" s="289"/>
    </row>
    <row r="238" spans="2:9" s="179" customFormat="1" x14ac:dyDescent="0.2">
      <c r="B238" s="78" t="s">
        <v>183</v>
      </c>
      <c r="C238" s="180"/>
      <c r="D238" s="180"/>
      <c r="E238" s="180"/>
      <c r="F238" s="180"/>
      <c r="G238" s="180"/>
      <c r="H238" s="181"/>
      <c r="I238" s="289"/>
    </row>
    <row r="239" spans="2:9" s="179" customFormat="1" x14ac:dyDescent="0.2">
      <c r="B239" s="78" t="s">
        <v>184</v>
      </c>
      <c r="C239" s="180"/>
      <c r="D239" s="180"/>
      <c r="E239" s="180"/>
      <c r="F239" s="180"/>
      <c r="G239" s="180"/>
      <c r="H239" s="181"/>
      <c r="I239" s="289"/>
    </row>
    <row r="240" spans="2:9" s="179" customFormat="1" ht="15" customHeight="1" x14ac:dyDescent="0.2">
      <c r="B240" s="182" t="s">
        <v>185</v>
      </c>
      <c r="C240" s="183"/>
      <c r="D240" s="183"/>
      <c r="E240" s="183"/>
      <c r="F240" s="183"/>
      <c r="G240" s="183"/>
      <c r="H240" s="184"/>
      <c r="I240" s="289"/>
    </row>
    <row r="241" spans="2:9" s="179" customFormat="1" x14ac:dyDescent="0.2">
      <c r="B241" s="78" t="s">
        <v>186</v>
      </c>
      <c r="C241" s="183"/>
      <c r="D241" s="183"/>
      <c r="E241" s="183"/>
      <c r="F241" s="183"/>
      <c r="G241" s="183"/>
      <c r="H241" s="184"/>
      <c r="I241" s="289"/>
    </row>
    <row r="242" spans="2:9" s="179" customFormat="1" x14ac:dyDescent="0.2">
      <c r="B242" s="78" t="s">
        <v>187</v>
      </c>
      <c r="C242" s="180"/>
      <c r="D242" s="180"/>
      <c r="E242" s="180"/>
      <c r="F242" s="180"/>
      <c r="G242" s="180"/>
      <c r="H242" s="181"/>
      <c r="I242" s="289"/>
    </row>
    <row r="243" spans="2:9" s="179" customFormat="1" x14ac:dyDescent="0.2">
      <c r="B243" s="78" t="s">
        <v>413</v>
      </c>
      <c r="C243" s="180"/>
      <c r="D243" s="180"/>
      <c r="E243" s="180"/>
      <c r="F243" s="180"/>
      <c r="G243" s="180"/>
      <c r="H243" s="181"/>
      <c r="I243" s="289"/>
    </row>
    <row r="244" spans="2:9" s="179" customFormat="1" x14ac:dyDescent="0.2">
      <c r="B244" s="78" t="s">
        <v>188</v>
      </c>
      <c r="C244" s="180"/>
      <c r="D244" s="180"/>
      <c r="E244" s="180"/>
      <c r="F244" s="180"/>
      <c r="G244" s="180"/>
      <c r="H244" s="181"/>
      <c r="I244" s="289"/>
    </row>
    <row r="245" spans="2:9" s="179" customFormat="1" x14ac:dyDescent="0.2">
      <c r="B245" s="78" t="s">
        <v>189</v>
      </c>
      <c r="C245" s="180"/>
      <c r="D245" s="180"/>
      <c r="E245" s="180"/>
      <c r="F245" s="180"/>
      <c r="G245" s="180"/>
      <c r="H245" s="181"/>
      <c r="I245" s="289"/>
    </row>
    <row r="246" spans="2:9" ht="15.75" thickBot="1" x14ac:dyDescent="0.25">
      <c r="B246" s="110"/>
      <c r="C246" s="186"/>
      <c r="D246" s="186"/>
      <c r="E246" s="186"/>
      <c r="F246" s="186"/>
      <c r="G246" s="186"/>
      <c r="H246" s="187"/>
    </row>
    <row r="247" spans="2:9" ht="15.75" thickTop="1" x14ac:dyDescent="0.2"/>
  </sheetData>
  <mergeCells count="4">
    <mergeCell ref="B2:H2"/>
    <mergeCell ref="B3:H3"/>
    <mergeCell ref="B4:H4"/>
    <mergeCell ref="B5:H5"/>
  </mergeCell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X247"/>
  <sheetViews>
    <sheetView zoomScale="70" zoomScaleNormal="70" workbookViewId="0"/>
  </sheetViews>
  <sheetFormatPr defaultColWidth="10.6640625" defaultRowHeight="15" x14ac:dyDescent="0.2"/>
  <cols>
    <col min="1" max="1" width="14.83203125" style="61" customWidth="1"/>
    <col min="2" max="2" width="65.6640625" style="61" customWidth="1"/>
    <col min="3" max="8" width="30" style="188" customWidth="1"/>
    <col min="9" max="16384" width="10.6640625" style="61"/>
  </cols>
  <sheetData>
    <row r="1" spans="2:8" ht="16.5" thickBot="1" x14ac:dyDescent="0.25">
      <c r="B1" s="62"/>
      <c r="C1" s="63"/>
      <c r="D1" s="63"/>
      <c r="E1" s="63"/>
      <c r="F1" s="63"/>
      <c r="G1" s="64"/>
      <c r="H1" s="63"/>
    </row>
    <row r="2" spans="2:8" ht="16.5" thickTop="1" x14ac:dyDescent="0.2">
      <c r="B2" s="307" t="s">
        <v>74</v>
      </c>
      <c r="C2" s="308"/>
      <c r="D2" s="308"/>
      <c r="E2" s="308"/>
      <c r="F2" s="308"/>
      <c r="G2" s="308"/>
      <c r="H2" s="309"/>
    </row>
    <row r="3" spans="2:8" ht="15.75" x14ac:dyDescent="0.2">
      <c r="B3" s="310" t="s">
        <v>193</v>
      </c>
      <c r="C3" s="311"/>
      <c r="D3" s="311"/>
      <c r="E3" s="311"/>
      <c r="F3" s="311"/>
      <c r="G3" s="311"/>
      <c r="H3" s="312"/>
    </row>
    <row r="4" spans="2:8" ht="15.75" x14ac:dyDescent="0.2">
      <c r="B4" s="313" t="s">
        <v>76</v>
      </c>
      <c r="C4" s="314"/>
      <c r="D4" s="314"/>
      <c r="E4" s="314"/>
      <c r="F4" s="314"/>
      <c r="G4" s="314"/>
      <c r="H4" s="315"/>
    </row>
    <row r="5" spans="2:8" ht="16.5" thickBot="1" x14ac:dyDescent="0.25">
      <c r="B5" s="316" t="s">
        <v>439</v>
      </c>
      <c r="C5" s="317"/>
      <c r="D5" s="317"/>
      <c r="E5" s="317"/>
      <c r="F5" s="317"/>
      <c r="G5" s="317"/>
      <c r="H5" s="318"/>
    </row>
    <row r="6" spans="2:8" ht="48.6" customHeight="1" thickTop="1" thickBot="1" x14ac:dyDescent="0.25">
      <c r="B6" s="65" t="s">
        <v>77</v>
      </c>
      <c r="C6" s="66" t="s">
        <v>63</v>
      </c>
      <c r="D6" s="66" t="s">
        <v>62</v>
      </c>
      <c r="E6" s="66" t="s">
        <v>60</v>
      </c>
      <c r="F6" s="66" t="s">
        <v>61</v>
      </c>
      <c r="G6" s="66" t="s">
        <v>59</v>
      </c>
      <c r="H6" s="67" t="s">
        <v>58</v>
      </c>
    </row>
    <row r="7" spans="2:8" ht="15.6" customHeight="1" thickTop="1" thickBot="1" x14ac:dyDescent="0.25">
      <c r="B7" s="68" t="s">
        <v>78</v>
      </c>
      <c r="C7" s="69"/>
      <c r="D7" s="69"/>
      <c r="E7" s="69"/>
      <c r="F7" s="69"/>
      <c r="G7" s="70"/>
      <c r="H7" s="71"/>
    </row>
    <row r="8" spans="2:8" ht="15.75" thickTop="1" x14ac:dyDescent="0.2">
      <c r="B8" s="72" t="s">
        <v>79</v>
      </c>
      <c r="C8" s="73">
        <v>1</v>
      </c>
      <c r="D8" s="73">
        <v>1</v>
      </c>
      <c r="E8" s="73">
        <v>1</v>
      </c>
      <c r="F8" s="73">
        <v>1</v>
      </c>
      <c r="G8" s="73">
        <v>1</v>
      </c>
      <c r="H8" s="74">
        <v>1</v>
      </c>
    </row>
    <row r="9" spans="2:8" x14ac:dyDescent="0.2">
      <c r="B9" s="75" t="s">
        <v>80</v>
      </c>
      <c r="C9" s="76" t="s">
        <v>194</v>
      </c>
      <c r="D9" s="76" t="s">
        <v>194</v>
      </c>
      <c r="E9" s="76" t="s">
        <v>194</v>
      </c>
      <c r="F9" s="76" t="s">
        <v>194</v>
      </c>
      <c r="G9" s="76" t="s">
        <v>194</v>
      </c>
      <c r="H9" s="77" t="s">
        <v>194</v>
      </c>
    </row>
    <row r="10" spans="2:8" ht="15" customHeight="1" x14ac:dyDescent="0.2">
      <c r="B10" s="78" t="s">
        <v>82</v>
      </c>
      <c r="C10" s="79" t="s">
        <v>414</v>
      </c>
      <c r="D10" s="79" t="s">
        <v>414</v>
      </c>
      <c r="E10" s="79" t="s">
        <v>414</v>
      </c>
      <c r="F10" s="79" t="s">
        <v>414</v>
      </c>
      <c r="G10" s="79" t="s">
        <v>414</v>
      </c>
      <c r="H10" s="80" t="s">
        <v>414</v>
      </c>
    </row>
    <row r="11" spans="2:8" ht="15" customHeight="1" x14ac:dyDescent="0.2">
      <c r="B11" s="78" t="s">
        <v>84</v>
      </c>
      <c r="C11" s="79" t="s">
        <v>85</v>
      </c>
      <c r="D11" s="79" t="s">
        <v>85</v>
      </c>
      <c r="E11" s="79" t="s">
        <v>85</v>
      </c>
      <c r="F11" s="79" t="s">
        <v>85</v>
      </c>
      <c r="G11" s="79" t="s">
        <v>85</v>
      </c>
      <c r="H11" s="80" t="s">
        <v>85</v>
      </c>
    </row>
    <row r="12" spans="2:8" ht="15" customHeight="1" x14ac:dyDescent="0.2">
      <c r="B12" s="78" t="s">
        <v>86</v>
      </c>
      <c r="C12" s="79">
        <v>45</v>
      </c>
      <c r="D12" s="79">
        <v>45</v>
      </c>
      <c r="E12" s="79">
        <v>45</v>
      </c>
      <c r="F12" s="79">
        <v>45</v>
      </c>
      <c r="G12" s="79">
        <v>45</v>
      </c>
      <c r="H12" s="80">
        <v>45</v>
      </c>
    </row>
    <row r="13" spans="2:8" hidden="1" x14ac:dyDescent="0.2">
      <c r="B13" s="78"/>
      <c r="C13" s="81"/>
      <c r="D13" s="81"/>
      <c r="E13" s="81"/>
      <c r="F13" s="81"/>
      <c r="G13" s="81"/>
      <c r="H13" s="82"/>
    </row>
    <row r="14" spans="2:8" hidden="1" x14ac:dyDescent="0.2">
      <c r="B14" s="78"/>
      <c r="C14" s="79"/>
      <c r="D14" s="79"/>
      <c r="E14" s="79"/>
      <c r="F14" s="79"/>
      <c r="G14" s="79"/>
      <c r="H14" s="80"/>
    </row>
    <row r="15" spans="2:8" hidden="1" x14ac:dyDescent="0.2">
      <c r="B15" s="78"/>
      <c r="C15" s="83"/>
      <c r="D15" s="83"/>
      <c r="E15" s="83"/>
      <c r="F15" s="83"/>
      <c r="G15" s="83"/>
      <c r="H15" s="84"/>
    </row>
    <row r="16" spans="2:8" x14ac:dyDescent="0.2">
      <c r="B16" s="85" t="s">
        <v>87</v>
      </c>
      <c r="C16" s="83">
        <v>4.3400000000000001E-2</v>
      </c>
      <c r="D16" s="83">
        <v>4.3400000000000001E-2</v>
      </c>
      <c r="E16" s="83">
        <v>4.3400000000000001E-2</v>
      </c>
      <c r="F16" s="83">
        <v>4.3400000000000001E-2</v>
      </c>
      <c r="G16" s="83">
        <v>4.3400000000000001E-2</v>
      </c>
      <c r="H16" s="84">
        <v>4.3400000000000001E-2</v>
      </c>
    </row>
    <row r="17" spans="2:8" hidden="1" x14ac:dyDescent="0.2">
      <c r="B17" s="85"/>
      <c r="C17" s="83"/>
      <c r="D17" s="83"/>
      <c r="E17" s="83"/>
      <c r="F17" s="83"/>
      <c r="G17" s="83"/>
      <c r="H17" s="84"/>
    </row>
    <row r="18" spans="2:8" x14ac:dyDescent="0.2">
      <c r="B18" s="85" t="s">
        <v>88</v>
      </c>
      <c r="C18" s="86">
        <v>15</v>
      </c>
      <c r="D18" s="86">
        <v>15</v>
      </c>
      <c r="E18" s="86">
        <v>15</v>
      </c>
      <c r="F18" s="86">
        <v>15</v>
      </c>
      <c r="G18" s="86">
        <v>12</v>
      </c>
      <c r="H18" s="87">
        <v>15</v>
      </c>
    </row>
    <row r="19" spans="2:8" ht="15" customHeight="1" x14ac:dyDescent="0.2">
      <c r="B19" s="78" t="s">
        <v>89</v>
      </c>
      <c r="C19" s="88" t="s">
        <v>408</v>
      </c>
      <c r="D19" s="88" t="s">
        <v>408</v>
      </c>
      <c r="E19" s="88" t="s">
        <v>90</v>
      </c>
      <c r="F19" s="88" t="s">
        <v>90</v>
      </c>
      <c r="G19" s="88" t="s">
        <v>90</v>
      </c>
      <c r="H19" s="89" t="s">
        <v>90</v>
      </c>
    </row>
    <row r="20" spans="2:8" ht="15" customHeight="1" x14ac:dyDescent="0.2">
      <c r="B20" s="78" t="s">
        <v>91</v>
      </c>
      <c r="C20" s="88" t="s">
        <v>92</v>
      </c>
      <c r="D20" s="88" t="s">
        <v>92</v>
      </c>
      <c r="E20" s="88" t="s">
        <v>92</v>
      </c>
      <c r="F20" s="88" t="s">
        <v>92</v>
      </c>
      <c r="G20" s="88" t="s">
        <v>92</v>
      </c>
      <c r="H20" s="89" t="s">
        <v>92</v>
      </c>
    </row>
    <row r="21" spans="2:8" ht="15" customHeight="1" x14ac:dyDescent="0.2">
      <c r="B21" s="75" t="s">
        <v>93</v>
      </c>
      <c r="C21" s="90" t="s">
        <v>94</v>
      </c>
      <c r="D21" s="90" t="s">
        <v>94</v>
      </c>
      <c r="E21" s="90" t="s">
        <v>94</v>
      </c>
      <c r="F21" s="90" t="s">
        <v>94</v>
      </c>
      <c r="G21" s="90" t="s">
        <v>94</v>
      </c>
      <c r="H21" s="91" t="s">
        <v>94</v>
      </c>
    </row>
    <row r="22" spans="2:8" ht="30" x14ac:dyDescent="0.2">
      <c r="B22" s="85" t="s">
        <v>95</v>
      </c>
      <c r="C22" s="88" t="s">
        <v>415</v>
      </c>
      <c r="D22" s="88" t="s">
        <v>415</v>
      </c>
      <c r="E22" s="88" t="s">
        <v>349</v>
      </c>
      <c r="F22" s="88" t="s">
        <v>344</v>
      </c>
      <c r="G22" s="88" t="s">
        <v>344</v>
      </c>
      <c r="H22" s="89" t="s">
        <v>344</v>
      </c>
    </row>
    <row r="23" spans="2:8" ht="15" customHeight="1" x14ac:dyDescent="0.2">
      <c r="B23" s="85" t="s">
        <v>97</v>
      </c>
      <c r="C23" s="88" t="s">
        <v>100</v>
      </c>
      <c r="D23" s="88" t="s">
        <v>100</v>
      </c>
      <c r="E23" s="88" t="s">
        <v>100</v>
      </c>
      <c r="F23" s="88" t="s">
        <v>98</v>
      </c>
      <c r="G23" s="88" t="s">
        <v>98</v>
      </c>
      <c r="H23" s="89" t="s">
        <v>98</v>
      </c>
    </row>
    <row r="24" spans="2:8" ht="15" customHeight="1" x14ac:dyDescent="0.2">
      <c r="B24" s="75" t="s">
        <v>99</v>
      </c>
      <c r="C24" s="90" t="s">
        <v>100</v>
      </c>
      <c r="D24" s="90" t="s">
        <v>100</v>
      </c>
      <c r="E24" s="90" t="s">
        <v>100</v>
      </c>
      <c r="F24" s="90" t="s">
        <v>100</v>
      </c>
      <c r="G24" s="90" t="s">
        <v>100</v>
      </c>
      <c r="H24" s="91" t="s">
        <v>100</v>
      </c>
    </row>
    <row r="25" spans="2:8" x14ac:dyDescent="0.2">
      <c r="B25" s="75" t="s">
        <v>101</v>
      </c>
      <c r="C25" s="92">
        <v>345</v>
      </c>
      <c r="D25" s="92">
        <v>345</v>
      </c>
      <c r="E25" s="92">
        <v>345</v>
      </c>
      <c r="F25" s="92">
        <v>345</v>
      </c>
      <c r="G25" s="92">
        <v>345</v>
      </c>
      <c r="H25" s="93">
        <v>138</v>
      </c>
    </row>
    <row r="26" spans="2:8" ht="15" customHeight="1" x14ac:dyDescent="0.2">
      <c r="B26" s="75" t="s">
        <v>102</v>
      </c>
      <c r="C26" s="90" t="s">
        <v>103</v>
      </c>
      <c r="D26" s="90" t="s">
        <v>103</v>
      </c>
      <c r="E26" s="90" t="s">
        <v>103</v>
      </c>
      <c r="F26" s="90" t="s">
        <v>103</v>
      </c>
      <c r="G26" s="90" t="s">
        <v>103</v>
      </c>
      <c r="H26" s="91" t="s">
        <v>103</v>
      </c>
    </row>
    <row r="27" spans="2:8" ht="15" customHeight="1" x14ac:dyDescent="0.2">
      <c r="B27" s="75" t="s">
        <v>104</v>
      </c>
      <c r="C27" s="79">
        <v>3</v>
      </c>
      <c r="D27" s="79">
        <v>3</v>
      </c>
      <c r="E27" s="79">
        <v>3</v>
      </c>
      <c r="F27" s="79">
        <v>3</v>
      </c>
      <c r="G27" s="79">
        <v>3</v>
      </c>
      <c r="H27" s="80">
        <v>3</v>
      </c>
    </row>
    <row r="28" spans="2:8" ht="15.75" thickBot="1" x14ac:dyDescent="0.25">
      <c r="B28" s="94"/>
      <c r="C28" s="70"/>
      <c r="D28" s="70"/>
      <c r="E28" s="70"/>
      <c r="F28" s="70"/>
      <c r="G28" s="70"/>
      <c r="H28" s="71"/>
    </row>
    <row r="29" spans="2:8" ht="17.25" thickTop="1" thickBot="1" x14ac:dyDescent="0.25">
      <c r="B29" s="95" t="s">
        <v>105</v>
      </c>
      <c r="C29" s="70"/>
      <c r="D29" s="70"/>
      <c r="E29" s="70"/>
      <c r="F29" s="70"/>
      <c r="G29" s="70"/>
      <c r="H29" s="71"/>
    </row>
    <row r="30" spans="2:8" ht="15.75" thickTop="1" x14ac:dyDescent="0.2">
      <c r="B30" s="96"/>
      <c r="C30" s="97"/>
      <c r="D30" s="97"/>
      <c r="E30" s="97"/>
      <c r="F30" s="97"/>
      <c r="G30" s="97"/>
      <c r="H30" s="98"/>
    </row>
    <row r="31" spans="2:8" x14ac:dyDescent="0.2">
      <c r="B31" s="78" t="s">
        <v>106</v>
      </c>
      <c r="C31" s="99"/>
      <c r="D31" s="99"/>
      <c r="E31" s="99"/>
      <c r="F31" s="99"/>
      <c r="G31" s="99"/>
      <c r="H31" s="100"/>
    </row>
    <row r="32" spans="2:8" x14ac:dyDescent="0.2">
      <c r="B32" s="101" t="s">
        <v>107</v>
      </c>
      <c r="C32" s="102">
        <v>64.39</v>
      </c>
      <c r="D32" s="102">
        <v>65.459999999999994</v>
      </c>
      <c r="E32" s="102">
        <v>67.14</v>
      </c>
      <c r="F32" s="102">
        <v>67.14</v>
      </c>
      <c r="G32" s="102">
        <v>70.709999999999994</v>
      </c>
      <c r="H32" s="103">
        <v>67.8</v>
      </c>
    </row>
    <row r="33" spans="2:8" x14ac:dyDescent="0.2">
      <c r="B33" s="101" t="s">
        <v>108</v>
      </c>
      <c r="C33" s="104">
        <v>0.76019999999999999</v>
      </c>
      <c r="D33" s="104">
        <v>0.69099999999999995</v>
      </c>
      <c r="E33" s="104">
        <v>0.77210000000000012</v>
      </c>
      <c r="F33" s="104">
        <v>0.77210000000000012</v>
      </c>
      <c r="G33" s="104">
        <v>0.66439999999999999</v>
      </c>
      <c r="H33" s="105">
        <v>0.77300000000000002</v>
      </c>
    </row>
    <row r="34" spans="2:8" x14ac:dyDescent="0.2">
      <c r="B34" s="101" t="s">
        <v>65</v>
      </c>
      <c r="C34" s="99">
        <v>215800</v>
      </c>
      <c r="D34" s="99">
        <v>217000</v>
      </c>
      <c r="E34" s="99">
        <v>217000</v>
      </c>
      <c r="F34" s="99">
        <v>217000</v>
      </c>
      <c r="G34" s="99">
        <v>217800</v>
      </c>
      <c r="H34" s="100">
        <v>218000</v>
      </c>
    </row>
    <row r="35" spans="2:8" x14ac:dyDescent="0.2">
      <c r="B35" s="101" t="s">
        <v>69</v>
      </c>
      <c r="C35" s="99">
        <v>10180</v>
      </c>
      <c r="D35" s="99">
        <v>10180</v>
      </c>
      <c r="E35" s="99">
        <v>10200</v>
      </c>
      <c r="F35" s="99">
        <v>10200</v>
      </c>
      <c r="G35" s="99">
        <v>10210</v>
      </c>
      <c r="H35" s="100">
        <v>10200</v>
      </c>
    </row>
    <row r="36" spans="2:8" x14ac:dyDescent="0.2">
      <c r="B36" s="101" t="s">
        <v>109</v>
      </c>
      <c r="C36" s="99">
        <v>2200</v>
      </c>
      <c r="D36" s="99">
        <v>2210</v>
      </c>
      <c r="E36" s="99">
        <v>2210</v>
      </c>
      <c r="F36" s="99">
        <v>2210</v>
      </c>
      <c r="G36" s="99">
        <v>2220</v>
      </c>
      <c r="H36" s="100">
        <v>2220</v>
      </c>
    </row>
    <row r="37" spans="2:8" ht="15" customHeight="1" x14ac:dyDescent="0.2">
      <c r="B37" s="78"/>
      <c r="C37" s="99"/>
      <c r="D37" s="99"/>
      <c r="E37" s="99"/>
      <c r="F37" s="99"/>
      <c r="G37" s="99"/>
      <c r="H37" s="100"/>
    </row>
    <row r="38" spans="2:8" x14ac:dyDescent="0.2">
      <c r="B38" s="101" t="s">
        <v>110</v>
      </c>
      <c r="C38" s="99">
        <v>93300</v>
      </c>
      <c r="D38" s="99">
        <v>93600</v>
      </c>
      <c r="E38" s="99">
        <v>93800</v>
      </c>
      <c r="F38" s="99">
        <v>93800</v>
      </c>
      <c r="G38" s="99">
        <v>93600</v>
      </c>
      <c r="H38" s="100">
        <v>94200</v>
      </c>
    </row>
    <row r="39" spans="2:8" x14ac:dyDescent="0.2">
      <c r="B39" s="101" t="s">
        <v>111</v>
      </c>
      <c r="C39" s="99">
        <v>13360</v>
      </c>
      <c r="D39" s="99">
        <v>13370</v>
      </c>
      <c r="E39" s="99">
        <v>13390</v>
      </c>
      <c r="F39" s="99">
        <v>13390</v>
      </c>
      <c r="G39" s="99">
        <v>13430</v>
      </c>
      <c r="H39" s="100">
        <v>13400</v>
      </c>
    </row>
    <row r="40" spans="2:8" x14ac:dyDescent="0.2">
      <c r="B40" s="101" t="s">
        <v>112</v>
      </c>
      <c r="C40" s="99">
        <v>1250</v>
      </c>
      <c r="D40" s="99">
        <v>1250</v>
      </c>
      <c r="E40" s="99">
        <v>1260</v>
      </c>
      <c r="F40" s="99">
        <v>1260</v>
      </c>
      <c r="G40" s="99">
        <v>1260</v>
      </c>
      <c r="H40" s="100">
        <v>1260</v>
      </c>
    </row>
    <row r="41" spans="2:8" x14ac:dyDescent="0.2">
      <c r="B41" s="78"/>
      <c r="C41" s="99"/>
      <c r="D41" s="99"/>
      <c r="E41" s="99"/>
      <c r="F41" s="99"/>
      <c r="G41" s="99"/>
      <c r="H41" s="100"/>
    </row>
    <row r="42" spans="2:8" x14ac:dyDescent="0.2">
      <c r="B42" s="78"/>
      <c r="C42" s="99"/>
      <c r="D42" s="99"/>
      <c r="E42" s="99"/>
      <c r="F42" s="99"/>
      <c r="G42" s="99"/>
      <c r="H42" s="106"/>
    </row>
    <row r="43" spans="2:8" x14ac:dyDescent="0.2">
      <c r="B43" s="78" t="s">
        <v>113</v>
      </c>
      <c r="C43" s="99"/>
      <c r="D43" s="99"/>
      <c r="E43" s="99"/>
      <c r="F43" s="99"/>
      <c r="G43" s="99"/>
      <c r="H43" s="100"/>
    </row>
    <row r="44" spans="2:8" x14ac:dyDescent="0.2">
      <c r="B44" s="101" t="s">
        <v>107</v>
      </c>
      <c r="C44" s="102">
        <v>31.96</v>
      </c>
      <c r="D44" s="102">
        <v>33.130000000000003</v>
      </c>
      <c r="E44" s="102">
        <v>36.049999999999997</v>
      </c>
      <c r="F44" s="102">
        <v>36.049999999999997</v>
      </c>
      <c r="G44" s="102">
        <v>41.19</v>
      </c>
      <c r="H44" s="103">
        <v>39.5</v>
      </c>
    </row>
    <row r="45" spans="2:8" x14ac:dyDescent="0.2">
      <c r="B45" s="101" t="s">
        <v>108</v>
      </c>
      <c r="C45" s="104">
        <v>0.74439999999999995</v>
      </c>
      <c r="D45" s="104">
        <v>0.65620000000000001</v>
      </c>
      <c r="E45" s="104">
        <v>0.75539999999999996</v>
      </c>
      <c r="F45" s="104">
        <v>0.75539999999999996</v>
      </c>
      <c r="G45" s="104">
        <v>0.60899999999999999</v>
      </c>
      <c r="H45" s="105">
        <v>0.69199999999999984</v>
      </c>
    </row>
    <row r="46" spans="2:8" ht="15" customHeight="1" x14ac:dyDescent="0.2">
      <c r="B46" s="101" t="s">
        <v>65</v>
      </c>
      <c r="C46" s="99">
        <v>224900</v>
      </c>
      <c r="D46" s="99">
        <v>225900</v>
      </c>
      <c r="E46" s="99">
        <v>226500</v>
      </c>
      <c r="F46" s="99">
        <v>226500</v>
      </c>
      <c r="G46" s="99">
        <v>226900</v>
      </c>
      <c r="H46" s="100">
        <v>227200</v>
      </c>
    </row>
    <row r="47" spans="2:8" ht="15" customHeight="1" x14ac:dyDescent="0.2">
      <c r="B47" s="101" t="s">
        <v>69</v>
      </c>
      <c r="C47" s="99">
        <v>9880</v>
      </c>
      <c r="D47" s="99">
        <v>9880</v>
      </c>
      <c r="E47" s="99">
        <v>9890</v>
      </c>
      <c r="F47" s="99">
        <v>9890</v>
      </c>
      <c r="G47" s="99">
        <v>9900</v>
      </c>
      <c r="H47" s="100">
        <v>9890</v>
      </c>
    </row>
    <row r="48" spans="2:8" ht="15" customHeight="1" x14ac:dyDescent="0.2">
      <c r="B48" s="101" t="s">
        <v>109</v>
      </c>
      <c r="C48" s="99">
        <v>2220</v>
      </c>
      <c r="D48" s="99">
        <v>2230</v>
      </c>
      <c r="E48" s="99">
        <v>2240</v>
      </c>
      <c r="F48" s="99">
        <v>2240</v>
      </c>
      <c r="G48" s="99">
        <v>2250</v>
      </c>
      <c r="H48" s="100">
        <v>2250</v>
      </c>
    </row>
    <row r="49" spans="2:8" ht="15" customHeight="1" x14ac:dyDescent="0.2">
      <c r="B49" s="78"/>
      <c r="C49" s="99"/>
      <c r="D49" s="99"/>
      <c r="E49" s="99"/>
      <c r="F49" s="99"/>
      <c r="G49" s="99"/>
      <c r="H49" s="100"/>
    </row>
    <row r="50" spans="2:8" ht="15" customHeight="1" x14ac:dyDescent="0.2">
      <c r="B50" s="101" t="s">
        <v>110</v>
      </c>
      <c r="C50" s="99">
        <v>93300</v>
      </c>
      <c r="D50" s="99">
        <v>93800</v>
      </c>
      <c r="E50" s="99">
        <v>94000</v>
      </c>
      <c r="F50" s="99">
        <v>94000</v>
      </c>
      <c r="G50" s="99">
        <v>94200</v>
      </c>
      <c r="H50" s="100">
        <v>94300</v>
      </c>
    </row>
    <row r="51" spans="2:8" x14ac:dyDescent="0.2">
      <c r="B51" s="101" t="s">
        <v>111</v>
      </c>
      <c r="C51" s="99">
        <v>13630</v>
      </c>
      <c r="D51" s="99">
        <v>13630</v>
      </c>
      <c r="E51" s="99">
        <v>13630</v>
      </c>
      <c r="F51" s="99">
        <v>13630</v>
      </c>
      <c r="G51" s="99">
        <v>13620</v>
      </c>
      <c r="H51" s="100">
        <v>13620</v>
      </c>
    </row>
    <row r="52" spans="2:8" x14ac:dyDescent="0.2">
      <c r="B52" s="101" t="s">
        <v>112</v>
      </c>
      <c r="C52" s="99">
        <v>1270</v>
      </c>
      <c r="D52" s="99">
        <v>1280</v>
      </c>
      <c r="E52" s="99">
        <v>1280</v>
      </c>
      <c r="F52" s="99">
        <v>1280</v>
      </c>
      <c r="G52" s="99">
        <v>1280</v>
      </c>
      <c r="H52" s="100">
        <v>1280</v>
      </c>
    </row>
    <row r="53" spans="2:8" x14ac:dyDescent="0.2">
      <c r="B53" s="78"/>
      <c r="C53" s="99"/>
      <c r="D53" s="99"/>
      <c r="E53" s="99"/>
      <c r="F53" s="99"/>
      <c r="G53" s="99"/>
      <c r="H53" s="100"/>
    </row>
    <row r="54" spans="2:8" x14ac:dyDescent="0.2">
      <c r="B54" s="78"/>
      <c r="C54" s="99"/>
      <c r="D54" s="99"/>
      <c r="E54" s="99"/>
      <c r="F54" s="99"/>
      <c r="G54" s="99"/>
      <c r="H54" s="100"/>
    </row>
    <row r="55" spans="2:8" x14ac:dyDescent="0.2">
      <c r="B55" s="78" t="s">
        <v>114</v>
      </c>
      <c r="C55" s="99"/>
      <c r="D55" s="99"/>
      <c r="E55" s="99"/>
      <c r="F55" s="99"/>
      <c r="G55" s="99"/>
      <c r="H55" s="100"/>
    </row>
    <row r="56" spans="2:8" x14ac:dyDescent="0.2">
      <c r="B56" s="101" t="s">
        <v>107</v>
      </c>
      <c r="C56" s="102">
        <v>59</v>
      </c>
      <c r="D56" s="102">
        <v>59</v>
      </c>
      <c r="E56" s="102">
        <v>59</v>
      </c>
      <c r="F56" s="102">
        <v>59</v>
      </c>
      <c r="G56" s="102">
        <v>59</v>
      </c>
      <c r="H56" s="103">
        <v>59</v>
      </c>
    </row>
    <row r="57" spans="2:8" x14ac:dyDescent="0.2">
      <c r="B57" s="101" t="s">
        <v>108</v>
      </c>
      <c r="C57" s="104">
        <v>0.6</v>
      </c>
      <c r="D57" s="104">
        <v>0.6</v>
      </c>
      <c r="E57" s="104">
        <v>0.6</v>
      </c>
      <c r="F57" s="104">
        <v>0.6</v>
      </c>
      <c r="G57" s="104">
        <v>0.6</v>
      </c>
      <c r="H57" s="105">
        <v>0.6</v>
      </c>
    </row>
    <row r="58" spans="2:8" x14ac:dyDescent="0.2">
      <c r="B58" s="101" t="s">
        <v>65</v>
      </c>
      <c r="C58" s="99">
        <v>219800</v>
      </c>
      <c r="D58" s="99">
        <v>221000</v>
      </c>
      <c r="E58" s="99">
        <v>221900</v>
      </c>
      <c r="F58" s="99">
        <v>221900</v>
      </c>
      <c r="G58" s="99">
        <v>223000</v>
      </c>
      <c r="H58" s="100">
        <v>223100</v>
      </c>
    </row>
    <row r="59" spans="2:8" x14ac:dyDescent="0.2">
      <c r="B59" s="101" t="s">
        <v>69</v>
      </c>
      <c r="C59" s="99">
        <v>10160</v>
      </c>
      <c r="D59" s="99">
        <v>10160</v>
      </c>
      <c r="E59" s="99">
        <v>10160</v>
      </c>
      <c r="F59" s="99">
        <v>10160</v>
      </c>
      <c r="G59" s="99">
        <v>10160</v>
      </c>
      <c r="H59" s="100">
        <v>10160</v>
      </c>
    </row>
    <row r="60" spans="2:8" x14ac:dyDescent="0.2">
      <c r="B60" s="101" t="s">
        <v>109</v>
      </c>
      <c r="C60" s="99">
        <v>2230</v>
      </c>
      <c r="D60" s="99">
        <v>2250</v>
      </c>
      <c r="E60" s="99">
        <v>2250</v>
      </c>
      <c r="F60" s="99">
        <v>2250</v>
      </c>
      <c r="G60" s="99">
        <v>2270</v>
      </c>
      <c r="H60" s="100">
        <v>2270</v>
      </c>
    </row>
    <row r="61" spans="2:8" x14ac:dyDescent="0.2">
      <c r="B61" s="78"/>
      <c r="C61" s="99"/>
      <c r="D61" s="99"/>
      <c r="E61" s="99"/>
      <c r="F61" s="99"/>
      <c r="G61" s="99"/>
      <c r="H61" s="100"/>
    </row>
    <row r="62" spans="2:8" ht="15" customHeight="1" x14ac:dyDescent="0.2">
      <c r="B62" s="101" t="s">
        <v>110</v>
      </c>
      <c r="C62" s="99">
        <v>91900</v>
      </c>
      <c r="D62" s="99">
        <v>91100</v>
      </c>
      <c r="E62" s="99">
        <v>91400</v>
      </c>
      <c r="F62" s="99">
        <v>91400</v>
      </c>
      <c r="G62" s="99">
        <v>91900</v>
      </c>
      <c r="H62" s="100">
        <v>91900</v>
      </c>
    </row>
    <row r="63" spans="2:8" ht="15" customHeight="1" x14ac:dyDescent="0.2">
      <c r="B63" s="101" t="s">
        <v>111</v>
      </c>
      <c r="C63" s="99">
        <v>13630</v>
      </c>
      <c r="D63" s="99">
        <v>13640</v>
      </c>
      <c r="E63" s="99">
        <v>13630</v>
      </c>
      <c r="F63" s="99">
        <v>13630</v>
      </c>
      <c r="G63" s="99">
        <v>13630</v>
      </c>
      <c r="H63" s="100">
        <v>13630</v>
      </c>
    </row>
    <row r="64" spans="2:8" ht="15" customHeight="1" x14ac:dyDescent="0.2">
      <c r="B64" s="101" t="s">
        <v>112</v>
      </c>
      <c r="C64" s="99">
        <v>1250</v>
      </c>
      <c r="D64" s="99">
        <v>1240</v>
      </c>
      <c r="E64" s="99">
        <v>1250</v>
      </c>
      <c r="F64" s="99">
        <v>1250</v>
      </c>
      <c r="G64" s="99">
        <v>1250</v>
      </c>
      <c r="H64" s="100">
        <v>1250</v>
      </c>
    </row>
    <row r="65" spans="2:8" ht="15" customHeight="1" x14ac:dyDescent="0.2">
      <c r="B65" s="78"/>
      <c r="C65" s="99"/>
      <c r="D65" s="99"/>
      <c r="E65" s="99"/>
      <c r="F65" s="99"/>
      <c r="G65" s="99"/>
      <c r="H65" s="100"/>
    </row>
    <row r="66" spans="2:8" ht="15" customHeight="1" x14ac:dyDescent="0.2">
      <c r="B66" s="78"/>
      <c r="C66" s="99"/>
      <c r="D66" s="99"/>
      <c r="E66" s="99"/>
      <c r="F66" s="99"/>
      <c r="G66" s="99"/>
      <c r="H66" s="100"/>
    </row>
    <row r="67" spans="2:8" ht="15" customHeight="1" x14ac:dyDescent="0.2">
      <c r="B67" s="78" t="s">
        <v>115</v>
      </c>
      <c r="C67" s="99"/>
      <c r="D67" s="99"/>
      <c r="E67" s="99"/>
      <c r="F67" s="99"/>
      <c r="G67" s="99"/>
      <c r="H67" s="100"/>
    </row>
    <row r="68" spans="2:8" ht="15" customHeight="1" x14ac:dyDescent="0.2">
      <c r="B68" s="101" t="s">
        <v>107</v>
      </c>
      <c r="C68" s="102">
        <v>88.86</v>
      </c>
      <c r="D68" s="102">
        <v>89.43</v>
      </c>
      <c r="E68" s="102">
        <v>92.85</v>
      </c>
      <c r="F68" s="102">
        <v>92.85</v>
      </c>
      <c r="G68" s="102">
        <v>93.25</v>
      </c>
      <c r="H68" s="103">
        <v>88.8</v>
      </c>
    </row>
    <row r="69" spans="2:8" ht="15" customHeight="1" x14ac:dyDescent="0.2">
      <c r="B69" s="101" t="s">
        <v>108</v>
      </c>
      <c r="C69" s="104">
        <v>0.57699999999999996</v>
      </c>
      <c r="D69" s="104">
        <v>0.54649999999999999</v>
      </c>
      <c r="E69" s="104">
        <v>0.51490000000000002</v>
      </c>
      <c r="F69" s="104">
        <v>0.51490000000000002</v>
      </c>
      <c r="G69" s="104">
        <v>0.58799999999999997</v>
      </c>
      <c r="H69" s="105">
        <v>0.59</v>
      </c>
    </row>
    <row r="70" spans="2:8" ht="15" customHeight="1" x14ac:dyDescent="0.2">
      <c r="B70" s="101" t="s">
        <v>65</v>
      </c>
      <c r="C70" s="99">
        <v>208700</v>
      </c>
      <c r="D70" s="99">
        <v>210000</v>
      </c>
      <c r="E70" s="99">
        <v>210000</v>
      </c>
      <c r="F70" s="99">
        <v>210000</v>
      </c>
      <c r="G70" s="99">
        <v>210100</v>
      </c>
      <c r="H70" s="100">
        <v>211700</v>
      </c>
    </row>
    <row r="71" spans="2:8" ht="15" customHeight="1" x14ac:dyDescent="0.2">
      <c r="B71" s="101" t="s">
        <v>69</v>
      </c>
      <c r="C71" s="99">
        <v>10360</v>
      </c>
      <c r="D71" s="99">
        <v>10350</v>
      </c>
      <c r="E71" s="99">
        <v>10370</v>
      </c>
      <c r="F71" s="99">
        <v>10350</v>
      </c>
      <c r="G71" s="99">
        <v>10370</v>
      </c>
      <c r="H71" s="100">
        <v>10360</v>
      </c>
    </row>
    <row r="72" spans="2:8" ht="15" customHeight="1" x14ac:dyDescent="0.2">
      <c r="B72" s="101" t="s">
        <v>109</v>
      </c>
      <c r="C72" s="99">
        <v>2160</v>
      </c>
      <c r="D72" s="99">
        <v>2170</v>
      </c>
      <c r="E72" s="99">
        <v>2180</v>
      </c>
      <c r="F72" s="99">
        <v>2170</v>
      </c>
      <c r="G72" s="99">
        <v>2180</v>
      </c>
      <c r="H72" s="100">
        <v>2190</v>
      </c>
    </row>
    <row r="73" spans="2:8" ht="15" customHeight="1" x14ac:dyDescent="0.2">
      <c r="B73" s="78"/>
      <c r="C73" s="99"/>
      <c r="D73" s="99"/>
      <c r="E73" s="99"/>
      <c r="F73" s="99"/>
      <c r="G73" s="99"/>
      <c r="H73" s="100"/>
    </row>
    <row r="74" spans="2:8" ht="15" customHeight="1" x14ac:dyDescent="0.2">
      <c r="B74" s="101" t="s">
        <v>110</v>
      </c>
      <c r="C74" s="99">
        <v>88400</v>
      </c>
      <c r="D74" s="99">
        <v>88700</v>
      </c>
      <c r="E74" s="99">
        <v>88200</v>
      </c>
      <c r="F74" s="99">
        <v>88200</v>
      </c>
      <c r="G74" s="99">
        <v>88600</v>
      </c>
      <c r="H74" s="100">
        <v>89800</v>
      </c>
    </row>
    <row r="75" spans="2:8" ht="15" customHeight="1" x14ac:dyDescent="0.2">
      <c r="B75" s="101" t="s">
        <v>111</v>
      </c>
      <c r="C75" s="99">
        <v>13690</v>
      </c>
      <c r="D75" s="99">
        <v>13700</v>
      </c>
      <c r="E75" s="99">
        <v>13760</v>
      </c>
      <c r="F75" s="99">
        <v>13760</v>
      </c>
      <c r="G75" s="99">
        <v>13780</v>
      </c>
      <c r="H75" s="100">
        <v>13690</v>
      </c>
    </row>
    <row r="76" spans="2:8" ht="15" customHeight="1" x14ac:dyDescent="0.2">
      <c r="B76" s="101" t="s">
        <v>112</v>
      </c>
      <c r="C76" s="99">
        <v>1210</v>
      </c>
      <c r="D76" s="99">
        <v>1220</v>
      </c>
      <c r="E76" s="99">
        <v>1210</v>
      </c>
      <c r="F76" s="99">
        <v>1210</v>
      </c>
      <c r="G76" s="99">
        <v>1220</v>
      </c>
      <c r="H76" s="100">
        <v>1230</v>
      </c>
    </row>
    <row r="77" spans="2:8" ht="15" customHeight="1" x14ac:dyDescent="0.2">
      <c r="B77" s="78"/>
      <c r="C77" s="99"/>
      <c r="D77" s="99"/>
      <c r="E77" s="99"/>
      <c r="F77" s="99"/>
      <c r="G77" s="99"/>
      <c r="H77" s="100"/>
    </row>
    <row r="78" spans="2:8" ht="15" customHeight="1" x14ac:dyDescent="0.2">
      <c r="B78" s="78"/>
      <c r="C78" s="99"/>
      <c r="D78" s="99"/>
      <c r="E78" s="99"/>
      <c r="F78" s="99"/>
      <c r="G78" s="99"/>
      <c r="H78" s="100"/>
    </row>
    <row r="79" spans="2:8" ht="15" customHeight="1" x14ac:dyDescent="0.2">
      <c r="B79" s="78" t="s">
        <v>116</v>
      </c>
      <c r="C79" s="99"/>
      <c r="D79" s="99"/>
      <c r="E79" s="99"/>
      <c r="F79" s="99"/>
      <c r="G79" s="99"/>
      <c r="H79" s="100"/>
    </row>
    <row r="80" spans="2:8" ht="15" customHeight="1" x14ac:dyDescent="0.2">
      <c r="B80" s="101" t="s">
        <v>107</v>
      </c>
      <c r="C80" s="102">
        <v>10.84</v>
      </c>
      <c r="D80" s="102">
        <v>13.23</v>
      </c>
      <c r="E80" s="102">
        <v>12.48</v>
      </c>
      <c r="F80" s="102">
        <v>12.48</v>
      </c>
      <c r="G80" s="102">
        <v>21.15</v>
      </c>
      <c r="H80" s="103">
        <v>16.5</v>
      </c>
    </row>
    <row r="81" spans="2:8" ht="15" customHeight="1" x14ac:dyDescent="0.2">
      <c r="B81" s="101" t="s">
        <v>108</v>
      </c>
      <c r="C81" s="104">
        <v>0.55669999999999997</v>
      </c>
      <c r="D81" s="104">
        <v>0.59079999999999999</v>
      </c>
      <c r="E81" s="104">
        <v>0.57550000000000001</v>
      </c>
      <c r="F81" s="104">
        <v>0.57550000000000001</v>
      </c>
      <c r="G81" s="104">
        <v>0.46439999999999998</v>
      </c>
      <c r="H81" s="105">
        <v>0.502</v>
      </c>
    </row>
    <row r="82" spans="2:8" ht="15" customHeight="1" x14ac:dyDescent="0.2">
      <c r="B82" s="101" t="s">
        <v>65</v>
      </c>
      <c r="C82" s="99">
        <v>225900</v>
      </c>
      <c r="D82" s="99">
        <v>227100</v>
      </c>
      <c r="E82" s="99">
        <v>228000</v>
      </c>
      <c r="F82" s="99">
        <v>228000</v>
      </c>
      <c r="G82" s="99">
        <v>229200</v>
      </c>
      <c r="H82" s="100">
        <v>229200</v>
      </c>
    </row>
    <row r="83" spans="2:8" ht="15" customHeight="1" x14ac:dyDescent="0.2">
      <c r="B83" s="101" t="s">
        <v>69</v>
      </c>
      <c r="C83" s="99">
        <v>9830</v>
      </c>
      <c r="D83" s="99">
        <v>9830</v>
      </c>
      <c r="E83" s="99">
        <v>9830</v>
      </c>
      <c r="F83" s="99">
        <v>9830</v>
      </c>
      <c r="G83" s="99">
        <v>9850</v>
      </c>
      <c r="H83" s="100">
        <v>9840</v>
      </c>
    </row>
    <row r="84" spans="2:8" ht="15" customHeight="1" x14ac:dyDescent="0.2">
      <c r="B84" s="101" t="s">
        <v>109</v>
      </c>
      <c r="C84" s="99">
        <v>2220</v>
      </c>
      <c r="D84" s="99">
        <v>2230</v>
      </c>
      <c r="E84" s="99">
        <v>2240</v>
      </c>
      <c r="F84" s="99">
        <v>2240</v>
      </c>
      <c r="G84" s="99">
        <v>2260</v>
      </c>
      <c r="H84" s="100">
        <v>2260</v>
      </c>
    </row>
    <row r="85" spans="2:8" ht="15" customHeight="1" x14ac:dyDescent="0.2">
      <c r="B85" s="78"/>
      <c r="C85" s="99"/>
      <c r="D85" s="99"/>
      <c r="E85" s="99"/>
      <c r="F85" s="99"/>
      <c r="G85" s="99"/>
      <c r="H85" s="100"/>
    </row>
    <row r="86" spans="2:8" ht="15" customHeight="1" x14ac:dyDescent="0.2">
      <c r="B86" s="101" t="s">
        <v>110</v>
      </c>
      <c r="C86" s="99">
        <v>93800</v>
      </c>
      <c r="D86" s="99">
        <v>94200</v>
      </c>
      <c r="E86" s="99">
        <v>94600</v>
      </c>
      <c r="F86" s="99">
        <v>94600</v>
      </c>
      <c r="G86" s="99">
        <v>95100</v>
      </c>
      <c r="H86" s="100">
        <v>95100</v>
      </c>
    </row>
    <row r="87" spans="2:8" x14ac:dyDescent="0.2">
      <c r="B87" s="101" t="s">
        <v>111</v>
      </c>
      <c r="C87" s="99">
        <v>13690</v>
      </c>
      <c r="D87" s="99">
        <v>13680</v>
      </c>
      <c r="E87" s="99">
        <v>13680</v>
      </c>
      <c r="F87" s="99">
        <v>13680</v>
      </c>
      <c r="G87" s="99">
        <v>13640</v>
      </c>
      <c r="H87" s="100">
        <v>13660</v>
      </c>
    </row>
    <row r="88" spans="2:8" x14ac:dyDescent="0.2">
      <c r="B88" s="101" t="s">
        <v>112</v>
      </c>
      <c r="C88" s="99">
        <v>1280</v>
      </c>
      <c r="D88" s="99">
        <v>1290</v>
      </c>
      <c r="E88" s="99">
        <v>1290</v>
      </c>
      <c r="F88" s="99">
        <v>1290</v>
      </c>
      <c r="G88" s="99">
        <v>1300</v>
      </c>
      <c r="H88" s="100">
        <v>1300</v>
      </c>
    </row>
    <row r="89" spans="2:8" x14ac:dyDescent="0.2">
      <c r="B89" s="78"/>
      <c r="C89" s="99"/>
      <c r="D89" s="99"/>
      <c r="E89" s="99"/>
      <c r="F89" s="99"/>
      <c r="G89" s="99"/>
      <c r="H89" s="100"/>
    </row>
    <row r="90" spans="2:8" x14ac:dyDescent="0.2">
      <c r="B90" s="78"/>
      <c r="C90" s="99"/>
      <c r="D90" s="99"/>
      <c r="E90" s="99"/>
      <c r="F90" s="99"/>
      <c r="G90" s="99"/>
      <c r="H90" s="100"/>
    </row>
    <row r="91" spans="2:8" x14ac:dyDescent="0.2">
      <c r="B91" s="78" t="s">
        <v>117</v>
      </c>
      <c r="C91" s="99"/>
      <c r="D91" s="99"/>
      <c r="E91" s="99"/>
      <c r="F91" s="99"/>
      <c r="G91" s="99"/>
      <c r="H91" s="100"/>
    </row>
    <row r="92" spans="2:8" ht="15" customHeight="1" x14ac:dyDescent="0.2">
      <c r="B92" s="101" t="s">
        <v>107</v>
      </c>
      <c r="C92" s="102">
        <v>90</v>
      </c>
      <c r="D92" s="102">
        <v>90</v>
      </c>
      <c r="E92" s="102">
        <v>90</v>
      </c>
      <c r="F92" s="102">
        <v>90</v>
      </c>
      <c r="G92" s="102">
        <v>90</v>
      </c>
      <c r="H92" s="103">
        <v>90</v>
      </c>
    </row>
    <row r="93" spans="2:8" ht="15" customHeight="1" x14ac:dyDescent="0.2">
      <c r="B93" s="101" t="s">
        <v>108</v>
      </c>
      <c r="C93" s="104">
        <v>0.7</v>
      </c>
      <c r="D93" s="104">
        <v>0.7</v>
      </c>
      <c r="E93" s="104">
        <v>0.7</v>
      </c>
      <c r="F93" s="104">
        <v>0.7</v>
      </c>
      <c r="G93" s="104">
        <v>0.7</v>
      </c>
      <c r="H93" s="105">
        <v>0.7</v>
      </c>
    </row>
    <row r="94" spans="2:8" ht="15" customHeight="1" x14ac:dyDescent="0.2">
      <c r="B94" s="101" t="s">
        <v>65</v>
      </c>
      <c r="C94" s="99">
        <v>207100</v>
      </c>
      <c r="D94" s="99">
        <v>208200</v>
      </c>
      <c r="E94" s="99">
        <v>209100</v>
      </c>
      <c r="F94" s="99">
        <v>209100</v>
      </c>
      <c r="G94" s="99">
        <v>210200</v>
      </c>
      <c r="H94" s="100">
        <v>210200</v>
      </c>
    </row>
    <row r="95" spans="2:8" ht="15" customHeight="1" x14ac:dyDescent="0.2">
      <c r="B95" s="101" t="s">
        <v>69</v>
      </c>
      <c r="C95" s="99">
        <v>10360</v>
      </c>
      <c r="D95" s="99">
        <v>10360</v>
      </c>
      <c r="E95" s="99">
        <v>10360</v>
      </c>
      <c r="F95" s="99">
        <v>10360</v>
      </c>
      <c r="G95" s="99">
        <v>10360</v>
      </c>
      <c r="H95" s="100">
        <v>10360</v>
      </c>
    </row>
    <row r="96" spans="2:8" ht="15" customHeight="1" x14ac:dyDescent="0.2">
      <c r="B96" s="101" t="s">
        <v>109</v>
      </c>
      <c r="C96" s="99">
        <v>2150</v>
      </c>
      <c r="D96" s="99">
        <v>2160</v>
      </c>
      <c r="E96" s="99">
        <v>2170</v>
      </c>
      <c r="F96" s="99">
        <v>2170</v>
      </c>
      <c r="G96" s="99">
        <v>2180</v>
      </c>
      <c r="H96" s="100">
        <v>2180</v>
      </c>
    </row>
    <row r="97" spans="2:8" ht="15" customHeight="1" x14ac:dyDescent="0.2">
      <c r="B97" s="78"/>
      <c r="C97" s="99"/>
      <c r="D97" s="99"/>
      <c r="E97" s="99"/>
      <c r="F97" s="99"/>
      <c r="G97" s="99"/>
      <c r="H97" s="100"/>
    </row>
    <row r="98" spans="2:8" ht="15" customHeight="1" x14ac:dyDescent="0.2">
      <c r="B98" s="101" t="s">
        <v>110</v>
      </c>
      <c r="C98" s="99">
        <v>88400</v>
      </c>
      <c r="D98" s="99">
        <v>88700</v>
      </c>
      <c r="E98" s="99">
        <v>89100</v>
      </c>
      <c r="F98" s="99">
        <v>89100</v>
      </c>
      <c r="G98" s="99">
        <v>89500</v>
      </c>
      <c r="H98" s="100">
        <v>89500</v>
      </c>
    </row>
    <row r="99" spans="2:8" ht="15" customHeight="1" x14ac:dyDescent="0.2">
      <c r="B99" s="101" t="s">
        <v>111</v>
      </c>
      <c r="C99" s="99">
        <v>13690</v>
      </c>
      <c r="D99" s="99">
        <v>13720</v>
      </c>
      <c r="E99" s="99">
        <v>13720</v>
      </c>
      <c r="F99" s="99">
        <v>13720</v>
      </c>
      <c r="G99" s="99">
        <v>13720</v>
      </c>
      <c r="H99" s="100">
        <v>13720</v>
      </c>
    </row>
    <row r="100" spans="2:8" ht="15" customHeight="1" x14ac:dyDescent="0.2">
      <c r="B100" s="101" t="s">
        <v>112</v>
      </c>
      <c r="C100" s="99">
        <v>1210</v>
      </c>
      <c r="D100" s="99">
        <v>1220</v>
      </c>
      <c r="E100" s="99">
        <v>1220</v>
      </c>
      <c r="F100" s="99">
        <v>1220</v>
      </c>
      <c r="G100" s="99">
        <v>1230</v>
      </c>
      <c r="H100" s="100">
        <v>1230</v>
      </c>
    </row>
    <row r="101" spans="2:8" ht="15" customHeight="1" x14ac:dyDescent="0.2">
      <c r="B101" s="78"/>
      <c r="C101" s="99"/>
      <c r="D101" s="99"/>
      <c r="E101" s="99"/>
      <c r="F101" s="99"/>
      <c r="G101" s="99"/>
      <c r="H101" s="100"/>
    </row>
    <row r="102" spans="2:8" ht="15" customHeight="1" x14ac:dyDescent="0.2">
      <c r="B102" s="78"/>
      <c r="C102" s="99"/>
      <c r="D102" s="99"/>
      <c r="E102" s="99"/>
      <c r="F102" s="99"/>
      <c r="G102" s="99"/>
      <c r="H102" s="100"/>
    </row>
    <row r="103" spans="2:8" ht="15.75" x14ac:dyDescent="0.2">
      <c r="B103" s="107" t="s">
        <v>118</v>
      </c>
      <c r="C103" s="99"/>
      <c r="D103" s="99"/>
      <c r="E103" s="99"/>
      <c r="F103" s="99"/>
      <c r="G103" s="99"/>
      <c r="H103" s="100"/>
    </row>
    <row r="104" spans="2:8" x14ac:dyDescent="0.2">
      <c r="B104" s="78"/>
      <c r="C104" s="99"/>
      <c r="D104" s="99"/>
      <c r="E104" s="99"/>
      <c r="F104" s="99"/>
      <c r="G104" s="99"/>
      <c r="H104" s="100"/>
    </row>
    <row r="105" spans="2:8" x14ac:dyDescent="0.2">
      <c r="B105" s="78" t="s">
        <v>119</v>
      </c>
      <c r="C105" s="99" t="s">
        <v>195</v>
      </c>
      <c r="D105" s="99" t="s">
        <v>195</v>
      </c>
      <c r="E105" s="99" t="s">
        <v>195</v>
      </c>
      <c r="F105" s="99" t="s">
        <v>195</v>
      </c>
      <c r="G105" s="99" t="s">
        <v>195</v>
      </c>
      <c r="H105" s="100" t="s">
        <v>195</v>
      </c>
    </row>
    <row r="106" spans="2:8" hidden="1" x14ac:dyDescent="0.2">
      <c r="B106" s="78"/>
      <c r="C106" s="99"/>
      <c r="D106" s="99"/>
      <c r="E106" s="99"/>
      <c r="F106" s="99"/>
      <c r="G106" s="99"/>
      <c r="H106" s="100"/>
    </row>
    <row r="107" spans="2:8" ht="15.75" hidden="1" x14ac:dyDescent="0.2">
      <c r="B107" s="107"/>
      <c r="C107" s="99"/>
      <c r="D107" s="99"/>
      <c r="E107" s="99"/>
      <c r="F107" s="99"/>
      <c r="G107" s="99"/>
      <c r="H107" s="100"/>
    </row>
    <row r="108" spans="2:8" hidden="1" x14ac:dyDescent="0.2">
      <c r="B108" s="78"/>
      <c r="C108" s="108"/>
      <c r="D108" s="108"/>
      <c r="E108" s="108"/>
      <c r="F108" s="108"/>
      <c r="G108" s="108"/>
      <c r="H108" s="109"/>
    </row>
    <row r="109" spans="2:8" hidden="1" x14ac:dyDescent="0.2">
      <c r="B109" s="78"/>
      <c r="C109" s="108"/>
      <c r="D109" s="108"/>
      <c r="E109" s="108"/>
      <c r="F109" s="108"/>
      <c r="G109" s="99"/>
      <c r="H109" s="109"/>
    </row>
    <row r="110" spans="2:8" ht="15" hidden="1" customHeight="1" x14ac:dyDescent="0.2">
      <c r="B110" s="78"/>
      <c r="C110" s="99"/>
      <c r="D110" s="99"/>
      <c r="E110" s="99"/>
      <c r="F110" s="99"/>
      <c r="G110" s="99"/>
      <c r="H110" s="100"/>
    </row>
    <row r="111" spans="2:8" ht="15" hidden="1" customHeight="1" x14ac:dyDescent="0.2">
      <c r="B111" s="78"/>
      <c r="C111" s="99"/>
      <c r="D111" s="99"/>
      <c r="E111" s="99"/>
      <c r="F111" s="99"/>
      <c r="G111" s="99"/>
      <c r="H111" s="100"/>
    </row>
    <row r="112" spans="2:8" ht="15" hidden="1" customHeight="1" x14ac:dyDescent="0.2">
      <c r="B112" s="78"/>
      <c r="C112" s="99"/>
      <c r="D112" s="99"/>
      <c r="E112" s="99"/>
      <c r="F112" s="99"/>
      <c r="G112" s="99"/>
      <c r="H112" s="100"/>
    </row>
    <row r="113" spans="2:8" ht="15" hidden="1" customHeight="1" x14ac:dyDescent="0.2">
      <c r="B113" s="78"/>
      <c r="C113" s="99"/>
      <c r="D113" s="99"/>
      <c r="E113" s="99"/>
      <c r="F113" s="99"/>
      <c r="G113" s="99"/>
      <c r="H113" s="100"/>
    </row>
    <row r="114" spans="2:8" ht="15" hidden="1" customHeight="1" x14ac:dyDescent="0.2">
      <c r="B114" s="78"/>
      <c r="C114" s="99"/>
      <c r="D114" s="99"/>
      <c r="E114" s="99"/>
      <c r="F114" s="99"/>
      <c r="G114" s="99"/>
      <c r="H114" s="100"/>
    </row>
    <row r="115" spans="2:8" ht="15" hidden="1" customHeight="1" x14ac:dyDescent="0.2">
      <c r="B115" s="78"/>
      <c r="C115" s="99"/>
      <c r="D115" s="99"/>
      <c r="E115" s="99"/>
      <c r="F115" s="99"/>
      <c r="G115" s="99"/>
      <c r="H115" s="100"/>
    </row>
    <row r="116" spans="2:8" hidden="1" x14ac:dyDescent="0.2">
      <c r="B116" s="78"/>
      <c r="C116" s="99"/>
      <c r="D116" s="99"/>
      <c r="E116" s="99"/>
      <c r="F116" s="99"/>
      <c r="G116" s="99"/>
      <c r="H116" s="100"/>
    </row>
    <row r="117" spans="2:8" ht="15.75" hidden="1" x14ac:dyDescent="0.2">
      <c r="B117" s="107"/>
      <c r="C117" s="99"/>
      <c r="D117" s="99"/>
      <c r="E117" s="99"/>
      <c r="F117" s="99"/>
      <c r="G117" s="99"/>
      <c r="H117" s="100"/>
    </row>
    <row r="118" spans="2:8" hidden="1" x14ac:dyDescent="0.2">
      <c r="B118" s="78"/>
      <c r="C118" s="108"/>
      <c r="D118" s="108"/>
      <c r="E118" s="108"/>
      <c r="F118" s="108"/>
      <c r="G118" s="99"/>
      <c r="H118" s="109"/>
    </row>
    <row r="119" spans="2:8" ht="15.75" thickBot="1" x14ac:dyDescent="0.25">
      <c r="B119" s="110"/>
      <c r="C119" s="111"/>
      <c r="D119" s="111"/>
      <c r="E119" s="111"/>
      <c r="F119" s="111"/>
      <c r="G119" s="111"/>
      <c r="H119" s="112"/>
    </row>
    <row r="120" spans="2:8" ht="17.25" thickTop="1" thickBot="1" x14ac:dyDescent="0.25">
      <c r="B120" s="113" t="s">
        <v>121</v>
      </c>
      <c r="C120" s="114"/>
      <c r="D120" s="114"/>
      <c r="E120" s="114"/>
      <c r="F120" s="114"/>
      <c r="G120" s="114"/>
      <c r="H120" s="115"/>
    </row>
    <row r="121" spans="2:8" ht="15.75" thickTop="1" x14ac:dyDescent="0.2">
      <c r="B121" s="96"/>
      <c r="C121" s="116"/>
      <c r="D121" s="116"/>
      <c r="E121" s="116"/>
      <c r="F121" s="116"/>
      <c r="G121" s="116"/>
      <c r="H121" s="117"/>
    </row>
    <row r="122" spans="2:8" s="118" customFormat="1" ht="15.75" x14ac:dyDescent="0.2">
      <c r="B122" s="119" t="s">
        <v>122</v>
      </c>
      <c r="C122" s="120">
        <v>143.41</v>
      </c>
      <c r="D122" s="120">
        <v>146.35</v>
      </c>
      <c r="E122" s="120">
        <v>167.55</v>
      </c>
      <c r="F122" s="120">
        <v>199.35</v>
      </c>
      <c r="G122" s="120">
        <v>227.95</v>
      </c>
      <c r="H122" s="121">
        <v>224.91</v>
      </c>
    </row>
    <row r="123" spans="2:8" s="118" customFormat="1" ht="15.75" x14ac:dyDescent="0.2">
      <c r="B123" s="122" t="s">
        <v>123</v>
      </c>
      <c r="C123" s="123">
        <v>39.778686820877425</v>
      </c>
      <c r="D123" s="123">
        <v>41.857847057040992</v>
      </c>
      <c r="E123" s="123">
        <v>50.095007599086365</v>
      </c>
      <c r="F123" s="123">
        <v>64.95920696501328</v>
      </c>
      <c r="G123" s="123">
        <v>86.489693911481595</v>
      </c>
      <c r="H123" s="124">
        <v>84.228352576490266</v>
      </c>
    </row>
    <row r="124" spans="2:8" s="118" customFormat="1" ht="15.75" x14ac:dyDescent="0.2">
      <c r="B124" s="122" t="s">
        <v>124</v>
      </c>
      <c r="C124" s="123">
        <v>26.909746313883542</v>
      </c>
      <c r="D124" s="123">
        <v>26.978473793402003</v>
      </c>
      <c r="E124" s="123">
        <v>32.713807866364384</v>
      </c>
      <c r="F124" s="123">
        <v>41.068832255940563</v>
      </c>
      <c r="G124" s="123">
        <v>44.970347576816046</v>
      </c>
      <c r="H124" s="124">
        <v>44.951030871472156</v>
      </c>
    </row>
    <row r="125" spans="2:8" s="118" customFormat="1" ht="15.75" x14ac:dyDescent="0.2">
      <c r="B125" s="122" t="s">
        <v>125</v>
      </c>
      <c r="C125" s="123">
        <v>38</v>
      </c>
      <c r="D125" s="123">
        <v>38</v>
      </c>
      <c r="E125" s="123">
        <v>39.5</v>
      </c>
      <c r="F125" s="123">
        <v>39.5</v>
      </c>
      <c r="G125" s="123">
        <v>39.5</v>
      </c>
      <c r="H125" s="124">
        <v>39.5</v>
      </c>
    </row>
    <row r="126" spans="2:8" s="118" customFormat="1" ht="15.75" x14ac:dyDescent="0.2">
      <c r="B126" s="122" t="s">
        <v>126</v>
      </c>
      <c r="C126" s="123">
        <v>38.720379378610225</v>
      </c>
      <c r="D126" s="123">
        <v>39.514803602218642</v>
      </c>
      <c r="E126" s="123">
        <v>45.237507089961241</v>
      </c>
      <c r="F126" s="123">
        <v>53.825439163914432</v>
      </c>
      <c r="G126" s="123">
        <v>56.986680496099211</v>
      </c>
      <c r="H126" s="124">
        <v>56.226461149320805</v>
      </c>
    </row>
    <row r="127" spans="2:8" x14ac:dyDescent="0.2">
      <c r="B127" s="78"/>
      <c r="C127" s="81"/>
      <c r="D127" s="81"/>
      <c r="E127" s="81"/>
      <c r="F127" s="81"/>
      <c r="G127" s="81"/>
      <c r="H127" s="82"/>
    </row>
    <row r="128" spans="2:8" s="118" customFormat="1" ht="15.75" x14ac:dyDescent="0.2">
      <c r="B128" s="107" t="s">
        <v>127</v>
      </c>
      <c r="C128" s="120">
        <v>59.2</v>
      </c>
      <c r="D128" s="120">
        <v>59.36</v>
      </c>
      <c r="E128" s="120">
        <v>68.02000000000001</v>
      </c>
      <c r="F128" s="120">
        <v>69.87</v>
      </c>
      <c r="G128" s="120">
        <v>116.89999999999999</v>
      </c>
      <c r="H128" s="121">
        <v>62.36</v>
      </c>
    </row>
    <row r="129" spans="2:8" x14ac:dyDescent="0.2">
      <c r="B129" s="125" t="s">
        <v>128</v>
      </c>
      <c r="C129" s="126">
        <v>0.37</v>
      </c>
      <c r="D129" s="126">
        <v>0.37</v>
      </c>
      <c r="E129" s="126">
        <v>0.37</v>
      </c>
      <c r="F129" s="126">
        <v>0.37</v>
      </c>
      <c r="G129" s="126">
        <v>0.48</v>
      </c>
      <c r="H129" s="127">
        <v>0.41</v>
      </c>
    </row>
    <row r="130" spans="2:8" x14ac:dyDescent="0.2">
      <c r="B130" s="125" t="s">
        <v>129</v>
      </c>
      <c r="C130" s="126">
        <v>0.44</v>
      </c>
      <c r="D130" s="126">
        <v>0.44</v>
      </c>
      <c r="E130" s="126">
        <v>0.44</v>
      </c>
      <c r="F130" s="126">
        <v>0.44</v>
      </c>
      <c r="G130" s="126">
        <v>0.56999999999999995</v>
      </c>
      <c r="H130" s="127">
        <v>0.48</v>
      </c>
    </row>
    <row r="131" spans="2:8" x14ac:dyDescent="0.2">
      <c r="B131" s="125" t="s">
        <v>130</v>
      </c>
      <c r="C131" s="126">
        <v>1.02</v>
      </c>
      <c r="D131" s="126">
        <v>1.02</v>
      </c>
      <c r="E131" s="126">
        <v>1.02</v>
      </c>
      <c r="F131" s="126">
        <v>1.02</v>
      </c>
      <c r="G131" s="126">
        <v>1.33</v>
      </c>
      <c r="H131" s="127">
        <v>1.1200000000000001</v>
      </c>
    </row>
    <row r="132" spans="2:8" x14ac:dyDescent="0.2">
      <c r="B132" s="125" t="s">
        <v>131</v>
      </c>
      <c r="C132" s="126">
        <v>1.1299999999999999</v>
      </c>
      <c r="D132" s="126">
        <v>1.1299999999999999</v>
      </c>
      <c r="E132" s="126">
        <v>1.1299999999999999</v>
      </c>
      <c r="F132" s="126">
        <v>1.1299999999999999</v>
      </c>
      <c r="G132" s="126">
        <v>1.47</v>
      </c>
      <c r="H132" s="127">
        <v>1.24</v>
      </c>
    </row>
    <row r="133" spans="2:8" x14ac:dyDescent="0.2">
      <c r="B133" s="125" t="s">
        <v>132</v>
      </c>
      <c r="C133" s="126">
        <v>1</v>
      </c>
      <c r="D133" s="126">
        <v>1</v>
      </c>
      <c r="E133" s="126">
        <v>1</v>
      </c>
      <c r="F133" s="126">
        <v>1</v>
      </c>
      <c r="G133" s="126">
        <v>1.3</v>
      </c>
      <c r="H133" s="127">
        <v>1.1000000000000001</v>
      </c>
    </row>
    <row r="134" spans="2:8" x14ac:dyDescent="0.2">
      <c r="B134" s="125" t="s">
        <v>133</v>
      </c>
      <c r="C134" s="126">
        <v>0.27</v>
      </c>
      <c r="D134" s="126">
        <v>0.27</v>
      </c>
      <c r="E134" s="126">
        <v>0.27</v>
      </c>
      <c r="F134" s="126">
        <v>0.27</v>
      </c>
      <c r="G134" s="126">
        <v>0.35</v>
      </c>
      <c r="H134" s="127">
        <v>0.3</v>
      </c>
    </row>
    <row r="135" spans="2:8" x14ac:dyDescent="0.2">
      <c r="B135" s="125" t="s">
        <v>134</v>
      </c>
      <c r="C135" s="126">
        <v>0</v>
      </c>
      <c r="D135" s="126">
        <v>0</v>
      </c>
      <c r="E135" s="126">
        <v>0</v>
      </c>
      <c r="F135" s="126">
        <v>0</v>
      </c>
      <c r="G135" s="126">
        <v>0</v>
      </c>
      <c r="H135" s="127">
        <v>0</v>
      </c>
    </row>
    <row r="136" spans="2:8" x14ac:dyDescent="0.2">
      <c r="B136" s="125" t="s">
        <v>135</v>
      </c>
      <c r="C136" s="126">
        <v>0.51</v>
      </c>
      <c r="D136" s="126">
        <v>0.51</v>
      </c>
      <c r="E136" s="126">
        <v>0.51</v>
      </c>
      <c r="F136" s="126">
        <v>0.51</v>
      </c>
      <c r="G136" s="126">
        <v>0.66</v>
      </c>
      <c r="H136" s="127">
        <v>0.56000000000000005</v>
      </c>
    </row>
    <row r="137" spans="2:8" x14ac:dyDescent="0.2">
      <c r="B137" s="125" t="s">
        <v>136</v>
      </c>
      <c r="C137" s="126">
        <v>1</v>
      </c>
      <c r="D137" s="126">
        <v>1</v>
      </c>
      <c r="E137" s="126">
        <v>1</v>
      </c>
      <c r="F137" s="126">
        <v>1</v>
      </c>
      <c r="G137" s="126">
        <v>1.3</v>
      </c>
      <c r="H137" s="127">
        <v>1.1000000000000001</v>
      </c>
    </row>
    <row r="138" spans="2:8" x14ac:dyDescent="0.2">
      <c r="B138" s="125" t="s">
        <v>137</v>
      </c>
      <c r="C138" s="126">
        <v>10.25</v>
      </c>
      <c r="D138" s="126">
        <v>10.25</v>
      </c>
      <c r="E138" s="126">
        <v>10.25</v>
      </c>
      <c r="F138" s="126">
        <v>10.25</v>
      </c>
      <c r="G138" s="126">
        <v>43.8</v>
      </c>
      <c r="H138" s="127">
        <v>5.59</v>
      </c>
    </row>
    <row r="139" spans="2:8" x14ac:dyDescent="0.2">
      <c r="B139" s="125" t="s">
        <v>138</v>
      </c>
      <c r="C139" s="126">
        <v>11</v>
      </c>
      <c r="D139" s="126">
        <v>11</v>
      </c>
      <c r="E139" s="126">
        <v>11</v>
      </c>
      <c r="F139" s="126">
        <v>11</v>
      </c>
      <c r="G139" s="126">
        <v>13.01</v>
      </c>
      <c r="H139" s="127">
        <v>6.5</v>
      </c>
    </row>
    <row r="140" spans="2:8" x14ac:dyDescent="0.2">
      <c r="B140" s="125" t="s">
        <v>139</v>
      </c>
      <c r="C140" s="126">
        <v>14.3</v>
      </c>
      <c r="D140" s="126">
        <v>14.3</v>
      </c>
      <c r="E140" s="126">
        <v>14.3</v>
      </c>
      <c r="F140" s="126">
        <v>14.3</v>
      </c>
      <c r="G140" s="126">
        <v>20</v>
      </c>
      <c r="H140" s="127">
        <v>14.3</v>
      </c>
    </row>
    <row r="141" spans="2:8" x14ac:dyDescent="0.2">
      <c r="B141" s="125" t="s">
        <v>140</v>
      </c>
      <c r="C141" s="126">
        <v>0</v>
      </c>
      <c r="D141" s="126">
        <v>0</v>
      </c>
      <c r="E141" s="126">
        <v>0</v>
      </c>
      <c r="F141" s="126">
        <v>0</v>
      </c>
      <c r="G141" s="126">
        <v>0</v>
      </c>
      <c r="H141" s="127">
        <v>0</v>
      </c>
    </row>
    <row r="142" spans="2:8" x14ac:dyDescent="0.2">
      <c r="B142" s="125" t="s">
        <v>141</v>
      </c>
      <c r="C142" s="126">
        <v>0.2</v>
      </c>
      <c r="D142" s="126">
        <v>0.2</v>
      </c>
      <c r="E142" s="126">
        <v>0.2</v>
      </c>
      <c r="F142" s="126">
        <v>0.3</v>
      </c>
      <c r="G142" s="126">
        <v>0.3</v>
      </c>
      <c r="H142" s="127">
        <v>0.3</v>
      </c>
    </row>
    <row r="143" spans="2:8" x14ac:dyDescent="0.2">
      <c r="B143" s="125" t="s">
        <v>409</v>
      </c>
      <c r="C143" s="126">
        <v>0.5</v>
      </c>
      <c r="D143" s="126">
        <v>0.5</v>
      </c>
      <c r="E143" s="126">
        <v>0.5</v>
      </c>
      <c r="F143" s="126">
        <v>0.5</v>
      </c>
      <c r="G143" s="126">
        <v>0.65</v>
      </c>
      <c r="H143" s="127">
        <v>0.55000000000000004</v>
      </c>
    </row>
    <row r="144" spans="2:8" x14ac:dyDescent="0.2">
      <c r="B144" s="125" t="s">
        <v>142</v>
      </c>
      <c r="C144" s="126">
        <v>0.83</v>
      </c>
      <c r="D144" s="126">
        <v>0.83</v>
      </c>
      <c r="E144" s="126">
        <v>3.1</v>
      </c>
      <c r="F144" s="126">
        <v>3.1</v>
      </c>
      <c r="G144" s="126">
        <v>3.1</v>
      </c>
      <c r="H144" s="127">
        <v>3.1</v>
      </c>
    </row>
    <row r="145" spans="2:154" x14ac:dyDescent="0.2">
      <c r="B145" s="125" t="s">
        <v>143</v>
      </c>
      <c r="C145" s="126">
        <v>0</v>
      </c>
      <c r="D145" s="126">
        <v>0</v>
      </c>
      <c r="E145" s="126">
        <v>4.88</v>
      </c>
      <c r="F145" s="126">
        <v>4.88</v>
      </c>
      <c r="G145" s="126">
        <v>4.88</v>
      </c>
      <c r="H145" s="127">
        <v>4.88</v>
      </c>
    </row>
    <row r="146" spans="2:154" x14ac:dyDescent="0.2">
      <c r="B146" s="125" t="s">
        <v>144</v>
      </c>
      <c r="C146" s="126">
        <v>0.57999999999999996</v>
      </c>
      <c r="D146" s="126">
        <v>0.57999999999999996</v>
      </c>
      <c r="E146" s="126">
        <v>0.57999999999999996</v>
      </c>
      <c r="F146" s="126">
        <v>0.57999999999999996</v>
      </c>
      <c r="G146" s="126">
        <v>0.75</v>
      </c>
      <c r="H146" s="127">
        <v>0.64</v>
      </c>
    </row>
    <row r="147" spans="2:154" x14ac:dyDescent="0.2">
      <c r="B147" s="125" t="s">
        <v>145</v>
      </c>
      <c r="C147" s="126">
        <v>5.5</v>
      </c>
      <c r="D147" s="126">
        <v>5.5</v>
      </c>
      <c r="E147" s="126">
        <v>5.5</v>
      </c>
      <c r="F147" s="126">
        <v>5.5</v>
      </c>
      <c r="G147" s="126">
        <v>5.5</v>
      </c>
      <c r="H147" s="127">
        <v>5.5</v>
      </c>
    </row>
    <row r="148" spans="2:154" x14ac:dyDescent="0.2">
      <c r="B148" s="125"/>
      <c r="C148" s="126"/>
      <c r="D148" s="126"/>
      <c r="E148" s="126"/>
      <c r="F148" s="126"/>
      <c r="G148" s="126"/>
      <c r="H148" s="127"/>
    </row>
    <row r="149" spans="2:154" x14ac:dyDescent="0.2">
      <c r="B149" s="125" t="s">
        <v>146</v>
      </c>
      <c r="C149" s="126">
        <v>0.65</v>
      </c>
      <c r="D149" s="126">
        <v>0.66</v>
      </c>
      <c r="E149" s="126">
        <v>0.75</v>
      </c>
      <c r="F149" s="126">
        <v>0.9</v>
      </c>
      <c r="G149" s="126">
        <v>1.03</v>
      </c>
      <c r="H149" s="127">
        <v>1.01</v>
      </c>
    </row>
    <row r="150" spans="2:154" x14ac:dyDescent="0.2">
      <c r="B150" s="125" t="s">
        <v>147</v>
      </c>
      <c r="C150" s="126">
        <v>9.65</v>
      </c>
      <c r="D150" s="126">
        <v>9.8000000000000007</v>
      </c>
      <c r="E150" s="126">
        <v>11.22</v>
      </c>
      <c r="F150" s="126">
        <v>12.82</v>
      </c>
      <c r="G150" s="126">
        <v>16.420000000000002</v>
      </c>
      <c r="H150" s="127">
        <v>13.68</v>
      </c>
    </row>
    <row r="151" spans="2:154" x14ac:dyDescent="0.2">
      <c r="B151" s="125"/>
      <c r="C151" s="128"/>
      <c r="D151" s="128"/>
      <c r="E151" s="128"/>
      <c r="F151" s="128"/>
      <c r="G151" s="128"/>
      <c r="H151" s="129"/>
    </row>
    <row r="152" spans="2:154" ht="15.75" x14ac:dyDescent="0.2">
      <c r="B152" s="107" t="s">
        <v>340</v>
      </c>
      <c r="C152" s="120">
        <v>14.182700000000001</v>
      </c>
      <c r="D152" s="120">
        <v>14.399700000000001</v>
      </c>
      <c r="E152" s="120">
        <v>16.489900000000002</v>
      </c>
      <c r="F152" s="120">
        <v>18.845400000000001</v>
      </c>
      <c r="G152" s="120">
        <v>24.139499999999998</v>
      </c>
      <c r="H152" s="121">
        <v>20.108900000000002</v>
      </c>
    </row>
    <row r="153" spans="2:154" x14ac:dyDescent="0.2">
      <c r="B153" s="125" t="s">
        <v>148</v>
      </c>
      <c r="C153" s="128">
        <v>10.0387</v>
      </c>
      <c r="D153" s="128">
        <v>10.2445</v>
      </c>
      <c r="E153" s="128">
        <v>11.728500000000002</v>
      </c>
      <c r="F153" s="128">
        <v>13.954500000000001</v>
      </c>
      <c r="G153" s="128">
        <v>15.9565</v>
      </c>
      <c r="H153" s="129">
        <v>15.7437</v>
      </c>
    </row>
    <row r="154" spans="2:154" x14ac:dyDescent="0.2">
      <c r="B154" s="125" t="s">
        <v>149</v>
      </c>
      <c r="C154" s="128">
        <v>4.144000000000001</v>
      </c>
      <c r="D154" s="128">
        <v>4.1552000000000007</v>
      </c>
      <c r="E154" s="128">
        <v>4.761400000000001</v>
      </c>
      <c r="F154" s="128">
        <v>4.8909000000000011</v>
      </c>
      <c r="G154" s="128">
        <v>8.1829999999999998</v>
      </c>
      <c r="H154" s="129">
        <v>4.3652000000000006</v>
      </c>
    </row>
    <row r="155" spans="2:154" hidden="1" x14ac:dyDescent="0.2">
      <c r="B155" s="125"/>
      <c r="C155" s="128"/>
      <c r="D155" s="128"/>
      <c r="E155" s="128"/>
      <c r="F155" s="128"/>
      <c r="G155" s="128"/>
      <c r="H155" s="129"/>
    </row>
    <row r="156" spans="2:154" x14ac:dyDescent="0.2">
      <c r="B156" s="125"/>
      <c r="C156" s="128"/>
      <c r="D156" s="128"/>
      <c r="E156" s="128"/>
      <c r="F156" s="128"/>
      <c r="G156" s="128"/>
      <c r="H156" s="129"/>
    </row>
    <row r="157" spans="2:154" s="130" customFormat="1" ht="15.75" x14ac:dyDescent="0.2">
      <c r="B157" s="131" t="s">
        <v>150</v>
      </c>
      <c r="C157" s="132">
        <v>216.79270000000002</v>
      </c>
      <c r="D157" s="132">
        <v>220.10969999999998</v>
      </c>
      <c r="E157" s="132">
        <v>252.05990000000003</v>
      </c>
      <c r="F157" s="132">
        <v>288.06540000000001</v>
      </c>
      <c r="G157" s="132">
        <v>368.98949999999996</v>
      </c>
      <c r="H157" s="133">
        <v>307.37889999999999</v>
      </c>
      <c r="I157" s="276"/>
      <c r="J157" s="276"/>
      <c r="K157" s="276"/>
      <c r="L157" s="276"/>
      <c r="M157" s="276"/>
      <c r="N157" s="276"/>
      <c r="O157" s="276"/>
      <c r="Q157" s="277"/>
      <c r="R157" s="276"/>
      <c r="S157" s="276"/>
      <c r="T157" s="276"/>
      <c r="U157" s="276"/>
      <c r="V157" s="276"/>
      <c r="W157" s="276"/>
      <c r="X157" s="276"/>
      <c r="Z157" s="277"/>
      <c r="AA157" s="276"/>
      <c r="AB157" s="276"/>
      <c r="AC157" s="276"/>
      <c r="AD157" s="276"/>
      <c r="AE157" s="276"/>
      <c r="AF157" s="276"/>
      <c r="AG157" s="276"/>
      <c r="AI157" s="277"/>
      <c r="AJ157" s="276"/>
      <c r="AK157" s="276"/>
      <c r="AL157" s="276"/>
      <c r="AM157" s="276"/>
      <c r="AN157" s="276"/>
      <c r="AO157" s="276"/>
      <c r="AP157" s="276"/>
      <c r="AR157" s="277"/>
      <c r="AS157" s="276"/>
      <c r="AT157" s="276"/>
      <c r="AU157" s="276"/>
      <c r="AV157" s="276"/>
      <c r="AW157" s="276"/>
      <c r="AX157" s="276"/>
      <c r="AY157" s="276"/>
      <c r="BA157" s="277"/>
      <c r="BB157" s="276"/>
      <c r="BC157" s="276"/>
      <c r="BD157" s="276"/>
      <c r="BE157" s="276"/>
      <c r="BF157" s="276"/>
      <c r="BG157" s="276"/>
      <c r="BH157" s="276"/>
      <c r="BJ157" s="277"/>
      <c r="BK157" s="276"/>
      <c r="BL157" s="276"/>
      <c r="BM157" s="276"/>
      <c r="BN157" s="276"/>
      <c r="BO157" s="276"/>
      <c r="BP157" s="276"/>
      <c r="BQ157" s="276"/>
      <c r="BS157" s="277"/>
      <c r="BT157" s="276"/>
      <c r="BU157" s="276"/>
      <c r="BV157" s="276"/>
      <c r="BW157" s="276"/>
      <c r="BX157" s="276"/>
      <c r="BY157" s="276"/>
      <c r="BZ157" s="276"/>
      <c r="CB157" s="277"/>
      <c r="CC157" s="276"/>
      <c r="CD157" s="276"/>
      <c r="CE157" s="276"/>
      <c r="CF157" s="276"/>
      <c r="CG157" s="276"/>
      <c r="CH157" s="276"/>
      <c r="CI157" s="276"/>
      <c r="CK157" s="277"/>
      <c r="CL157" s="276"/>
      <c r="CM157" s="276"/>
      <c r="CN157" s="276"/>
      <c r="CO157" s="276"/>
      <c r="CP157" s="276"/>
      <c r="CQ157" s="276"/>
      <c r="CR157" s="276"/>
      <c r="CT157" s="277"/>
      <c r="CU157" s="276"/>
      <c r="CV157" s="276"/>
      <c r="CW157" s="276"/>
      <c r="CX157" s="276"/>
      <c r="CY157" s="276"/>
      <c r="CZ157" s="276"/>
      <c r="DA157" s="276"/>
      <c r="DC157" s="277"/>
      <c r="DD157" s="276"/>
      <c r="DE157" s="276"/>
      <c r="DF157" s="276"/>
      <c r="DG157" s="276"/>
      <c r="DH157" s="276"/>
      <c r="DI157" s="276"/>
      <c r="DJ157" s="276"/>
      <c r="DL157" s="277"/>
      <c r="DM157" s="276"/>
      <c r="DN157" s="276"/>
      <c r="DO157" s="276"/>
      <c r="DP157" s="276"/>
      <c r="DQ157" s="276"/>
      <c r="DR157" s="276"/>
      <c r="DS157" s="276"/>
      <c r="DU157" s="277"/>
      <c r="DV157" s="276"/>
      <c r="DW157" s="276"/>
      <c r="DX157" s="276"/>
      <c r="DY157" s="276"/>
      <c r="DZ157" s="276"/>
      <c r="EA157" s="276"/>
      <c r="EB157" s="276"/>
      <c r="ED157" s="277"/>
      <c r="EE157" s="276"/>
      <c r="EF157" s="276"/>
      <c r="EG157" s="276"/>
      <c r="EH157" s="276"/>
      <c r="EI157" s="276"/>
      <c r="EJ157" s="276"/>
      <c r="EK157" s="276"/>
      <c r="EM157" s="277"/>
      <c r="EN157" s="276"/>
      <c r="EO157" s="276"/>
      <c r="EP157" s="276"/>
      <c r="EQ157" s="276"/>
      <c r="ER157" s="276"/>
      <c r="ES157" s="276"/>
      <c r="ET157" s="276"/>
      <c r="EV157" s="277"/>
      <c r="EW157" s="276"/>
      <c r="EX157" s="276"/>
    </row>
    <row r="158" spans="2:154" x14ac:dyDescent="0.2">
      <c r="B158" s="85"/>
      <c r="C158" s="134"/>
      <c r="D158" s="134"/>
      <c r="E158" s="134"/>
      <c r="F158" s="134"/>
      <c r="G158" s="134"/>
      <c r="H158" s="135"/>
    </row>
    <row r="159" spans="2:154" ht="15.75" x14ac:dyDescent="0.2">
      <c r="B159" s="131" t="s">
        <v>151</v>
      </c>
      <c r="C159" s="132">
        <v>690</v>
      </c>
      <c r="D159" s="132">
        <v>700</v>
      </c>
      <c r="E159" s="132">
        <v>800</v>
      </c>
      <c r="F159" s="132">
        <v>950</v>
      </c>
      <c r="G159" s="132">
        <v>1080</v>
      </c>
      <c r="H159" s="133">
        <v>1070</v>
      </c>
    </row>
    <row r="160" spans="2:154" s="130" customFormat="1" ht="15.75" x14ac:dyDescent="0.2">
      <c r="B160" s="131" t="s">
        <v>152</v>
      </c>
      <c r="C160" s="132">
        <v>1050</v>
      </c>
      <c r="D160" s="132">
        <v>1060</v>
      </c>
      <c r="E160" s="132">
        <v>1210</v>
      </c>
      <c r="F160" s="132">
        <v>1380</v>
      </c>
      <c r="G160" s="132">
        <v>1760</v>
      </c>
      <c r="H160" s="133">
        <v>1460</v>
      </c>
      <c r="I160" s="276"/>
      <c r="J160" s="276"/>
      <c r="K160" s="276"/>
      <c r="L160" s="276"/>
      <c r="M160" s="276"/>
      <c r="N160" s="276"/>
      <c r="O160" s="276"/>
      <c r="Q160" s="277"/>
      <c r="R160" s="276"/>
      <c r="S160" s="276"/>
      <c r="T160" s="276"/>
      <c r="U160" s="276"/>
      <c r="V160" s="276"/>
      <c r="W160" s="276"/>
      <c r="X160" s="276"/>
      <c r="Z160" s="277"/>
      <c r="AA160" s="276"/>
      <c r="AB160" s="276"/>
      <c r="AC160" s="276"/>
      <c r="AD160" s="276"/>
      <c r="AE160" s="276"/>
      <c r="AF160" s="276"/>
      <c r="AG160" s="276"/>
      <c r="AI160" s="277"/>
      <c r="AJ160" s="276"/>
      <c r="AK160" s="276"/>
      <c r="AL160" s="276"/>
      <c r="AM160" s="276"/>
      <c r="AN160" s="276"/>
      <c r="AO160" s="276"/>
      <c r="AP160" s="276"/>
      <c r="AR160" s="277"/>
      <c r="AS160" s="276"/>
      <c r="AT160" s="276"/>
      <c r="AU160" s="276"/>
      <c r="AV160" s="276"/>
      <c r="AW160" s="276"/>
      <c r="AX160" s="276"/>
      <c r="AY160" s="276"/>
      <c r="BA160" s="277"/>
      <c r="BB160" s="276"/>
      <c r="BC160" s="276"/>
      <c r="BD160" s="276"/>
      <c r="BE160" s="276"/>
      <c r="BF160" s="276"/>
      <c r="BG160" s="276"/>
      <c r="BH160" s="276"/>
      <c r="BJ160" s="277"/>
      <c r="BK160" s="276"/>
      <c r="BL160" s="276"/>
      <c r="BM160" s="276"/>
      <c r="BN160" s="276"/>
      <c r="BO160" s="276"/>
      <c r="BP160" s="276"/>
      <c r="BQ160" s="276"/>
      <c r="BS160" s="277"/>
      <c r="BT160" s="276"/>
      <c r="BU160" s="276"/>
      <c r="BV160" s="276"/>
      <c r="BW160" s="276"/>
      <c r="BX160" s="276"/>
      <c r="BY160" s="276"/>
      <c r="BZ160" s="276"/>
      <c r="CB160" s="277"/>
      <c r="CC160" s="276"/>
      <c r="CD160" s="276"/>
      <c r="CE160" s="276"/>
      <c r="CF160" s="276"/>
      <c r="CG160" s="276"/>
      <c r="CH160" s="276"/>
      <c r="CI160" s="276"/>
      <c r="CK160" s="277"/>
      <c r="CL160" s="276"/>
      <c r="CM160" s="276"/>
      <c r="CN160" s="276"/>
      <c r="CO160" s="276"/>
      <c r="CP160" s="276"/>
      <c r="CQ160" s="276"/>
      <c r="CR160" s="276"/>
      <c r="CT160" s="277"/>
      <c r="CU160" s="276"/>
      <c r="CV160" s="276"/>
      <c r="CW160" s="276"/>
      <c r="CX160" s="276"/>
      <c r="CY160" s="276"/>
      <c r="CZ160" s="276"/>
      <c r="DA160" s="276"/>
      <c r="DC160" s="277"/>
      <c r="DD160" s="276"/>
      <c r="DE160" s="276"/>
      <c r="DF160" s="276"/>
      <c r="DG160" s="276"/>
      <c r="DH160" s="276"/>
      <c r="DI160" s="276"/>
      <c r="DJ160" s="276"/>
      <c r="DL160" s="277"/>
      <c r="DM160" s="276"/>
      <c r="DN160" s="276"/>
      <c r="DO160" s="276"/>
      <c r="DP160" s="276"/>
      <c r="DQ160" s="276"/>
      <c r="DR160" s="276"/>
      <c r="DS160" s="276"/>
      <c r="DU160" s="277"/>
      <c r="DV160" s="276"/>
      <c r="DW160" s="276"/>
      <c r="DX160" s="276"/>
      <c r="DY160" s="276"/>
      <c r="DZ160" s="276"/>
      <c r="EA160" s="276"/>
      <c r="EB160" s="276"/>
      <c r="ED160" s="277"/>
      <c r="EE160" s="276"/>
      <c r="EF160" s="276"/>
      <c r="EG160" s="276"/>
      <c r="EH160" s="276"/>
      <c r="EI160" s="276"/>
      <c r="EJ160" s="276"/>
      <c r="EK160" s="276"/>
      <c r="EM160" s="277"/>
      <c r="EN160" s="276"/>
      <c r="EO160" s="276"/>
      <c r="EP160" s="276"/>
      <c r="EQ160" s="276"/>
      <c r="ER160" s="276"/>
      <c r="ES160" s="276"/>
      <c r="ET160" s="276"/>
      <c r="EV160" s="277"/>
      <c r="EW160" s="276"/>
      <c r="EX160" s="276"/>
    </row>
    <row r="161" spans="2:154" x14ac:dyDescent="0.2">
      <c r="B161" s="85"/>
      <c r="C161" s="126"/>
      <c r="D161" s="126"/>
      <c r="E161" s="126"/>
      <c r="F161" s="126"/>
      <c r="G161" s="136"/>
      <c r="H161" s="137"/>
      <c r="I161" s="278"/>
      <c r="J161" s="278"/>
      <c r="K161" s="278"/>
      <c r="L161" s="278"/>
      <c r="M161" s="278"/>
      <c r="N161" s="278"/>
      <c r="O161" s="278"/>
      <c r="Q161" s="279"/>
      <c r="R161" s="278"/>
      <c r="S161" s="278"/>
      <c r="T161" s="278"/>
      <c r="U161" s="278"/>
      <c r="V161" s="278"/>
      <c r="W161" s="278"/>
      <c r="X161" s="278"/>
      <c r="Z161" s="279"/>
      <c r="AA161" s="278"/>
      <c r="AB161" s="278"/>
      <c r="AC161" s="278"/>
      <c r="AD161" s="278"/>
      <c r="AE161" s="278"/>
      <c r="AF161" s="278"/>
      <c r="AG161" s="278"/>
      <c r="AI161" s="279"/>
      <c r="AJ161" s="278"/>
      <c r="AK161" s="278"/>
      <c r="AL161" s="278"/>
      <c r="AM161" s="278"/>
      <c r="AN161" s="278"/>
      <c r="AO161" s="278"/>
      <c r="AP161" s="278"/>
      <c r="AR161" s="279"/>
      <c r="AS161" s="278"/>
      <c r="AT161" s="278"/>
      <c r="AU161" s="278"/>
      <c r="AV161" s="278"/>
      <c r="AW161" s="278"/>
      <c r="AX161" s="278"/>
      <c r="AY161" s="278"/>
      <c r="BA161" s="279"/>
      <c r="BB161" s="278"/>
      <c r="BC161" s="278"/>
      <c r="BD161" s="278"/>
      <c r="BE161" s="278"/>
      <c r="BF161" s="278"/>
      <c r="BG161" s="278"/>
      <c r="BH161" s="278"/>
      <c r="BJ161" s="279"/>
      <c r="BK161" s="278"/>
      <c r="BL161" s="278"/>
      <c r="BM161" s="278"/>
      <c r="BN161" s="278"/>
      <c r="BO161" s="278"/>
      <c r="BP161" s="278"/>
      <c r="BQ161" s="278"/>
      <c r="BS161" s="279"/>
      <c r="BT161" s="278"/>
      <c r="BU161" s="278"/>
      <c r="BV161" s="278"/>
      <c r="BW161" s="278"/>
      <c r="BX161" s="278"/>
      <c r="BY161" s="278"/>
      <c r="BZ161" s="278"/>
      <c r="CB161" s="279"/>
      <c r="CC161" s="278"/>
      <c r="CD161" s="278"/>
      <c r="CE161" s="278"/>
      <c r="CF161" s="278"/>
      <c r="CG161" s="278"/>
      <c r="CH161" s="278"/>
      <c r="CI161" s="278"/>
      <c r="CK161" s="279"/>
      <c r="CL161" s="278"/>
      <c r="CM161" s="278"/>
      <c r="CN161" s="278"/>
      <c r="CO161" s="278"/>
      <c r="CP161" s="278"/>
      <c r="CQ161" s="278"/>
      <c r="CR161" s="278"/>
      <c r="CT161" s="279"/>
      <c r="CU161" s="278"/>
      <c r="CV161" s="278"/>
      <c r="CW161" s="278"/>
      <c r="CX161" s="278"/>
      <c r="CY161" s="278"/>
      <c r="CZ161" s="278"/>
      <c r="DA161" s="278"/>
      <c r="DC161" s="279"/>
      <c r="DD161" s="278"/>
      <c r="DE161" s="278"/>
      <c r="DF161" s="278"/>
      <c r="DG161" s="278"/>
      <c r="DH161" s="278"/>
      <c r="DI161" s="278"/>
      <c r="DJ161" s="278"/>
      <c r="DL161" s="279"/>
      <c r="DM161" s="278"/>
      <c r="DN161" s="278"/>
      <c r="DO161" s="278"/>
      <c r="DP161" s="278"/>
      <c r="DQ161" s="278"/>
      <c r="DR161" s="278"/>
      <c r="DS161" s="278"/>
      <c r="DU161" s="279"/>
      <c r="DV161" s="278"/>
      <c r="DW161" s="278"/>
      <c r="DX161" s="278"/>
      <c r="DY161" s="278"/>
      <c r="DZ161" s="278"/>
      <c r="EA161" s="278"/>
      <c r="EB161" s="278"/>
      <c r="ED161" s="279"/>
      <c r="EE161" s="278"/>
      <c r="EF161" s="278"/>
      <c r="EG161" s="278"/>
      <c r="EH161" s="278"/>
      <c r="EI161" s="278"/>
      <c r="EJ161" s="278"/>
      <c r="EK161" s="278"/>
      <c r="EM161" s="279"/>
      <c r="EN161" s="278"/>
      <c r="EO161" s="278"/>
      <c r="EP161" s="278"/>
      <c r="EQ161" s="278"/>
      <c r="ER161" s="278"/>
      <c r="ES161" s="278"/>
      <c r="ET161" s="278"/>
      <c r="EV161" s="279"/>
      <c r="EW161" s="278"/>
      <c r="EX161" s="278"/>
    </row>
    <row r="162" spans="2:154" ht="15" hidden="1" customHeight="1" x14ac:dyDescent="0.2">
      <c r="B162" s="85"/>
      <c r="C162" s="126"/>
      <c r="D162" s="126"/>
      <c r="E162" s="126"/>
      <c r="F162" s="126"/>
      <c r="G162" s="136"/>
      <c r="H162" s="137"/>
      <c r="I162" s="278"/>
      <c r="J162" s="278"/>
      <c r="K162" s="278"/>
      <c r="L162" s="278"/>
      <c r="M162" s="278"/>
      <c r="N162" s="278"/>
      <c r="O162" s="278"/>
      <c r="Q162" s="279"/>
      <c r="R162" s="278"/>
      <c r="S162" s="278"/>
      <c r="T162" s="278"/>
      <c r="U162" s="278"/>
      <c r="V162" s="278"/>
      <c r="W162" s="278"/>
      <c r="X162" s="278"/>
      <c r="Z162" s="279"/>
      <c r="AA162" s="278"/>
      <c r="AB162" s="278"/>
      <c r="AC162" s="278"/>
      <c r="AD162" s="278"/>
      <c r="AE162" s="278"/>
      <c r="AF162" s="278"/>
      <c r="AG162" s="278"/>
      <c r="AI162" s="279"/>
      <c r="AJ162" s="278"/>
      <c r="AK162" s="278"/>
      <c r="AL162" s="278"/>
      <c r="AM162" s="278"/>
      <c r="AN162" s="278"/>
      <c r="AO162" s="278"/>
      <c r="AP162" s="278"/>
      <c r="AR162" s="279"/>
      <c r="AS162" s="278"/>
      <c r="AT162" s="278"/>
      <c r="AU162" s="278"/>
      <c r="AV162" s="278"/>
      <c r="AW162" s="278"/>
      <c r="AX162" s="278"/>
      <c r="AY162" s="278"/>
      <c r="BA162" s="279"/>
      <c r="BB162" s="278"/>
      <c r="BC162" s="278"/>
      <c r="BD162" s="278"/>
      <c r="BE162" s="278"/>
      <c r="BF162" s="278"/>
      <c r="BG162" s="278"/>
      <c r="BH162" s="278"/>
      <c r="BJ162" s="279"/>
      <c r="BK162" s="278"/>
      <c r="BL162" s="278"/>
      <c r="BM162" s="278"/>
      <c r="BN162" s="278"/>
      <c r="BO162" s="278"/>
      <c r="BP162" s="278"/>
      <c r="BQ162" s="278"/>
      <c r="BS162" s="279"/>
      <c r="BT162" s="278"/>
      <c r="BU162" s="278"/>
      <c r="BV162" s="278"/>
      <c r="BW162" s="278"/>
      <c r="BX162" s="278"/>
      <c r="BY162" s="278"/>
      <c r="BZ162" s="278"/>
      <c r="CB162" s="279"/>
      <c r="CC162" s="278"/>
      <c r="CD162" s="278"/>
      <c r="CE162" s="278"/>
      <c r="CF162" s="278"/>
      <c r="CG162" s="278"/>
      <c r="CH162" s="278"/>
      <c r="CI162" s="278"/>
      <c r="CK162" s="279"/>
      <c r="CL162" s="278"/>
      <c r="CM162" s="278"/>
      <c r="CN162" s="278"/>
      <c r="CO162" s="278"/>
      <c r="CP162" s="278"/>
      <c r="CQ162" s="278"/>
      <c r="CR162" s="278"/>
      <c r="CT162" s="279"/>
      <c r="CU162" s="278"/>
      <c r="CV162" s="278"/>
      <c r="CW162" s="278"/>
      <c r="CX162" s="278"/>
      <c r="CY162" s="278"/>
      <c r="CZ162" s="278"/>
      <c r="DA162" s="278"/>
      <c r="DC162" s="279"/>
      <c r="DD162" s="278"/>
      <c r="DE162" s="278"/>
      <c r="DF162" s="278"/>
      <c r="DG162" s="278"/>
      <c r="DH162" s="278"/>
      <c r="DI162" s="278"/>
      <c r="DJ162" s="278"/>
      <c r="DL162" s="279"/>
      <c r="DM162" s="278"/>
      <c r="DN162" s="278"/>
      <c r="DO162" s="278"/>
      <c r="DP162" s="278"/>
      <c r="DQ162" s="278"/>
      <c r="DR162" s="278"/>
      <c r="DS162" s="278"/>
      <c r="DU162" s="279"/>
      <c r="DV162" s="278"/>
      <c r="DW162" s="278"/>
      <c r="DX162" s="278"/>
      <c r="DY162" s="278"/>
      <c r="DZ162" s="278"/>
      <c r="EA162" s="278"/>
      <c r="EB162" s="278"/>
      <c r="ED162" s="279"/>
      <c r="EE162" s="278"/>
      <c r="EF162" s="278"/>
      <c r="EG162" s="278"/>
      <c r="EH162" s="278"/>
      <c r="EI162" s="278"/>
      <c r="EJ162" s="278"/>
      <c r="EK162" s="278"/>
      <c r="EM162" s="279"/>
      <c r="EN162" s="278"/>
      <c r="EO162" s="278"/>
      <c r="EP162" s="278"/>
      <c r="EQ162" s="278"/>
      <c r="ER162" s="278"/>
      <c r="ES162" s="278"/>
      <c r="ET162" s="278"/>
      <c r="EV162" s="279"/>
      <c r="EW162" s="278"/>
      <c r="EX162" s="278"/>
    </row>
    <row r="163" spans="2:154" ht="15" hidden="1" customHeight="1" x14ac:dyDescent="0.2">
      <c r="B163" s="85"/>
      <c r="C163" s="126"/>
      <c r="D163" s="126"/>
      <c r="E163" s="126"/>
      <c r="F163" s="126"/>
      <c r="G163" s="136"/>
      <c r="H163" s="137"/>
      <c r="I163" s="278"/>
      <c r="J163" s="278"/>
      <c r="K163" s="278"/>
      <c r="L163" s="278"/>
      <c r="M163" s="278"/>
      <c r="N163" s="278"/>
      <c r="O163" s="278"/>
      <c r="Q163" s="279"/>
      <c r="R163" s="278"/>
      <c r="S163" s="278"/>
      <c r="T163" s="278"/>
      <c r="U163" s="278"/>
      <c r="V163" s="278"/>
      <c r="W163" s="278"/>
      <c r="X163" s="278"/>
      <c r="Z163" s="279"/>
      <c r="AA163" s="278"/>
      <c r="AB163" s="278"/>
      <c r="AC163" s="278"/>
      <c r="AD163" s="278"/>
      <c r="AE163" s="278"/>
      <c r="AF163" s="278"/>
      <c r="AG163" s="278"/>
      <c r="AI163" s="279"/>
      <c r="AJ163" s="278"/>
      <c r="AK163" s="278"/>
      <c r="AL163" s="278"/>
      <c r="AM163" s="278"/>
      <c r="AN163" s="278"/>
      <c r="AO163" s="278"/>
      <c r="AP163" s="278"/>
      <c r="AR163" s="279"/>
      <c r="AS163" s="278"/>
      <c r="AT163" s="278"/>
      <c r="AU163" s="278"/>
      <c r="AV163" s="278"/>
      <c r="AW163" s="278"/>
      <c r="AX163" s="278"/>
      <c r="AY163" s="278"/>
      <c r="BA163" s="279"/>
      <c r="BB163" s="278"/>
      <c r="BC163" s="278"/>
      <c r="BD163" s="278"/>
      <c r="BE163" s="278"/>
      <c r="BF163" s="278"/>
      <c r="BG163" s="278"/>
      <c r="BH163" s="278"/>
      <c r="BJ163" s="279"/>
      <c r="BK163" s="278"/>
      <c r="BL163" s="278"/>
      <c r="BM163" s="278"/>
      <c r="BN163" s="278"/>
      <c r="BO163" s="278"/>
      <c r="BP163" s="278"/>
      <c r="BQ163" s="278"/>
      <c r="BS163" s="279"/>
      <c r="BT163" s="278"/>
      <c r="BU163" s="278"/>
      <c r="BV163" s="278"/>
      <c r="BW163" s="278"/>
      <c r="BX163" s="278"/>
      <c r="BY163" s="278"/>
      <c r="BZ163" s="278"/>
      <c r="CB163" s="279"/>
      <c r="CC163" s="278"/>
      <c r="CD163" s="278"/>
      <c r="CE163" s="278"/>
      <c r="CF163" s="278"/>
      <c r="CG163" s="278"/>
      <c r="CH163" s="278"/>
      <c r="CI163" s="278"/>
      <c r="CK163" s="279"/>
      <c r="CL163" s="278"/>
      <c r="CM163" s="278"/>
      <c r="CN163" s="278"/>
      <c r="CO163" s="278"/>
      <c r="CP163" s="278"/>
      <c r="CQ163" s="278"/>
      <c r="CR163" s="278"/>
      <c r="CT163" s="279"/>
      <c r="CU163" s="278"/>
      <c r="CV163" s="278"/>
      <c r="CW163" s="278"/>
      <c r="CX163" s="278"/>
      <c r="CY163" s="278"/>
      <c r="CZ163" s="278"/>
      <c r="DA163" s="278"/>
      <c r="DC163" s="279"/>
      <c r="DD163" s="278"/>
      <c r="DE163" s="278"/>
      <c r="DF163" s="278"/>
      <c r="DG163" s="278"/>
      <c r="DH163" s="278"/>
      <c r="DI163" s="278"/>
      <c r="DJ163" s="278"/>
      <c r="DL163" s="279"/>
      <c r="DM163" s="278"/>
      <c r="DN163" s="278"/>
      <c r="DO163" s="278"/>
      <c r="DP163" s="278"/>
      <c r="DQ163" s="278"/>
      <c r="DR163" s="278"/>
      <c r="DS163" s="278"/>
      <c r="DU163" s="279"/>
      <c r="DV163" s="278"/>
      <c r="DW163" s="278"/>
      <c r="DX163" s="278"/>
      <c r="DY163" s="278"/>
      <c r="DZ163" s="278"/>
      <c r="EA163" s="278"/>
      <c r="EB163" s="278"/>
      <c r="ED163" s="279"/>
      <c r="EE163" s="278"/>
      <c r="EF163" s="278"/>
      <c r="EG163" s="278"/>
      <c r="EH163" s="278"/>
      <c r="EI163" s="278"/>
      <c r="EJ163" s="278"/>
      <c r="EK163" s="278"/>
      <c r="EM163" s="279"/>
      <c r="EN163" s="278"/>
      <c r="EO163" s="278"/>
      <c r="EP163" s="278"/>
      <c r="EQ163" s="278"/>
      <c r="ER163" s="278"/>
      <c r="ES163" s="278"/>
      <c r="ET163" s="278"/>
      <c r="EV163" s="279"/>
      <c r="EW163" s="278"/>
      <c r="EX163" s="278"/>
    </row>
    <row r="164" spans="2:154" ht="15" hidden="1" customHeight="1" x14ac:dyDescent="0.2">
      <c r="B164" s="85"/>
      <c r="C164" s="126"/>
      <c r="D164" s="126"/>
      <c r="E164" s="126"/>
      <c r="F164" s="126"/>
      <c r="G164" s="136"/>
      <c r="H164" s="137"/>
      <c r="I164" s="278"/>
      <c r="J164" s="278"/>
      <c r="K164" s="278"/>
      <c r="L164" s="278"/>
      <c r="M164" s="278"/>
      <c r="N164" s="278"/>
      <c r="O164" s="278"/>
      <c r="Q164" s="279"/>
      <c r="R164" s="278"/>
      <c r="S164" s="278"/>
      <c r="T164" s="278"/>
      <c r="U164" s="278"/>
      <c r="V164" s="278"/>
      <c r="W164" s="278"/>
      <c r="X164" s="278"/>
      <c r="Z164" s="279"/>
      <c r="AA164" s="278"/>
      <c r="AB164" s="278"/>
      <c r="AC164" s="278"/>
      <c r="AD164" s="278"/>
      <c r="AE164" s="278"/>
      <c r="AF164" s="278"/>
      <c r="AG164" s="278"/>
      <c r="AI164" s="279"/>
      <c r="AJ164" s="278"/>
      <c r="AK164" s="278"/>
      <c r="AL164" s="278"/>
      <c r="AM164" s="278"/>
      <c r="AN164" s="278"/>
      <c r="AO164" s="278"/>
      <c r="AP164" s="278"/>
      <c r="AR164" s="279"/>
      <c r="AS164" s="278"/>
      <c r="AT164" s="278"/>
      <c r="AU164" s="278"/>
      <c r="AV164" s="278"/>
      <c r="AW164" s="278"/>
      <c r="AX164" s="278"/>
      <c r="AY164" s="278"/>
      <c r="BA164" s="279"/>
      <c r="BB164" s="278"/>
      <c r="BC164" s="278"/>
      <c r="BD164" s="278"/>
      <c r="BE164" s="278"/>
      <c r="BF164" s="278"/>
      <c r="BG164" s="278"/>
      <c r="BH164" s="278"/>
      <c r="BJ164" s="279"/>
      <c r="BK164" s="278"/>
      <c r="BL164" s="278"/>
      <c r="BM164" s="278"/>
      <c r="BN164" s="278"/>
      <c r="BO164" s="278"/>
      <c r="BP164" s="278"/>
      <c r="BQ164" s="278"/>
      <c r="BS164" s="279"/>
      <c r="BT164" s="278"/>
      <c r="BU164" s="278"/>
      <c r="BV164" s="278"/>
      <c r="BW164" s="278"/>
      <c r="BX164" s="278"/>
      <c r="BY164" s="278"/>
      <c r="BZ164" s="278"/>
      <c r="CB164" s="279"/>
      <c r="CC164" s="278"/>
      <c r="CD164" s="278"/>
      <c r="CE164" s="278"/>
      <c r="CF164" s="278"/>
      <c r="CG164" s="278"/>
      <c r="CH164" s="278"/>
      <c r="CI164" s="278"/>
      <c r="CK164" s="279"/>
      <c r="CL164" s="278"/>
      <c r="CM164" s="278"/>
      <c r="CN164" s="278"/>
      <c r="CO164" s="278"/>
      <c r="CP164" s="278"/>
      <c r="CQ164" s="278"/>
      <c r="CR164" s="278"/>
      <c r="CT164" s="279"/>
      <c r="CU164" s="278"/>
      <c r="CV164" s="278"/>
      <c r="CW164" s="278"/>
      <c r="CX164" s="278"/>
      <c r="CY164" s="278"/>
      <c r="CZ164" s="278"/>
      <c r="DA164" s="278"/>
      <c r="DC164" s="279"/>
      <c r="DD164" s="278"/>
      <c r="DE164" s="278"/>
      <c r="DF164" s="278"/>
      <c r="DG164" s="278"/>
      <c r="DH164" s="278"/>
      <c r="DI164" s="278"/>
      <c r="DJ164" s="278"/>
      <c r="DL164" s="279"/>
      <c r="DM164" s="278"/>
      <c r="DN164" s="278"/>
      <c r="DO164" s="278"/>
      <c r="DP164" s="278"/>
      <c r="DQ164" s="278"/>
      <c r="DR164" s="278"/>
      <c r="DS164" s="278"/>
      <c r="DU164" s="279"/>
      <c r="DV164" s="278"/>
      <c r="DW164" s="278"/>
      <c r="DX164" s="278"/>
      <c r="DY164" s="278"/>
      <c r="DZ164" s="278"/>
      <c r="EA164" s="278"/>
      <c r="EB164" s="278"/>
      <c r="ED164" s="279"/>
      <c r="EE164" s="278"/>
      <c r="EF164" s="278"/>
      <c r="EG164" s="278"/>
      <c r="EH164" s="278"/>
      <c r="EI164" s="278"/>
      <c r="EJ164" s="278"/>
      <c r="EK164" s="278"/>
      <c r="EM164" s="279"/>
      <c r="EN164" s="278"/>
      <c r="EO164" s="278"/>
      <c r="EP164" s="278"/>
      <c r="EQ164" s="278"/>
      <c r="ER164" s="278"/>
      <c r="ES164" s="278"/>
      <c r="ET164" s="278"/>
      <c r="EV164" s="279"/>
      <c r="EW164" s="278"/>
      <c r="EX164" s="278"/>
    </row>
    <row r="165" spans="2:154" ht="15.75" x14ac:dyDescent="0.2">
      <c r="B165" s="107" t="s">
        <v>153</v>
      </c>
      <c r="C165" s="126"/>
      <c r="D165" s="126"/>
      <c r="E165" s="126"/>
      <c r="F165" s="126"/>
      <c r="G165" s="136"/>
      <c r="H165" s="137"/>
      <c r="I165" s="278"/>
      <c r="J165" s="278"/>
      <c r="K165" s="278"/>
      <c r="L165" s="278"/>
      <c r="M165" s="278"/>
      <c r="N165" s="278"/>
      <c r="O165" s="278"/>
      <c r="Q165" s="279"/>
      <c r="R165" s="278"/>
      <c r="S165" s="278"/>
      <c r="T165" s="278"/>
      <c r="U165" s="278"/>
      <c r="V165" s="278"/>
      <c r="W165" s="278"/>
      <c r="X165" s="278"/>
      <c r="Z165" s="279"/>
      <c r="AA165" s="278"/>
      <c r="AB165" s="278"/>
      <c r="AC165" s="278"/>
      <c r="AD165" s="278"/>
      <c r="AE165" s="278"/>
      <c r="AF165" s="278"/>
      <c r="AG165" s="278"/>
      <c r="AI165" s="279"/>
      <c r="AJ165" s="278"/>
      <c r="AK165" s="278"/>
      <c r="AL165" s="278"/>
      <c r="AM165" s="278"/>
      <c r="AN165" s="278"/>
      <c r="AO165" s="278"/>
      <c r="AP165" s="278"/>
      <c r="AR165" s="279"/>
      <c r="AS165" s="278"/>
      <c r="AT165" s="278"/>
      <c r="AU165" s="278"/>
      <c r="AV165" s="278"/>
      <c r="AW165" s="278"/>
      <c r="AX165" s="278"/>
      <c r="AY165" s="278"/>
      <c r="BA165" s="279"/>
      <c r="BB165" s="278"/>
      <c r="BC165" s="278"/>
      <c r="BD165" s="278"/>
      <c r="BE165" s="278"/>
      <c r="BF165" s="278"/>
      <c r="BG165" s="278"/>
      <c r="BH165" s="278"/>
      <c r="BJ165" s="279"/>
      <c r="BK165" s="278"/>
      <c r="BL165" s="278"/>
      <c r="BM165" s="278"/>
      <c r="BN165" s="278"/>
      <c r="BO165" s="278"/>
      <c r="BP165" s="278"/>
      <c r="BQ165" s="278"/>
      <c r="BS165" s="279"/>
      <c r="BT165" s="278"/>
      <c r="BU165" s="278"/>
      <c r="BV165" s="278"/>
      <c r="BW165" s="278"/>
      <c r="BX165" s="278"/>
      <c r="BY165" s="278"/>
      <c r="BZ165" s="278"/>
      <c r="CB165" s="279"/>
      <c r="CC165" s="278"/>
      <c r="CD165" s="278"/>
      <c r="CE165" s="278"/>
      <c r="CF165" s="278"/>
      <c r="CG165" s="278"/>
      <c r="CH165" s="278"/>
      <c r="CI165" s="278"/>
      <c r="CK165" s="279"/>
      <c r="CL165" s="278"/>
      <c r="CM165" s="278"/>
      <c r="CN165" s="278"/>
      <c r="CO165" s="278"/>
      <c r="CP165" s="278"/>
      <c r="CQ165" s="278"/>
      <c r="CR165" s="278"/>
      <c r="CT165" s="279"/>
      <c r="CU165" s="278"/>
      <c r="CV165" s="278"/>
      <c r="CW165" s="278"/>
      <c r="CX165" s="278"/>
      <c r="CY165" s="278"/>
      <c r="CZ165" s="278"/>
      <c r="DA165" s="278"/>
      <c r="DC165" s="279"/>
      <c r="DD165" s="278"/>
      <c r="DE165" s="278"/>
      <c r="DF165" s="278"/>
      <c r="DG165" s="278"/>
      <c r="DH165" s="278"/>
      <c r="DI165" s="278"/>
      <c r="DJ165" s="278"/>
      <c r="DL165" s="279"/>
      <c r="DM165" s="278"/>
      <c r="DN165" s="278"/>
      <c r="DO165" s="278"/>
      <c r="DP165" s="278"/>
      <c r="DQ165" s="278"/>
      <c r="DR165" s="278"/>
      <c r="DS165" s="278"/>
      <c r="DU165" s="279"/>
      <c r="DV165" s="278"/>
      <c r="DW165" s="278"/>
      <c r="DX165" s="278"/>
      <c r="DY165" s="278"/>
      <c r="DZ165" s="278"/>
      <c r="EA165" s="278"/>
      <c r="EB165" s="278"/>
      <c r="ED165" s="279"/>
      <c r="EE165" s="278"/>
      <c r="EF165" s="278"/>
      <c r="EG165" s="278"/>
      <c r="EH165" s="278"/>
      <c r="EI165" s="278"/>
      <c r="EJ165" s="278"/>
      <c r="EK165" s="278"/>
      <c r="EM165" s="279"/>
      <c r="EN165" s="278"/>
      <c r="EO165" s="278"/>
      <c r="EP165" s="278"/>
      <c r="EQ165" s="278"/>
      <c r="ER165" s="278"/>
      <c r="ES165" s="278"/>
      <c r="ET165" s="278"/>
      <c r="EV165" s="279"/>
      <c r="EW165" s="278"/>
      <c r="EX165" s="278"/>
    </row>
    <row r="166" spans="2:154" x14ac:dyDescent="0.2">
      <c r="B166" s="78" t="s">
        <v>154</v>
      </c>
      <c r="C166" s="138">
        <v>0.9</v>
      </c>
      <c r="D166" s="138">
        <v>1</v>
      </c>
      <c r="E166" s="138">
        <v>1.3</v>
      </c>
      <c r="F166" s="138">
        <v>1.3</v>
      </c>
      <c r="G166" s="138">
        <v>1.7</v>
      </c>
      <c r="H166" s="139">
        <v>1.5</v>
      </c>
    </row>
    <row r="167" spans="2:154" x14ac:dyDescent="0.2">
      <c r="B167" s="78" t="s">
        <v>155</v>
      </c>
      <c r="C167" s="138">
        <v>1.1000000000000001</v>
      </c>
      <c r="D167" s="138">
        <v>1.1000000000000001</v>
      </c>
      <c r="E167" s="138">
        <v>1.1000000000000001</v>
      </c>
      <c r="F167" s="138">
        <v>1.1000000000000001</v>
      </c>
      <c r="G167" s="138">
        <v>1.1000000000000001</v>
      </c>
      <c r="H167" s="139">
        <v>1.1000000000000001</v>
      </c>
    </row>
    <row r="168" spans="2:154" x14ac:dyDescent="0.2">
      <c r="B168" s="78" t="s">
        <v>156</v>
      </c>
      <c r="C168" s="126">
        <v>0.33</v>
      </c>
      <c r="D168" s="126">
        <v>0.33</v>
      </c>
      <c r="E168" s="126">
        <v>0.33</v>
      </c>
      <c r="F168" s="126">
        <v>0.33</v>
      </c>
      <c r="G168" s="126">
        <v>3.24</v>
      </c>
      <c r="H168" s="127">
        <v>0.39</v>
      </c>
    </row>
    <row r="169" spans="2:154" x14ac:dyDescent="0.2">
      <c r="B169" s="78" t="s">
        <v>157</v>
      </c>
      <c r="C169" s="126">
        <v>0.86046</v>
      </c>
      <c r="D169" s="126">
        <v>0.87809999999999999</v>
      </c>
      <c r="E169" s="126">
        <v>1.0053000000000001</v>
      </c>
      <c r="F169" s="126">
        <v>1.1960999999999999</v>
      </c>
      <c r="G169" s="126">
        <v>1.3676999999999999</v>
      </c>
      <c r="H169" s="127">
        <v>1.3494600000000001</v>
      </c>
    </row>
    <row r="170" spans="2:154" x14ac:dyDescent="0.2">
      <c r="B170" s="78"/>
      <c r="C170" s="138"/>
      <c r="D170" s="126"/>
      <c r="E170" s="126"/>
      <c r="F170" s="126"/>
      <c r="G170" s="126"/>
      <c r="H170" s="127"/>
    </row>
    <row r="171" spans="2:154" ht="15.75" x14ac:dyDescent="0.2">
      <c r="B171" s="107" t="s">
        <v>342</v>
      </c>
      <c r="C171" s="126"/>
      <c r="D171" s="126"/>
      <c r="E171" s="126"/>
      <c r="F171" s="126"/>
      <c r="G171" s="136"/>
      <c r="H171" s="137"/>
      <c r="I171" s="278"/>
      <c r="J171" s="278"/>
      <c r="K171" s="278"/>
      <c r="L171" s="278"/>
      <c r="M171" s="278"/>
      <c r="N171" s="278"/>
      <c r="O171" s="278"/>
      <c r="Q171" s="279"/>
      <c r="R171" s="278"/>
      <c r="S171" s="278"/>
      <c r="T171" s="278"/>
      <c r="U171" s="278"/>
      <c r="V171" s="278"/>
      <c r="W171" s="278"/>
      <c r="X171" s="278"/>
      <c r="Z171" s="279"/>
      <c r="AA171" s="278"/>
      <c r="AB171" s="278"/>
      <c r="AC171" s="278"/>
      <c r="AD171" s="278"/>
      <c r="AE171" s="278"/>
      <c r="AF171" s="278"/>
      <c r="AG171" s="278"/>
      <c r="AI171" s="279"/>
      <c r="AJ171" s="278"/>
      <c r="AK171" s="278"/>
      <c r="AL171" s="278"/>
      <c r="AM171" s="278"/>
      <c r="AN171" s="278"/>
      <c r="AO171" s="278"/>
      <c r="AP171" s="278"/>
      <c r="AR171" s="279"/>
      <c r="AS171" s="278"/>
      <c r="AT171" s="278"/>
      <c r="AU171" s="278"/>
      <c r="AV171" s="278"/>
      <c r="AW171" s="278"/>
      <c r="AX171" s="278"/>
      <c r="AY171" s="278"/>
      <c r="BA171" s="279"/>
      <c r="BB171" s="278"/>
      <c r="BC171" s="278"/>
      <c r="BD171" s="278"/>
      <c r="BE171" s="278"/>
      <c r="BF171" s="278"/>
      <c r="BG171" s="278"/>
      <c r="BH171" s="278"/>
      <c r="BJ171" s="279"/>
      <c r="BK171" s="278"/>
      <c r="BL171" s="278"/>
      <c r="BM171" s="278"/>
      <c r="BN171" s="278"/>
      <c r="BO171" s="278"/>
      <c r="BP171" s="278"/>
      <c r="BQ171" s="278"/>
      <c r="BS171" s="279"/>
      <c r="BT171" s="278"/>
      <c r="BU171" s="278"/>
      <c r="BV171" s="278"/>
      <c r="BW171" s="278"/>
      <c r="BX171" s="278"/>
      <c r="BY171" s="278"/>
      <c r="BZ171" s="278"/>
      <c r="CB171" s="279"/>
      <c r="CC171" s="278"/>
      <c r="CD171" s="278"/>
      <c r="CE171" s="278"/>
      <c r="CF171" s="278"/>
      <c r="CG171" s="278"/>
      <c r="CH171" s="278"/>
      <c r="CI171" s="278"/>
      <c r="CK171" s="279"/>
      <c r="CL171" s="278"/>
      <c r="CM171" s="278"/>
      <c r="CN171" s="278"/>
      <c r="CO171" s="278"/>
      <c r="CP171" s="278"/>
      <c r="CQ171" s="278"/>
      <c r="CR171" s="278"/>
      <c r="CT171" s="279"/>
      <c r="CU171" s="278"/>
      <c r="CV171" s="278"/>
      <c r="CW171" s="278"/>
      <c r="CX171" s="278"/>
      <c r="CY171" s="278"/>
      <c r="CZ171" s="278"/>
      <c r="DA171" s="278"/>
      <c r="DC171" s="279"/>
      <c r="DD171" s="278"/>
      <c r="DE171" s="278"/>
      <c r="DF171" s="278"/>
      <c r="DG171" s="278"/>
      <c r="DH171" s="278"/>
      <c r="DI171" s="278"/>
      <c r="DJ171" s="278"/>
      <c r="DL171" s="279"/>
      <c r="DM171" s="278"/>
      <c r="DN171" s="278"/>
      <c r="DO171" s="278"/>
      <c r="DP171" s="278"/>
      <c r="DQ171" s="278"/>
      <c r="DR171" s="278"/>
      <c r="DS171" s="278"/>
      <c r="DU171" s="279"/>
      <c r="DV171" s="278"/>
      <c r="DW171" s="278"/>
      <c r="DX171" s="278"/>
      <c r="DY171" s="278"/>
      <c r="DZ171" s="278"/>
      <c r="EA171" s="278"/>
      <c r="EB171" s="278"/>
      <c r="ED171" s="279"/>
      <c r="EE171" s="278"/>
      <c r="EF171" s="278"/>
      <c r="EG171" s="278"/>
      <c r="EH171" s="278"/>
      <c r="EI171" s="278"/>
      <c r="EJ171" s="278"/>
      <c r="EK171" s="278"/>
      <c r="EM171" s="279"/>
      <c r="EN171" s="278"/>
      <c r="EO171" s="278"/>
      <c r="EP171" s="278"/>
      <c r="EQ171" s="278"/>
      <c r="ER171" s="278"/>
      <c r="ES171" s="278"/>
      <c r="ET171" s="278"/>
      <c r="EV171" s="279"/>
      <c r="EW171" s="278"/>
      <c r="EX171" s="278"/>
    </row>
    <row r="172" spans="2:154" x14ac:dyDescent="0.2">
      <c r="B172" s="78" t="s">
        <v>154</v>
      </c>
      <c r="C172" s="142">
        <v>0.9</v>
      </c>
      <c r="D172" s="142">
        <v>1</v>
      </c>
      <c r="E172" s="142">
        <v>1.3</v>
      </c>
      <c r="F172" s="142">
        <v>1.3</v>
      </c>
      <c r="G172" s="138">
        <v>1.7</v>
      </c>
      <c r="H172" s="139">
        <v>1.5</v>
      </c>
    </row>
    <row r="173" spans="2:154" x14ac:dyDescent="0.2">
      <c r="B173" s="78" t="s">
        <v>155</v>
      </c>
      <c r="C173" s="142">
        <v>1.1000000000000001</v>
      </c>
      <c r="D173" s="142">
        <v>1.1000000000000001</v>
      </c>
      <c r="E173" s="142">
        <v>1.1000000000000001</v>
      </c>
      <c r="F173" s="142">
        <v>1.1000000000000001</v>
      </c>
      <c r="G173" s="138">
        <v>1.1000000000000001</v>
      </c>
      <c r="H173" s="139">
        <v>1.1000000000000001</v>
      </c>
    </row>
    <row r="174" spans="2:154" x14ac:dyDescent="0.2">
      <c r="B174" s="78" t="s">
        <v>200</v>
      </c>
      <c r="C174" s="253">
        <v>0.33</v>
      </c>
      <c r="D174" s="253">
        <v>0.33</v>
      </c>
      <c r="E174" s="253">
        <v>0.33</v>
      </c>
      <c r="F174" s="253">
        <v>0.33</v>
      </c>
      <c r="G174" s="126">
        <v>3.24</v>
      </c>
      <c r="H174" s="127">
        <v>0.39</v>
      </c>
    </row>
    <row r="175" spans="2:154" x14ac:dyDescent="0.2">
      <c r="B175" s="78" t="s">
        <v>157</v>
      </c>
      <c r="C175" s="253">
        <v>0.86046</v>
      </c>
      <c r="D175" s="253">
        <v>0.87809999999999999</v>
      </c>
      <c r="E175" s="253">
        <v>1.0053000000000001</v>
      </c>
      <c r="F175" s="253">
        <v>1.1960999999999999</v>
      </c>
      <c r="G175" s="126">
        <v>1.3676999999999999</v>
      </c>
      <c r="H175" s="127">
        <v>1.3494600000000001</v>
      </c>
    </row>
    <row r="176" spans="2:154" x14ac:dyDescent="0.2">
      <c r="B176" s="78"/>
      <c r="C176" s="138"/>
      <c r="D176" s="126"/>
      <c r="E176" s="126"/>
      <c r="F176" s="126"/>
      <c r="G176" s="126"/>
      <c r="H176" s="127"/>
    </row>
    <row r="177" spans="2:8" ht="15.75" x14ac:dyDescent="0.2">
      <c r="B177" s="140" t="s">
        <v>158</v>
      </c>
      <c r="C177" s="126"/>
      <c r="D177" s="126"/>
      <c r="E177" s="126"/>
      <c r="F177" s="126"/>
      <c r="G177" s="126"/>
      <c r="H177" s="127"/>
    </row>
    <row r="178" spans="2:8" x14ac:dyDescent="0.2">
      <c r="B178" s="141" t="s">
        <v>159</v>
      </c>
      <c r="C178" s="123">
        <v>350</v>
      </c>
      <c r="D178" s="123">
        <v>350</v>
      </c>
      <c r="E178" s="123">
        <v>350</v>
      </c>
      <c r="F178" s="123">
        <v>350</v>
      </c>
      <c r="G178" s="123">
        <v>350</v>
      </c>
      <c r="H178" s="124">
        <v>350</v>
      </c>
    </row>
    <row r="179" spans="2:8" x14ac:dyDescent="0.2">
      <c r="B179" s="141" t="s">
        <v>160</v>
      </c>
      <c r="C179" s="123">
        <v>9500</v>
      </c>
      <c r="D179" s="123">
        <v>9500</v>
      </c>
      <c r="E179" s="123">
        <v>9500</v>
      </c>
      <c r="F179" s="123">
        <v>9500</v>
      </c>
      <c r="G179" s="123">
        <v>9500</v>
      </c>
      <c r="H179" s="124">
        <v>9500</v>
      </c>
    </row>
    <row r="180" spans="2:8" x14ac:dyDescent="0.2">
      <c r="B180" s="141" t="s">
        <v>161</v>
      </c>
      <c r="C180" s="138">
        <v>1.5</v>
      </c>
      <c r="D180" s="138">
        <v>1.5</v>
      </c>
      <c r="E180" s="138">
        <v>1.5</v>
      </c>
      <c r="F180" s="138">
        <v>1.5</v>
      </c>
      <c r="G180" s="138">
        <v>1.5</v>
      </c>
      <c r="H180" s="139">
        <v>1.5</v>
      </c>
    </row>
    <row r="181" spans="2:8" x14ac:dyDescent="0.2">
      <c r="B181" s="141"/>
      <c r="C181" s="123"/>
      <c r="D181" s="123"/>
      <c r="E181" s="123"/>
      <c r="F181" s="138"/>
      <c r="G181" s="123"/>
      <c r="H181" s="124"/>
    </row>
    <row r="182" spans="2:8" x14ac:dyDescent="0.2">
      <c r="B182" s="85"/>
      <c r="C182" s="123"/>
      <c r="D182" s="123"/>
      <c r="E182" s="123"/>
      <c r="F182" s="123"/>
      <c r="G182" s="123"/>
      <c r="H182" s="124"/>
    </row>
    <row r="183" spans="2:8" ht="15.75" x14ac:dyDescent="0.2">
      <c r="B183" s="107" t="s">
        <v>162</v>
      </c>
      <c r="C183" s="123"/>
      <c r="D183" s="123"/>
      <c r="E183" s="123"/>
      <c r="F183" s="123"/>
      <c r="G183" s="123"/>
      <c r="H183" s="124"/>
    </row>
    <row r="184" spans="2:8" x14ac:dyDescent="0.2">
      <c r="B184" s="96" t="s">
        <v>163</v>
      </c>
      <c r="C184" s="142">
        <f>SUM(C185:C187)</f>
        <v>1.52</v>
      </c>
      <c r="D184" s="142">
        <f t="shared" ref="D184:H184" si="0">SUM(D185:D187)</f>
        <v>1.52</v>
      </c>
      <c r="E184" s="142">
        <f t="shared" si="0"/>
        <v>1.52</v>
      </c>
      <c r="F184" s="142">
        <f t="shared" si="0"/>
        <v>1.52</v>
      </c>
      <c r="G184" s="142">
        <f t="shared" si="0"/>
        <v>1.54</v>
      </c>
      <c r="H184" s="143">
        <f t="shared" si="0"/>
        <v>1.52</v>
      </c>
    </row>
    <row r="185" spans="2:8" x14ac:dyDescent="0.2">
      <c r="B185" s="144" t="s">
        <v>164</v>
      </c>
      <c r="C185" s="142">
        <v>0.04</v>
      </c>
      <c r="D185" s="142">
        <v>0.04</v>
      </c>
      <c r="E185" s="142">
        <v>0.04</v>
      </c>
      <c r="F185" s="142">
        <v>0.04</v>
      </c>
      <c r="G185" s="142">
        <v>0.06</v>
      </c>
      <c r="H185" s="143">
        <v>0.04</v>
      </c>
    </row>
    <row r="186" spans="2:8" x14ac:dyDescent="0.2">
      <c r="B186" s="144" t="s">
        <v>165</v>
      </c>
      <c r="C186" s="142">
        <v>0.57999999999999996</v>
      </c>
      <c r="D186" s="142">
        <v>0.57999999999999996</v>
      </c>
      <c r="E186" s="142">
        <v>0.57999999999999996</v>
      </c>
      <c r="F186" s="142">
        <v>0.57999999999999996</v>
      </c>
      <c r="G186" s="142">
        <v>0.56999999999999995</v>
      </c>
      <c r="H186" s="143">
        <v>0.56999999999999995</v>
      </c>
    </row>
    <row r="187" spans="2:8" x14ac:dyDescent="0.2">
      <c r="B187" s="144" t="s">
        <v>166</v>
      </c>
      <c r="C187" s="142">
        <v>0.9</v>
      </c>
      <c r="D187" s="142">
        <v>0.9</v>
      </c>
      <c r="E187" s="142">
        <v>0.9</v>
      </c>
      <c r="F187" s="142">
        <v>0.9</v>
      </c>
      <c r="G187" s="142">
        <v>0.91</v>
      </c>
      <c r="H187" s="143">
        <v>0.91</v>
      </c>
    </row>
    <row r="188" spans="2:8" x14ac:dyDescent="0.2">
      <c r="B188" s="96"/>
      <c r="C188" s="145"/>
      <c r="D188" s="145"/>
      <c r="E188" s="145"/>
      <c r="F188" s="145"/>
      <c r="G188" s="145"/>
      <c r="H188" s="146"/>
    </row>
    <row r="189" spans="2:8" ht="15.75" x14ac:dyDescent="0.2">
      <c r="B189" s="107" t="s">
        <v>167</v>
      </c>
      <c r="C189" s="123"/>
      <c r="D189" s="123"/>
      <c r="E189" s="123"/>
      <c r="F189" s="123"/>
      <c r="G189" s="123"/>
      <c r="H189" s="124"/>
    </row>
    <row r="190" spans="2:8" x14ac:dyDescent="0.2">
      <c r="B190" s="96" t="s">
        <v>163</v>
      </c>
      <c r="C190" s="142">
        <f>SUM(C191:C193)</f>
        <v>8.84</v>
      </c>
      <c r="D190" s="142">
        <f t="shared" ref="D190" si="1">SUM(D191:D193)</f>
        <v>8.84</v>
      </c>
      <c r="E190" s="142">
        <f t="shared" ref="E190" si="2">SUM(E191:E193)</f>
        <v>8.84</v>
      </c>
      <c r="F190" s="142">
        <f t="shared" ref="F190" si="3">SUM(F191:F193)</f>
        <v>8.84</v>
      </c>
      <c r="G190" s="142">
        <f t="shared" ref="G190" si="4">SUM(G191:G193)</f>
        <v>9.2099999999999991</v>
      </c>
      <c r="H190" s="143">
        <f t="shared" ref="H190" si="5">SUM(H191:H193)</f>
        <v>8.8299999999999983</v>
      </c>
    </row>
    <row r="191" spans="2:8" x14ac:dyDescent="0.2">
      <c r="B191" s="144" t="s">
        <v>164</v>
      </c>
      <c r="C191" s="142">
        <v>7.14</v>
      </c>
      <c r="D191" s="142">
        <v>7.14</v>
      </c>
      <c r="E191" s="142">
        <v>7.14</v>
      </c>
      <c r="F191" s="142">
        <v>7.14</v>
      </c>
      <c r="G191" s="142">
        <v>7.52</v>
      </c>
      <c r="H191" s="143">
        <v>7.15</v>
      </c>
    </row>
    <row r="192" spans="2:8" x14ac:dyDescent="0.2">
      <c r="B192" s="144" t="s">
        <v>165</v>
      </c>
      <c r="C192" s="142">
        <v>0.8</v>
      </c>
      <c r="D192" s="142">
        <v>0.8</v>
      </c>
      <c r="E192" s="142">
        <v>0.8</v>
      </c>
      <c r="F192" s="142">
        <v>0.8</v>
      </c>
      <c r="G192" s="142">
        <v>0.79</v>
      </c>
      <c r="H192" s="143">
        <v>0.79</v>
      </c>
    </row>
    <row r="193" spans="2:8" x14ac:dyDescent="0.2">
      <c r="B193" s="144" t="s">
        <v>166</v>
      </c>
      <c r="C193" s="142">
        <v>0.90000000000000124</v>
      </c>
      <c r="D193" s="142">
        <v>0.90000000000000124</v>
      </c>
      <c r="E193" s="142">
        <v>0.90000000000000124</v>
      </c>
      <c r="F193" s="142">
        <v>0.90000000000000124</v>
      </c>
      <c r="G193" s="142">
        <v>0.90000000000000036</v>
      </c>
      <c r="H193" s="143">
        <v>0.88999999999999879</v>
      </c>
    </row>
    <row r="194" spans="2:8" x14ac:dyDescent="0.2">
      <c r="B194" s="96"/>
      <c r="C194" s="145"/>
      <c r="D194" s="145"/>
      <c r="E194" s="145"/>
      <c r="F194" s="145"/>
      <c r="G194" s="145"/>
      <c r="H194" s="146"/>
    </row>
    <row r="195" spans="2:8" ht="15" customHeight="1" x14ac:dyDescent="0.2">
      <c r="B195" s="147" t="s">
        <v>410</v>
      </c>
      <c r="C195" s="104"/>
      <c r="D195" s="104"/>
      <c r="E195" s="104"/>
      <c r="F195" s="104"/>
      <c r="G195" s="104"/>
      <c r="H195" s="105"/>
    </row>
    <row r="196" spans="2:8" ht="15" customHeight="1" x14ac:dyDescent="0.2">
      <c r="B196" s="141" t="s">
        <v>168</v>
      </c>
      <c r="C196" s="148">
        <v>16.899999999999999</v>
      </c>
      <c r="D196" s="148">
        <v>16.899999999999999</v>
      </c>
      <c r="E196" s="148">
        <v>-16.899999999999999</v>
      </c>
      <c r="F196" s="148">
        <v>-16.899999999999999</v>
      </c>
      <c r="G196" s="148">
        <v>-20.100000000000001</v>
      </c>
      <c r="H196" s="149">
        <v>-20.100000000000001</v>
      </c>
    </row>
    <row r="197" spans="2:8" ht="15" customHeight="1" x14ac:dyDescent="0.2">
      <c r="B197" s="141" t="s">
        <v>169</v>
      </c>
      <c r="C197" s="148">
        <v>8.5</v>
      </c>
      <c r="D197" s="148">
        <v>8.5</v>
      </c>
      <c r="E197" s="148">
        <v>-8.5</v>
      </c>
      <c r="F197" s="148">
        <v>-8.5</v>
      </c>
      <c r="G197" s="148">
        <v>-8.6</v>
      </c>
      <c r="H197" s="149">
        <v>-8.6</v>
      </c>
    </row>
    <row r="198" spans="2:8" ht="15" customHeight="1" x14ac:dyDescent="0.2">
      <c r="B198" s="141"/>
      <c r="C198" s="148"/>
      <c r="D198" s="148"/>
      <c r="E198" s="148"/>
      <c r="F198" s="148"/>
      <c r="G198" s="148"/>
      <c r="H198" s="149"/>
    </row>
    <row r="199" spans="2:8" ht="15" customHeight="1" x14ac:dyDescent="0.2">
      <c r="B199" s="147" t="s">
        <v>411</v>
      </c>
      <c r="C199" s="148"/>
      <c r="D199" s="148"/>
      <c r="E199" s="148"/>
      <c r="F199" s="148"/>
      <c r="G199" s="148"/>
      <c r="H199" s="149"/>
    </row>
    <row r="200" spans="2:8" ht="15" customHeight="1" x14ac:dyDescent="0.2">
      <c r="B200" s="141" t="s">
        <v>168</v>
      </c>
      <c r="C200" s="148">
        <v>20.6</v>
      </c>
      <c r="D200" s="148">
        <v>20.6</v>
      </c>
      <c r="E200" s="148">
        <v>20.6</v>
      </c>
      <c r="F200" s="148">
        <v>-20.6</v>
      </c>
      <c r="G200" s="148">
        <v>-24</v>
      </c>
      <c r="H200" s="149">
        <v>-24</v>
      </c>
    </row>
    <row r="201" spans="2:8" ht="15" customHeight="1" x14ac:dyDescent="0.2">
      <c r="B201" s="141" t="s">
        <v>169</v>
      </c>
      <c r="C201" s="148">
        <v>1.1000000000000001</v>
      </c>
      <c r="D201" s="148">
        <v>1.1000000000000001</v>
      </c>
      <c r="E201" s="148">
        <v>1.1000000000000001</v>
      </c>
      <c r="F201" s="148">
        <v>-1.1000000000000001</v>
      </c>
      <c r="G201" s="148">
        <v>-1.3</v>
      </c>
      <c r="H201" s="149">
        <v>-1.3</v>
      </c>
    </row>
    <row r="202" spans="2:8" ht="15.75" thickBot="1" x14ac:dyDescent="0.25">
      <c r="B202" s="150"/>
      <c r="C202" s="111"/>
      <c r="D202" s="111"/>
      <c r="E202" s="111"/>
      <c r="F202" s="111"/>
      <c r="G202" s="151"/>
      <c r="H202" s="152"/>
    </row>
    <row r="203" spans="2:8" ht="17.25" thickTop="1" thickBot="1" x14ac:dyDescent="0.25">
      <c r="B203" s="95" t="s">
        <v>170</v>
      </c>
      <c r="C203" s="153"/>
      <c r="D203" s="153"/>
      <c r="E203" s="153"/>
      <c r="F203" s="153"/>
      <c r="G203" s="153"/>
      <c r="H203" s="154"/>
    </row>
    <row r="204" spans="2:8" ht="15.75" thickTop="1" x14ac:dyDescent="0.2">
      <c r="B204" s="141"/>
      <c r="C204" s="97"/>
      <c r="D204" s="97"/>
      <c r="E204" s="97"/>
      <c r="F204" s="97"/>
      <c r="G204" s="97"/>
      <c r="H204" s="98"/>
    </row>
    <row r="205" spans="2:8" x14ac:dyDescent="0.2">
      <c r="B205" s="141" t="s">
        <v>171</v>
      </c>
      <c r="C205" s="155"/>
      <c r="D205" s="155"/>
      <c r="E205" s="155"/>
      <c r="F205" s="155"/>
      <c r="G205" s="155"/>
      <c r="H205" s="156"/>
    </row>
    <row r="206" spans="2:8" ht="15.75" x14ac:dyDescent="0.2">
      <c r="B206" s="157" t="s">
        <v>172</v>
      </c>
      <c r="C206" s="158">
        <v>79.900000000000006</v>
      </c>
      <c r="D206" s="158">
        <v>79.900000000000006</v>
      </c>
      <c r="E206" s="158">
        <v>79.900000000000006</v>
      </c>
      <c r="F206" s="158">
        <v>79.900000000000006</v>
      </c>
      <c r="G206" s="158">
        <v>79.900000000000006</v>
      </c>
      <c r="H206" s="159">
        <v>79.900000000000006</v>
      </c>
    </row>
    <row r="207" spans="2:8" ht="15.75" x14ac:dyDescent="0.2">
      <c r="B207" s="125" t="s">
        <v>173</v>
      </c>
      <c r="C207" s="160">
        <v>4.5</v>
      </c>
      <c r="D207" s="160">
        <v>4.5</v>
      </c>
      <c r="E207" s="160">
        <v>4.5999999999999996</v>
      </c>
      <c r="F207" s="160">
        <v>4.5999999999999996</v>
      </c>
      <c r="G207" s="160">
        <v>4.5999999999999996</v>
      </c>
      <c r="H207" s="161">
        <v>4.5999999999999996</v>
      </c>
    </row>
    <row r="208" spans="2:8" x14ac:dyDescent="0.2">
      <c r="B208" s="157" t="s">
        <v>174</v>
      </c>
      <c r="C208" s="158">
        <v>48.6</v>
      </c>
      <c r="D208" s="158">
        <v>48.6</v>
      </c>
      <c r="E208" s="158">
        <v>48.6</v>
      </c>
      <c r="F208" s="158">
        <v>48.6</v>
      </c>
      <c r="G208" s="158">
        <v>48.6</v>
      </c>
      <c r="H208" s="159">
        <v>48.6</v>
      </c>
    </row>
    <row r="209" spans="2:8" ht="15.75" x14ac:dyDescent="0.2">
      <c r="B209" s="157" t="s">
        <v>175</v>
      </c>
      <c r="C209" s="158">
        <v>271200</v>
      </c>
      <c r="D209" s="158">
        <v>272400</v>
      </c>
      <c r="E209" s="158">
        <v>273600</v>
      </c>
      <c r="F209" s="158">
        <v>273600</v>
      </c>
      <c r="G209" s="158">
        <v>276000</v>
      </c>
      <c r="H209" s="159">
        <v>276000</v>
      </c>
    </row>
    <row r="210" spans="2:8" x14ac:dyDescent="0.2">
      <c r="B210" s="157"/>
      <c r="C210" s="162"/>
      <c r="D210" s="162"/>
      <c r="E210" s="162"/>
      <c r="F210" s="162"/>
      <c r="G210" s="162"/>
      <c r="H210" s="163"/>
    </row>
    <row r="211" spans="2:8" x14ac:dyDescent="0.2">
      <c r="B211" s="141" t="s">
        <v>176</v>
      </c>
      <c r="C211" s="162"/>
      <c r="D211" s="162"/>
      <c r="E211" s="162"/>
      <c r="F211" s="162"/>
      <c r="G211" s="162"/>
      <c r="H211" s="163"/>
    </row>
    <row r="212" spans="2:8" ht="15.75" x14ac:dyDescent="0.2">
      <c r="B212" s="157" t="s">
        <v>172</v>
      </c>
      <c r="C212" s="158">
        <v>17.8</v>
      </c>
      <c r="D212" s="158">
        <v>17.8</v>
      </c>
      <c r="E212" s="158">
        <v>17.8</v>
      </c>
      <c r="F212" s="158">
        <v>17.8</v>
      </c>
      <c r="G212" s="158">
        <v>17.8</v>
      </c>
      <c r="H212" s="159">
        <v>17.8</v>
      </c>
    </row>
    <row r="213" spans="2:8" ht="15.75" x14ac:dyDescent="0.2">
      <c r="B213" s="157" t="s">
        <v>173</v>
      </c>
      <c r="C213" s="160">
        <v>4.5</v>
      </c>
      <c r="D213" s="160">
        <v>4.5</v>
      </c>
      <c r="E213" s="160">
        <v>4.5999999999999996</v>
      </c>
      <c r="F213" s="160">
        <v>4.5999999999999996</v>
      </c>
      <c r="G213" s="160">
        <v>4.5999999999999996</v>
      </c>
      <c r="H213" s="161">
        <v>4.5999999999999996</v>
      </c>
    </row>
    <row r="214" spans="2:8" x14ac:dyDescent="0.2">
      <c r="B214" s="157" t="s">
        <v>174</v>
      </c>
      <c r="C214" s="158">
        <v>10.8</v>
      </c>
      <c r="D214" s="158">
        <v>10.8</v>
      </c>
      <c r="E214" s="158">
        <v>10.8</v>
      </c>
      <c r="F214" s="158">
        <v>10.8</v>
      </c>
      <c r="G214" s="158">
        <v>10.8</v>
      </c>
      <c r="H214" s="159">
        <v>10.8</v>
      </c>
    </row>
    <row r="215" spans="2:8" ht="15.75" x14ac:dyDescent="0.2">
      <c r="B215" s="157" t="s">
        <v>175</v>
      </c>
      <c r="C215" s="158">
        <v>271200</v>
      </c>
      <c r="D215" s="158">
        <v>272400</v>
      </c>
      <c r="E215" s="158">
        <v>273600</v>
      </c>
      <c r="F215" s="158">
        <v>273600</v>
      </c>
      <c r="G215" s="158">
        <v>276000</v>
      </c>
      <c r="H215" s="159">
        <v>276000</v>
      </c>
    </row>
    <row r="216" spans="2:8" ht="15.75" thickBot="1" x14ac:dyDescent="0.25">
      <c r="B216" s="141"/>
      <c r="C216" s="164"/>
      <c r="D216" s="164"/>
      <c r="E216" s="164"/>
      <c r="F216" s="164"/>
      <c r="G216" s="164"/>
      <c r="H216" s="165"/>
    </row>
    <row r="217" spans="2:8" ht="17.25" thickTop="1" thickBot="1" x14ac:dyDescent="0.25">
      <c r="B217" s="95" t="s">
        <v>177</v>
      </c>
      <c r="C217" s="166"/>
      <c r="D217" s="166"/>
      <c r="E217" s="166"/>
      <c r="F217" s="166"/>
      <c r="G217" s="166"/>
      <c r="H217" s="167"/>
    </row>
    <row r="218" spans="2:8" ht="15.75" thickTop="1" x14ac:dyDescent="0.2">
      <c r="B218" s="141"/>
      <c r="C218" s="168"/>
      <c r="D218" s="168"/>
      <c r="E218" s="168"/>
      <c r="F218" s="168"/>
      <c r="G218" s="168"/>
      <c r="H218" s="169"/>
    </row>
    <row r="219" spans="2:8" ht="15.75" x14ac:dyDescent="0.2">
      <c r="B219" s="141" t="s">
        <v>171</v>
      </c>
      <c r="C219" s="170"/>
      <c r="D219" s="171"/>
      <c r="E219" s="171"/>
      <c r="F219" s="171"/>
      <c r="G219" s="171"/>
      <c r="H219" s="172"/>
    </row>
    <row r="220" spans="2:8" ht="15.75" x14ac:dyDescent="0.2">
      <c r="B220" s="157" t="s">
        <v>172</v>
      </c>
      <c r="C220" s="158">
        <v>430</v>
      </c>
      <c r="D220" s="158">
        <v>430</v>
      </c>
      <c r="E220" s="158">
        <v>430</v>
      </c>
      <c r="F220" s="158">
        <v>430</v>
      </c>
      <c r="G220" s="158">
        <v>430</v>
      </c>
      <c r="H220" s="159">
        <v>430</v>
      </c>
    </row>
    <row r="221" spans="2:8" ht="15.75" x14ac:dyDescent="0.2">
      <c r="B221" s="125" t="s">
        <v>173</v>
      </c>
      <c r="C221" s="160">
        <v>3.4</v>
      </c>
      <c r="D221" s="160">
        <v>3.5</v>
      </c>
      <c r="E221" s="160">
        <v>3.5</v>
      </c>
      <c r="F221" s="160">
        <v>3.5</v>
      </c>
      <c r="G221" s="160">
        <v>3.5</v>
      </c>
      <c r="H221" s="161">
        <v>3.5</v>
      </c>
    </row>
    <row r="222" spans="2:8" ht="18.600000000000001" customHeight="1" x14ac:dyDescent="0.2">
      <c r="B222" s="157" t="s">
        <v>174</v>
      </c>
      <c r="C222" s="158">
        <v>84.3</v>
      </c>
      <c r="D222" s="158">
        <v>84.3</v>
      </c>
      <c r="E222" s="158">
        <v>84.3</v>
      </c>
      <c r="F222" s="158">
        <v>84.3</v>
      </c>
      <c r="G222" s="158">
        <v>84.3</v>
      </c>
      <c r="H222" s="159">
        <v>84.3</v>
      </c>
    </row>
    <row r="223" spans="2:8" ht="15.75" x14ac:dyDescent="0.2">
      <c r="B223" s="157" t="s">
        <v>175</v>
      </c>
      <c r="C223" s="158">
        <v>361600</v>
      </c>
      <c r="D223" s="158">
        <v>363200</v>
      </c>
      <c r="E223" s="158">
        <v>364800</v>
      </c>
      <c r="F223" s="158">
        <v>364800</v>
      </c>
      <c r="G223" s="158">
        <v>368000</v>
      </c>
      <c r="H223" s="159">
        <v>368000</v>
      </c>
    </row>
    <row r="224" spans="2:8" x14ac:dyDescent="0.2">
      <c r="B224" s="157"/>
      <c r="C224" s="158"/>
      <c r="D224" s="158"/>
      <c r="E224" s="158"/>
      <c r="F224" s="158"/>
      <c r="G224" s="158"/>
      <c r="H224" s="159"/>
    </row>
    <row r="225" spans="2:9" x14ac:dyDescent="0.2">
      <c r="B225" s="141" t="s">
        <v>176</v>
      </c>
      <c r="C225" s="162"/>
      <c r="D225" s="162"/>
      <c r="E225" s="162"/>
      <c r="F225" s="162"/>
      <c r="G225" s="162"/>
      <c r="H225" s="163"/>
    </row>
    <row r="226" spans="2:9" ht="15.75" x14ac:dyDescent="0.2">
      <c r="B226" s="157" t="s">
        <v>172</v>
      </c>
      <c r="C226" s="158">
        <v>64.5</v>
      </c>
      <c r="D226" s="158">
        <v>64.5</v>
      </c>
      <c r="E226" s="158">
        <v>64.5</v>
      </c>
      <c r="F226" s="158">
        <v>64.5</v>
      </c>
      <c r="G226" s="158">
        <v>64.5</v>
      </c>
      <c r="H226" s="159">
        <v>64.5</v>
      </c>
    </row>
    <row r="227" spans="2:9" ht="15.75" x14ac:dyDescent="0.2">
      <c r="B227" s="157" t="s">
        <v>173</v>
      </c>
      <c r="C227" s="160">
        <v>3.4</v>
      </c>
      <c r="D227" s="160">
        <v>3.5</v>
      </c>
      <c r="E227" s="160">
        <v>3.5</v>
      </c>
      <c r="F227" s="160">
        <v>3.5</v>
      </c>
      <c r="G227" s="160">
        <v>3.5</v>
      </c>
      <c r="H227" s="161">
        <v>3.5</v>
      </c>
    </row>
    <row r="228" spans="2:9" x14ac:dyDescent="0.2">
      <c r="B228" s="157" t="s">
        <v>174</v>
      </c>
      <c r="C228" s="158">
        <v>14.3</v>
      </c>
      <c r="D228" s="158">
        <v>14.3</v>
      </c>
      <c r="E228" s="158">
        <v>14.3</v>
      </c>
      <c r="F228" s="158">
        <v>14.3</v>
      </c>
      <c r="G228" s="158">
        <v>14.3</v>
      </c>
      <c r="H228" s="159">
        <v>14.3</v>
      </c>
    </row>
    <row r="229" spans="2:9" ht="15.75" x14ac:dyDescent="0.2">
      <c r="B229" s="157" t="s">
        <v>175</v>
      </c>
      <c r="C229" s="158">
        <v>361600</v>
      </c>
      <c r="D229" s="158">
        <v>363200</v>
      </c>
      <c r="E229" s="158">
        <v>364800</v>
      </c>
      <c r="F229" s="158">
        <v>364800</v>
      </c>
      <c r="G229" s="158">
        <v>368000</v>
      </c>
      <c r="H229" s="159">
        <v>368000</v>
      </c>
    </row>
    <row r="230" spans="2:9" ht="15.75" thickBot="1" x14ac:dyDescent="0.25">
      <c r="B230" s="173"/>
      <c r="C230" s="174"/>
      <c r="D230" s="174"/>
      <c r="E230" s="174"/>
      <c r="F230" s="174"/>
      <c r="G230" s="174"/>
      <c r="H230" s="175"/>
    </row>
    <row r="231" spans="2:9" ht="16.5" thickTop="1" x14ac:dyDescent="0.2">
      <c r="B231" s="176" t="s">
        <v>178</v>
      </c>
      <c r="C231" s="177"/>
      <c r="D231" s="177"/>
      <c r="E231" s="177"/>
      <c r="F231" s="177"/>
      <c r="G231" s="177"/>
      <c r="H231" s="178"/>
    </row>
    <row r="232" spans="2:9" s="179" customFormat="1" x14ac:dyDescent="0.2">
      <c r="B232" s="78" t="s">
        <v>412</v>
      </c>
      <c r="C232" s="180"/>
      <c r="D232" s="180"/>
      <c r="E232" s="180"/>
      <c r="F232" s="180"/>
      <c r="G232" s="180"/>
      <c r="H232" s="181"/>
      <c r="I232" s="289"/>
    </row>
    <row r="233" spans="2:9" s="179" customFormat="1" x14ac:dyDescent="0.2">
      <c r="B233" s="78" t="s">
        <v>179</v>
      </c>
      <c r="C233" s="180"/>
      <c r="D233" s="180"/>
      <c r="E233" s="180"/>
      <c r="F233" s="180"/>
      <c r="G233" s="180"/>
      <c r="H233" s="181"/>
      <c r="I233" s="289"/>
    </row>
    <row r="234" spans="2:9" s="179" customFormat="1" ht="15" customHeight="1" x14ac:dyDescent="0.2">
      <c r="B234" s="182" t="s">
        <v>180</v>
      </c>
      <c r="C234" s="183"/>
      <c r="D234" s="183"/>
      <c r="E234" s="183"/>
      <c r="F234" s="183"/>
      <c r="G234" s="183"/>
      <c r="H234" s="184"/>
      <c r="I234" s="289"/>
    </row>
    <row r="235" spans="2:9" s="179" customFormat="1" ht="15" customHeight="1" x14ac:dyDescent="0.2">
      <c r="B235" s="182" t="s">
        <v>181</v>
      </c>
      <c r="C235" s="183"/>
      <c r="D235" s="183"/>
      <c r="E235" s="183"/>
      <c r="F235" s="183"/>
      <c r="G235" s="183"/>
      <c r="H235" s="184"/>
      <c r="I235" s="289"/>
    </row>
    <row r="236" spans="2:9" s="179" customFormat="1" ht="15" hidden="1" customHeight="1" x14ac:dyDescent="0.2">
      <c r="B236" s="185"/>
      <c r="C236" s="183"/>
      <c r="D236" s="183"/>
      <c r="E236" s="183"/>
      <c r="F236" s="183"/>
      <c r="G236" s="183"/>
      <c r="H236" s="184"/>
      <c r="I236" s="289"/>
    </row>
    <row r="237" spans="2:9" s="179" customFormat="1" x14ac:dyDescent="0.2">
      <c r="B237" s="78" t="s">
        <v>182</v>
      </c>
      <c r="C237" s="180"/>
      <c r="D237" s="180"/>
      <c r="E237" s="180"/>
      <c r="F237" s="180"/>
      <c r="G237" s="180"/>
      <c r="H237" s="181"/>
      <c r="I237" s="289"/>
    </row>
    <row r="238" spans="2:9" s="179" customFormat="1" x14ac:dyDescent="0.2">
      <c r="B238" s="78" t="s">
        <v>183</v>
      </c>
      <c r="C238" s="180"/>
      <c r="D238" s="180"/>
      <c r="E238" s="180"/>
      <c r="F238" s="180"/>
      <c r="G238" s="180"/>
      <c r="H238" s="181"/>
      <c r="I238" s="289"/>
    </row>
    <row r="239" spans="2:9" s="179" customFormat="1" x14ac:dyDescent="0.2">
      <c r="B239" s="78" t="s">
        <v>184</v>
      </c>
      <c r="C239" s="180"/>
      <c r="D239" s="180"/>
      <c r="E239" s="180"/>
      <c r="F239" s="180"/>
      <c r="G239" s="180"/>
      <c r="H239" s="181"/>
      <c r="I239" s="289"/>
    </row>
    <row r="240" spans="2:9" s="179" customFormat="1" ht="15" customHeight="1" x14ac:dyDescent="0.2">
      <c r="B240" s="182" t="s">
        <v>185</v>
      </c>
      <c r="C240" s="183"/>
      <c r="D240" s="183"/>
      <c r="E240" s="183"/>
      <c r="F240" s="183"/>
      <c r="G240" s="183"/>
      <c r="H240" s="184"/>
      <c r="I240" s="289"/>
    </row>
    <row r="241" spans="2:9" s="179" customFormat="1" x14ac:dyDescent="0.2">
      <c r="B241" s="78" t="s">
        <v>186</v>
      </c>
      <c r="C241" s="183"/>
      <c r="D241" s="183"/>
      <c r="E241" s="183"/>
      <c r="F241" s="183"/>
      <c r="G241" s="183"/>
      <c r="H241" s="184"/>
      <c r="I241" s="289"/>
    </row>
    <row r="242" spans="2:9" s="179" customFormat="1" x14ac:dyDescent="0.2">
      <c r="B242" s="78" t="s">
        <v>187</v>
      </c>
      <c r="C242" s="180"/>
      <c r="D242" s="180"/>
      <c r="E242" s="180"/>
      <c r="F242" s="180"/>
      <c r="G242" s="180"/>
      <c r="H242" s="181"/>
      <c r="I242" s="289"/>
    </row>
    <row r="243" spans="2:9" s="179" customFormat="1" x14ac:dyDescent="0.2">
      <c r="B243" s="78" t="s">
        <v>413</v>
      </c>
      <c r="C243" s="180"/>
      <c r="D243" s="180"/>
      <c r="E243" s="180"/>
      <c r="F243" s="180"/>
      <c r="G243" s="180"/>
      <c r="H243" s="181"/>
      <c r="I243" s="289"/>
    </row>
    <row r="244" spans="2:9" s="179" customFormat="1" x14ac:dyDescent="0.2">
      <c r="B244" s="78" t="s">
        <v>188</v>
      </c>
      <c r="C244" s="180"/>
      <c r="D244" s="180"/>
      <c r="E244" s="180"/>
      <c r="F244" s="180"/>
      <c r="G244" s="180"/>
      <c r="H244" s="181"/>
      <c r="I244" s="289"/>
    </row>
    <row r="245" spans="2:9" s="179" customFormat="1" x14ac:dyDescent="0.2">
      <c r="B245" s="78" t="s">
        <v>189</v>
      </c>
      <c r="C245" s="180"/>
      <c r="D245" s="180"/>
      <c r="E245" s="180"/>
      <c r="F245" s="180"/>
      <c r="G245" s="180"/>
      <c r="H245" s="181"/>
      <c r="I245" s="289"/>
    </row>
    <row r="246" spans="2:9" ht="15.75" thickBot="1" x14ac:dyDescent="0.25">
      <c r="B246" s="110"/>
      <c r="C246" s="186"/>
      <c r="D246" s="186"/>
      <c r="E246" s="186"/>
      <c r="F246" s="186"/>
      <c r="G246" s="186"/>
      <c r="H246" s="187"/>
    </row>
    <row r="247" spans="2:9" ht="15.75" thickTop="1" x14ac:dyDescent="0.2"/>
  </sheetData>
  <mergeCells count="4">
    <mergeCell ref="B2:H2"/>
    <mergeCell ref="B3:H3"/>
    <mergeCell ref="B4:H4"/>
    <mergeCell ref="B5:H5"/>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Y247"/>
  <sheetViews>
    <sheetView zoomScale="70" zoomScaleNormal="70" workbookViewId="0"/>
  </sheetViews>
  <sheetFormatPr defaultColWidth="10.6640625" defaultRowHeight="15" x14ac:dyDescent="0.2"/>
  <cols>
    <col min="1" max="1" width="14.83203125" style="61" customWidth="1"/>
    <col min="2" max="2" width="62.1640625" style="61" customWidth="1"/>
    <col min="3" max="8" width="30" style="188" customWidth="1"/>
    <col min="9" max="16384" width="10.6640625" style="61"/>
  </cols>
  <sheetData>
    <row r="1" spans="2:8" ht="16.5" thickBot="1" x14ac:dyDescent="0.25">
      <c r="B1" s="62"/>
      <c r="C1" s="63"/>
      <c r="D1" s="63"/>
      <c r="E1" s="63"/>
      <c r="F1" s="63"/>
      <c r="G1" s="64"/>
      <c r="H1" s="63"/>
    </row>
    <row r="2" spans="2:8" ht="16.5" thickTop="1" x14ac:dyDescent="0.2">
      <c r="B2" s="307" t="s">
        <v>74</v>
      </c>
      <c r="C2" s="308"/>
      <c r="D2" s="308"/>
      <c r="E2" s="308"/>
      <c r="F2" s="308"/>
      <c r="G2" s="308"/>
      <c r="H2" s="309"/>
    </row>
    <row r="3" spans="2:8" ht="15.75" x14ac:dyDescent="0.2">
      <c r="B3" s="310" t="s">
        <v>75</v>
      </c>
      <c r="C3" s="311"/>
      <c r="D3" s="311"/>
      <c r="E3" s="311"/>
      <c r="F3" s="311"/>
      <c r="G3" s="311"/>
      <c r="H3" s="312"/>
    </row>
    <row r="4" spans="2:8" ht="15.75" x14ac:dyDescent="0.2">
      <c r="B4" s="313" t="s">
        <v>76</v>
      </c>
      <c r="C4" s="314"/>
      <c r="D4" s="314"/>
      <c r="E4" s="314"/>
      <c r="F4" s="314"/>
      <c r="G4" s="314"/>
      <c r="H4" s="315"/>
    </row>
    <row r="5" spans="2:8" ht="16.5" thickBot="1" x14ac:dyDescent="0.25">
      <c r="B5" s="316" t="s">
        <v>439</v>
      </c>
      <c r="C5" s="317"/>
      <c r="D5" s="317"/>
      <c r="E5" s="317"/>
      <c r="F5" s="317"/>
      <c r="G5" s="317"/>
      <c r="H5" s="318"/>
    </row>
    <row r="6" spans="2:8" ht="48.6" customHeight="1" thickTop="1" thickBot="1" x14ac:dyDescent="0.25">
      <c r="B6" s="65" t="s">
        <v>77</v>
      </c>
      <c r="C6" s="66" t="s">
        <v>63</v>
      </c>
      <c r="D6" s="66" t="s">
        <v>62</v>
      </c>
      <c r="E6" s="66" t="s">
        <v>60</v>
      </c>
      <c r="F6" s="66" t="s">
        <v>61</v>
      </c>
      <c r="G6" s="66" t="s">
        <v>59</v>
      </c>
      <c r="H6" s="67" t="s">
        <v>58</v>
      </c>
    </row>
    <row r="7" spans="2:8" ht="15.6" customHeight="1" thickTop="1" thickBot="1" x14ac:dyDescent="0.25">
      <c r="B7" s="68" t="s">
        <v>78</v>
      </c>
      <c r="C7" s="69"/>
      <c r="D7" s="69"/>
      <c r="E7" s="69"/>
      <c r="F7" s="69"/>
      <c r="G7" s="70"/>
      <c r="H7" s="71"/>
    </row>
    <row r="8" spans="2:8" ht="15.75" thickTop="1" x14ac:dyDescent="0.2">
      <c r="B8" s="72" t="s">
        <v>79</v>
      </c>
      <c r="C8" s="73">
        <v>1</v>
      </c>
      <c r="D8" s="73">
        <v>1</v>
      </c>
      <c r="E8" s="73">
        <v>1</v>
      </c>
      <c r="F8" s="73">
        <v>1</v>
      </c>
      <c r="G8" s="73">
        <v>1</v>
      </c>
      <c r="H8" s="74">
        <v>1</v>
      </c>
    </row>
    <row r="9" spans="2:8" x14ac:dyDescent="0.2">
      <c r="B9" s="75" t="s">
        <v>80</v>
      </c>
      <c r="C9" s="76" t="s">
        <v>81</v>
      </c>
      <c r="D9" s="76" t="s">
        <v>81</v>
      </c>
      <c r="E9" s="76" t="s">
        <v>81</v>
      </c>
      <c r="F9" s="76" t="s">
        <v>81</v>
      </c>
      <c r="G9" s="76" t="s">
        <v>81</v>
      </c>
      <c r="H9" s="77" t="s">
        <v>81</v>
      </c>
    </row>
    <row r="10" spans="2:8" ht="15" customHeight="1" x14ac:dyDescent="0.2">
      <c r="B10" s="78" t="s">
        <v>82</v>
      </c>
      <c r="C10" s="79" t="s">
        <v>83</v>
      </c>
      <c r="D10" s="79" t="s">
        <v>83</v>
      </c>
      <c r="E10" s="79" t="s">
        <v>83</v>
      </c>
      <c r="F10" s="79" t="s">
        <v>83</v>
      </c>
      <c r="G10" s="79" t="s">
        <v>83</v>
      </c>
      <c r="H10" s="80" t="s">
        <v>83</v>
      </c>
    </row>
    <row r="11" spans="2:8" ht="15" customHeight="1" x14ac:dyDescent="0.2">
      <c r="B11" s="78" t="s">
        <v>84</v>
      </c>
      <c r="C11" s="79" t="s">
        <v>85</v>
      </c>
      <c r="D11" s="79" t="s">
        <v>85</v>
      </c>
      <c r="E11" s="79" t="s">
        <v>85</v>
      </c>
      <c r="F11" s="79" t="s">
        <v>85</v>
      </c>
      <c r="G11" s="79" t="s">
        <v>85</v>
      </c>
      <c r="H11" s="80" t="s">
        <v>85</v>
      </c>
    </row>
    <row r="12" spans="2:8" ht="15" customHeight="1" x14ac:dyDescent="0.2">
      <c r="B12" s="78" t="s">
        <v>86</v>
      </c>
      <c r="C12" s="79">
        <v>45</v>
      </c>
      <c r="D12" s="79">
        <v>45</v>
      </c>
      <c r="E12" s="79">
        <v>45</v>
      </c>
      <c r="F12" s="79">
        <v>45</v>
      </c>
      <c r="G12" s="79">
        <v>45</v>
      </c>
      <c r="H12" s="80">
        <v>45</v>
      </c>
    </row>
    <row r="13" spans="2:8" x14ac:dyDescent="0.2">
      <c r="B13" s="78"/>
      <c r="C13" s="81"/>
      <c r="D13" s="81"/>
      <c r="E13" s="81"/>
      <c r="F13" s="81"/>
      <c r="G13" s="81"/>
      <c r="H13" s="82"/>
    </row>
    <row r="14" spans="2:8" x14ac:dyDescent="0.2">
      <c r="B14" s="78"/>
      <c r="C14" s="79"/>
      <c r="D14" s="79"/>
      <c r="E14" s="79"/>
      <c r="F14" s="79"/>
      <c r="G14" s="79"/>
      <c r="H14" s="80"/>
    </row>
    <row r="15" spans="2:8" x14ac:dyDescent="0.2">
      <c r="B15" s="78"/>
      <c r="C15" s="83"/>
      <c r="D15" s="83"/>
      <c r="E15" s="83"/>
      <c r="F15" s="83"/>
      <c r="G15" s="83"/>
      <c r="H15" s="84"/>
    </row>
    <row r="16" spans="2:8" x14ac:dyDescent="0.2">
      <c r="B16" s="85" t="s">
        <v>87</v>
      </c>
      <c r="C16" s="83">
        <v>4.3400000000000001E-2</v>
      </c>
      <c r="D16" s="83">
        <v>4.3400000000000001E-2</v>
      </c>
      <c r="E16" s="83">
        <v>4.3400000000000001E-2</v>
      </c>
      <c r="F16" s="83">
        <v>4.3400000000000001E-2</v>
      </c>
      <c r="G16" s="83">
        <v>4.3400000000000001E-2</v>
      </c>
      <c r="H16" s="84">
        <v>4.3400000000000001E-2</v>
      </c>
    </row>
    <row r="17" spans="2:8" x14ac:dyDescent="0.2">
      <c r="B17" s="85"/>
      <c r="C17" s="83"/>
      <c r="D17" s="83"/>
      <c r="E17" s="83"/>
      <c r="F17" s="83"/>
      <c r="G17" s="83"/>
      <c r="H17" s="84"/>
    </row>
    <row r="18" spans="2:8" x14ac:dyDescent="0.2">
      <c r="B18" s="85" t="s">
        <v>88</v>
      </c>
      <c r="C18" s="86">
        <v>15</v>
      </c>
      <c r="D18" s="86">
        <v>15</v>
      </c>
      <c r="E18" s="86">
        <v>15</v>
      </c>
      <c r="F18" s="86">
        <v>15</v>
      </c>
      <c r="G18" s="86">
        <v>12</v>
      </c>
      <c r="H18" s="87">
        <v>15</v>
      </c>
    </row>
    <row r="19" spans="2:8" ht="15" customHeight="1" x14ac:dyDescent="0.2">
      <c r="B19" s="78" t="s">
        <v>89</v>
      </c>
      <c r="C19" s="88" t="s">
        <v>408</v>
      </c>
      <c r="D19" s="88" t="s">
        <v>408</v>
      </c>
      <c r="E19" s="88" t="s">
        <v>90</v>
      </c>
      <c r="F19" s="88" t="s">
        <v>90</v>
      </c>
      <c r="G19" s="88" t="s">
        <v>90</v>
      </c>
      <c r="H19" s="89" t="s">
        <v>90</v>
      </c>
    </row>
    <row r="20" spans="2:8" ht="15" customHeight="1" x14ac:dyDescent="0.2">
      <c r="B20" s="78" t="s">
        <v>91</v>
      </c>
      <c r="C20" s="88" t="s">
        <v>92</v>
      </c>
      <c r="D20" s="88" t="s">
        <v>92</v>
      </c>
      <c r="E20" s="88" t="s">
        <v>92</v>
      </c>
      <c r="F20" s="88" t="s">
        <v>92</v>
      </c>
      <c r="G20" s="88" t="s">
        <v>92</v>
      </c>
      <c r="H20" s="89" t="s">
        <v>92</v>
      </c>
    </row>
    <row r="21" spans="2:8" ht="15" customHeight="1" x14ac:dyDescent="0.2">
      <c r="B21" s="75" t="s">
        <v>93</v>
      </c>
      <c r="C21" s="90" t="s">
        <v>94</v>
      </c>
      <c r="D21" s="90" t="s">
        <v>94</v>
      </c>
      <c r="E21" s="90" t="s">
        <v>94</v>
      </c>
      <c r="F21" s="90" t="s">
        <v>94</v>
      </c>
      <c r="G21" s="90" t="s">
        <v>94</v>
      </c>
      <c r="H21" s="91" t="s">
        <v>94</v>
      </c>
    </row>
    <row r="22" spans="2:8" ht="33" customHeight="1" x14ac:dyDescent="0.2">
      <c r="B22" s="85" t="s">
        <v>95</v>
      </c>
      <c r="C22" s="88" t="s">
        <v>344</v>
      </c>
      <c r="D22" s="88" t="s">
        <v>344</v>
      </c>
      <c r="E22" s="88" t="s">
        <v>344</v>
      </c>
      <c r="F22" s="88" t="s">
        <v>344</v>
      </c>
      <c r="G22" s="88" t="s">
        <v>344</v>
      </c>
      <c r="H22" s="89" t="s">
        <v>344</v>
      </c>
    </row>
    <row r="23" spans="2:8" ht="15" customHeight="1" x14ac:dyDescent="0.2">
      <c r="B23" s="85" t="s">
        <v>97</v>
      </c>
      <c r="C23" s="88" t="s">
        <v>98</v>
      </c>
      <c r="D23" s="88" t="s">
        <v>98</v>
      </c>
      <c r="E23" s="88" t="s">
        <v>98</v>
      </c>
      <c r="F23" s="88" t="s">
        <v>98</v>
      </c>
      <c r="G23" s="88" t="s">
        <v>98</v>
      </c>
      <c r="H23" s="89" t="s">
        <v>98</v>
      </c>
    </row>
    <row r="24" spans="2:8" ht="15" customHeight="1" x14ac:dyDescent="0.2">
      <c r="B24" s="75" t="s">
        <v>99</v>
      </c>
      <c r="C24" s="90" t="s">
        <v>100</v>
      </c>
      <c r="D24" s="90" t="s">
        <v>100</v>
      </c>
      <c r="E24" s="90" t="s">
        <v>100</v>
      </c>
      <c r="F24" s="90" t="s">
        <v>100</v>
      </c>
      <c r="G24" s="90" t="s">
        <v>100</v>
      </c>
      <c r="H24" s="91" t="s">
        <v>100</v>
      </c>
    </row>
    <row r="25" spans="2:8" x14ac:dyDescent="0.2">
      <c r="B25" s="75" t="s">
        <v>101</v>
      </c>
      <c r="C25" s="92">
        <v>345</v>
      </c>
      <c r="D25" s="92">
        <v>345</v>
      </c>
      <c r="E25" s="92">
        <v>345</v>
      </c>
      <c r="F25" s="92">
        <v>345</v>
      </c>
      <c r="G25" s="92">
        <v>345</v>
      </c>
      <c r="H25" s="93">
        <v>138</v>
      </c>
    </row>
    <row r="26" spans="2:8" ht="15" customHeight="1" x14ac:dyDescent="0.2">
      <c r="B26" s="75" t="s">
        <v>102</v>
      </c>
      <c r="C26" s="90" t="s">
        <v>103</v>
      </c>
      <c r="D26" s="90" t="s">
        <v>103</v>
      </c>
      <c r="E26" s="90" t="s">
        <v>103</v>
      </c>
      <c r="F26" s="90" t="s">
        <v>103</v>
      </c>
      <c r="G26" s="90" t="s">
        <v>103</v>
      </c>
      <c r="H26" s="91" t="s">
        <v>103</v>
      </c>
    </row>
    <row r="27" spans="2:8" ht="15" customHeight="1" x14ac:dyDescent="0.2">
      <c r="B27" s="75" t="s">
        <v>104</v>
      </c>
      <c r="C27" s="79">
        <v>3</v>
      </c>
      <c r="D27" s="79">
        <v>3</v>
      </c>
      <c r="E27" s="79">
        <v>3</v>
      </c>
      <c r="F27" s="79">
        <v>3</v>
      </c>
      <c r="G27" s="79">
        <v>3</v>
      </c>
      <c r="H27" s="80">
        <v>3</v>
      </c>
    </row>
    <row r="28" spans="2:8" ht="15.75" thickBot="1" x14ac:dyDescent="0.25">
      <c r="B28" s="94"/>
      <c r="C28" s="70"/>
      <c r="D28" s="70"/>
      <c r="E28" s="70"/>
      <c r="F28" s="70"/>
      <c r="G28" s="70"/>
      <c r="H28" s="71"/>
    </row>
    <row r="29" spans="2:8" ht="17.25" thickTop="1" thickBot="1" x14ac:dyDescent="0.25">
      <c r="B29" s="95" t="s">
        <v>105</v>
      </c>
      <c r="C29" s="70"/>
      <c r="D29" s="70"/>
      <c r="E29" s="70"/>
      <c r="F29" s="70"/>
      <c r="G29" s="70"/>
      <c r="H29" s="71"/>
    </row>
    <row r="30" spans="2:8" ht="15.75" thickTop="1" x14ac:dyDescent="0.2">
      <c r="B30" s="96"/>
      <c r="C30" s="97"/>
      <c r="D30" s="97"/>
      <c r="E30" s="97"/>
      <c r="F30" s="97"/>
      <c r="G30" s="97"/>
      <c r="H30" s="98"/>
    </row>
    <row r="31" spans="2:8" x14ac:dyDescent="0.2">
      <c r="B31" s="78" t="s">
        <v>106</v>
      </c>
      <c r="C31" s="99"/>
      <c r="D31" s="99"/>
      <c r="E31" s="99"/>
      <c r="F31" s="99"/>
      <c r="G31" s="99"/>
      <c r="H31" s="100"/>
    </row>
    <row r="32" spans="2:8" x14ac:dyDescent="0.2">
      <c r="B32" s="101" t="s">
        <v>107</v>
      </c>
      <c r="C32" s="102">
        <v>64.39</v>
      </c>
      <c r="D32" s="102">
        <v>65.459999999999994</v>
      </c>
      <c r="E32" s="102">
        <v>67.14</v>
      </c>
      <c r="F32" s="102">
        <v>67.14</v>
      </c>
      <c r="G32" s="102">
        <v>70.709999999999994</v>
      </c>
      <c r="H32" s="103">
        <v>67.8</v>
      </c>
    </row>
    <row r="33" spans="2:8" x14ac:dyDescent="0.2">
      <c r="B33" s="101" t="s">
        <v>108</v>
      </c>
      <c r="C33" s="104">
        <v>0.76019999999999999</v>
      </c>
      <c r="D33" s="104">
        <v>0.69099999999999995</v>
      </c>
      <c r="E33" s="104">
        <v>0.77210000000000012</v>
      </c>
      <c r="F33" s="104">
        <v>0.77210000000000012</v>
      </c>
      <c r="G33" s="104">
        <v>0.66439999999999999</v>
      </c>
      <c r="H33" s="105">
        <v>0.77300000000000002</v>
      </c>
    </row>
    <row r="34" spans="2:8" x14ac:dyDescent="0.2">
      <c r="B34" s="101" t="s">
        <v>65</v>
      </c>
      <c r="C34" s="99">
        <v>355600</v>
      </c>
      <c r="D34" s="99">
        <v>357700</v>
      </c>
      <c r="E34" s="99">
        <v>357400</v>
      </c>
      <c r="F34" s="99">
        <v>357400</v>
      </c>
      <c r="G34" s="99">
        <v>358700</v>
      </c>
      <c r="H34" s="100">
        <v>359000</v>
      </c>
    </row>
    <row r="35" spans="2:8" x14ac:dyDescent="0.2">
      <c r="B35" s="101" t="s">
        <v>69</v>
      </c>
      <c r="C35" s="99">
        <v>9350</v>
      </c>
      <c r="D35" s="99">
        <v>9350</v>
      </c>
      <c r="E35" s="99">
        <v>9360</v>
      </c>
      <c r="F35" s="99">
        <v>9360</v>
      </c>
      <c r="G35" s="99">
        <v>9370</v>
      </c>
      <c r="H35" s="100">
        <v>9370</v>
      </c>
    </row>
    <row r="36" spans="2:8" x14ac:dyDescent="0.2">
      <c r="B36" s="101" t="s">
        <v>109</v>
      </c>
      <c r="C36" s="99">
        <v>3320</v>
      </c>
      <c r="D36" s="99">
        <v>3340</v>
      </c>
      <c r="E36" s="99">
        <v>3350</v>
      </c>
      <c r="F36" s="99">
        <v>3350</v>
      </c>
      <c r="G36" s="99">
        <v>3360</v>
      </c>
      <c r="H36" s="100">
        <v>3360</v>
      </c>
    </row>
    <row r="37" spans="2:8" ht="15" customHeight="1" x14ac:dyDescent="0.2">
      <c r="B37" s="78"/>
      <c r="C37" s="99"/>
      <c r="D37" s="99"/>
      <c r="E37" s="99"/>
      <c r="F37" s="99"/>
      <c r="G37" s="99"/>
      <c r="H37" s="100"/>
    </row>
    <row r="38" spans="2:8" x14ac:dyDescent="0.2">
      <c r="B38" s="101" t="s">
        <v>110</v>
      </c>
      <c r="C38" s="99">
        <v>141100</v>
      </c>
      <c r="D38" s="99">
        <v>141600</v>
      </c>
      <c r="E38" s="99">
        <v>141900</v>
      </c>
      <c r="F38" s="99">
        <v>141900</v>
      </c>
      <c r="G38" s="99">
        <v>141700</v>
      </c>
      <c r="H38" s="100">
        <v>142500</v>
      </c>
    </row>
    <row r="39" spans="2:8" x14ac:dyDescent="0.2">
      <c r="B39" s="101" t="s">
        <v>111</v>
      </c>
      <c r="C39" s="99">
        <v>11940</v>
      </c>
      <c r="D39" s="99">
        <v>11940</v>
      </c>
      <c r="E39" s="99">
        <v>11950</v>
      </c>
      <c r="F39" s="99">
        <v>11950</v>
      </c>
      <c r="G39" s="99">
        <v>11970</v>
      </c>
      <c r="H39" s="100">
        <v>11960</v>
      </c>
    </row>
    <row r="40" spans="2:8" x14ac:dyDescent="0.2">
      <c r="B40" s="101" t="s">
        <v>112</v>
      </c>
      <c r="C40" s="99">
        <v>1690</v>
      </c>
      <c r="D40" s="99">
        <v>1690</v>
      </c>
      <c r="E40" s="99">
        <v>1700</v>
      </c>
      <c r="F40" s="99">
        <v>1700</v>
      </c>
      <c r="G40" s="99">
        <v>1700</v>
      </c>
      <c r="H40" s="100">
        <v>1700</v>
      </c>
    </row>
    <row r="41" spans="2:8" x14ac:dyDescent="0.2">
      <c r="B41" s="78"/>
      <c r="C41" s="99"/>
      <c r="D41" s="99"/>
      <c r="E41" s="99"/>
      <c r="F41" s="99"/>
      <c r="G41" s="99"/>
      <c r="H41" s="100"/>
    </row>
    <row r="42" spans="2:8" x14ac:dyDescent="0.2">
      <c r="B42" s="78"/>
      <c r="C42" s="99"/>
      <c r="D42" s="99"/>
      <c r="E42" s="99"/>
      <c r="F42" s="99"/>
      <c r="G42" s="99"/>
      <c r="H42" s="106"/>
    </row>
    <row r="43" spans="2:8" x14ac:dyDescent="0.2">
      <c r="B43" s="78" t="s">
        <v>113</v>
      </c>
      <c r="C43" s="99"/>
      <c r="D43" s="99"/>
      <c r="E43" s="99"/>
      <c r="F43" s="99"/>
      <c r="G43" s="99"/>
      <c r="H43" s="100"/>
    </row>
    <row r="44" spans="2:8" x14ac:dyDescent="0.2">
      <c r="B44" s="101" t="s">
        <v>107</v>
      </c>
      <c r="C44" s="102">
        <v>31.96</v>
      </c>
      <c r="D44" s="102">
        <v>33.130000000000003</v>
      </c>
      <c r="E44" s="102">
        <v>36.049999999999997</v>
      </c>
      <c r="F44" s="102">
        <v>36.049999999999997</v>
      </c>
      <c r="G44" s="102">
        <v>41.19</v>
      </c>
      <c r="H44" s="103">
        <v>39.5</v>
      </c>
    </row>
    <row r="45" spans="2:8" x14ac:dyDescent="0.2">
      <c r="B45" s="101" t="s">
        <v>108</v>
      </c>
      <c r="C45" s="104">
        <v>0.74439999999999995</v>
      </c>
      <c r="D45" s="104">
        <v>0.65620000000000001</v>
      </c>
      <c r="E45" s="104">
        <v>0.75539999999999996</v>
      </c>
      <c r="F45" s="104">
        <v>0.75539999999999996</v>
      </c>
      <c r="G45" s="104">
        <v>0.60899999999999999</v>
      </c>
      <c r="H45" s="105">
        <v>0.69199999999999984</v>
      </c>
    </row>
    <row r="46" spans="2:8" ht="15" customHeight="1" x14ac:dyDescent="0.2">
      <c r="B46" s="101" t="s">
        <v>65</v>
      </c>
      <c r="C46" s="99">
        <v>367400</v>
      </c>
      <c r="D46" s="99">
        <v>369200</v>
      </c>
      <c r="E46" s="99">
        <v>370200</v>
      </c>
      <c r="F46" s="99">
        <v>370200</v>
      </c>
      <c r="G46" s="99">
        <v>370200</v>
      </c>
      <c r="H46" s="100">
        <v>371100</v>
      </c>
    </row>
    <row r="47" spans="2:8" ht="15" customHeight="1" x14ac:dyDescent="0.2">
      <c r="B47" s="101" t="s">
        <v>69</v>
      </c>
      <c r="C47" s="99">
        <v>9280</v>
      </c>
      <c r="D47" s="99">
        <v>9290</v>
      </c>
      <c r="E47" s="99">
        <v>9300</v>
      </c>
      <c r="F47" s="99">
        <v>9300</v>
      </c>
      <c r="G47" s="99">
        <v>9300</v>
      </c>
      <c r="H47" s="100">
        <v>9300</v>
      </c>
    </row>
    <row r="48" spans="2:8" ht="15" customHeight="1" x14ac:dyDescent="0.2">
      <c r="B48" s="101" t="s">
        <v>109</v>
      </c>
      <c r="C48" s="99">
        <v>3410</v>
      </c>
      <c r="D48" s="99">
        <v>3430</v>
      </c>
      <c r="E48" s="99">
        <v>3440</v>
      </c>
      <c r="F48" s="99">
        <v>3440</v>
      </c>
      <c r="G48" s="99">
        <v>3440</v>
      </c>
      <c r="H48" s="100">
        <v>3450</v>
      </c>
    </row>
    <row r="49" spans="2:8" ht="15" customHeight="1" x14ac:dyDescent="0.2">
      <c r="B49" s="78"/>
      <c r="C49" s="99"/>
      <c r="D49" s="99"/>
      <c r="E49" s="99"/>
      <c r="F49" s="99"/>
      <c r="G49" s="99"/>
      <c r="H49" s="100"/>
    </row>
    <row r="50" spans="2:8" ht="15" customHeight="1" x14ac:dyDescent="0.2">
      <c r="B50" s="101" t="s">
        <v>110</v>
      </c>
      <c r="C50" s="99">
        <v>110200</v>
      </c>
      <c r="D50" s="99">
        <v>110700</v>
      </c>
      <c r="E50" s="99">
        <v>111000</v>
      </c>
      <c r="F50" s="99">
        <v>111000</v>
      </c>
      <c r="G50" s="99">
        <v>111000</v>
      </c>
      <c r="H50" s="100">
        <v>111300</v>
      </c>
    </row>
    <row r="51" spans="2:8" x14ac:dyDescent="0.2">
      <c r="B51" s="101" t="s">
        <v>111</v>
      </c>
      <c r="C51" s="99">
        <v>13420</v>
      </c>
      <c r="D51" s="99">
        <v>13420</v>
      </c>
      <c r="E51" s="99">
        <v>13420</v>
      </c>
      <c r="F51" s="99">
        <v>13420</v>
      </c>
      <c r="G51" s="99">
        <v>13390</v>
      </c>
      <c r="H51" s="100">
        <v>13400</v>
      </c>
    </row>
    <row r="52" spans="2:8" x14ac:dyDescent="0.2">
      <c r="B52" s="101" t="s">
        <v>112</v>
      </c>
      <c r="C52" s="99">
        <v>1480</v>
      </c>
      <c r="D52" s="99">
        <v>1490</v>
      </c>
      <c r="E52" s="99">
        <v>1490</v>
      </c>
      <c r="F52" s="99">
        <v>1490</v>
      </c>
      <c r="G52" s="99">
        <v>1490</v>
      </c>
      <c r="H52" s="100">
        <v>1490</v>
      </c>
    </row>
    <row r="53" spans="2:8" x14ac:dyDescent="0.2">
      <c r="B53" s="78"/>
      <c r="C53" s="99"/>
      <c r="D53" s="99"/>
      <c r="E53" s="99"/>
      <c r="F53" s="99"/>
      <c r="G53" s="99"/>
      <c r="H53" s="100"/>
    </row>
    <row r="54" spans="2:8" x14ac:dyDescent="0.2">
      <c r="B54" s="78"/>
      <c r="C54" s="99"/>
      <c r="D54" s="99"/>
      <c r="E54" s="99"/>
      <c r="F54" s="99"/>
      <c r="G54" s="99"/>
      <c r="H54" s="100"/>
    </row>
    <row r="55" spans="2:8" x14ac:dyDescent="0.2">
      <c r="B55" s="78" t="s">
        <v>114</v>
      </c>
      <c r="C55" s="99"/>
      <c r="D55" s="99"/>
      <c r="E55" s="99"/>
      <c r="F55" s="99"/>
      <c r="G55" s="99"/>
      <c r="H55" s="100"/>
    </row>
    <row r="56" spans="2:8" x14ac:dyDescent="0.2">
      <c r="B56" s="101" t="s">
        <v>107</v>
      </c>
      <c r="C56" s="102">
        <v>59</v>
      </c>
      <c r="D56" s="102">
        <v>59</v>
      </c>
      <c r="E56" s="102">
        <v>59</v>
      </c>
      <c r="F56" s="102">
        <v>59</v>
      </c>
      <c r="G56" s="102">
        <v>59</v>
      </c>
      <c r="H56" s="103">
        <v>59</v>
      </c>
    </row>
    <row r="57" spans="2:8" x14ac:dyDescent="0.2">
      <c r="B57" s="101" t="s">
        <v>108</v>
      </c>
      <c r="C57" s="104">
        <v>0.6</v>
      </c>
      <c r="D57" s="104">
        <v>0.6</v>
      </c>
      <c r="E57" s="104">
        <v>0.6</v>
      </c>
      <c r="F57" s="104">
        <v>0.6</v>
      </c>
      <c r="G57" s="104">
        <v>0.6</v>
      </c>
      <c r="H57" s="105">
        <v>0.6</v>
      </c>
    </row>
    <row r="58" spans="2:8" x14ac:dyDescent="0.2">
      <c r="B58" s="101" t="s">
        <v>65</v>
      </c>
      <c r="C58" s="99">
        <v>359500</v>
      </c>
      <c r="D58" s="99">
        <v>361400</v>
      </c>
      <c r="E58" s="99">
        <v>362900</v>
      </c>
      <c r="F58" s="99">
        <v>362900</v>
      </c>
      <c r="G58" s="99">
        <v>364800</v>
      </c>
      <c r="H58" s="100">
        <v>364900</v>
      </c>
    </row>
    <row r="59" spans="2:8" x14ac:dyDescent="0.2">
      <c r="B59" s="101" t="s">
        <v>69</v>
      </c>
      <c r="C59" s="99">
        <v>9340</v>
      </c>
      <c r="D59" s="99">
        <v>9340</v>
      </c>
      <c r="E59" s="99">
        <v>9340</v>
      </c>
      <c r="F59" s="99">
        <v>9340</v>
      </c>
      <c r="G59" s="99">
        <v>9340</v>
      </c>
      <c r="H59" s="100">
        <v>9340</v>
      </c>
    </row>
    <row r="60" spans="2:8" x14ac:dyDescent="0.2">
      <c r="B60" s="101" t="s">
        <v>109</v>
      </c>
      <c r="C60" s="99">
        <v>3360</v>
      </c>
      <c r="D60" s="99">
        <v>3380</v>
      </c>
      <c r="E60" s="99">
        <v>3390</v>
      </c>
      <c r="F60" s="99">
        <v>3390</v>
      </c>
      <c r="G60" s="99">
        <v>3410</v>
      </c>
      <c r="H60" s="100">
        <v>3410</v>
      </c>
    </row>
    <row r="61" spans="2:8" x14ac:dyDescent="0.2">
      <c r="B61" s="78"/>
      <c r="C61" s="99"/>
      <c r="D61" s="99"/>
      <c r="E61" s="99"/>
      <c r="F61" s="99"/>
      <c r="G61" s="99"/>
      <c r="H61" s="100"/>
    </row>
    <row r="62" spans="2:8" ht="15" customHeight="1" x14ac:dyDescent="0.2">
      <c r="B62" s="101" t="s">
        <v>110</v>
      </c>
      <c r="C62" s="99">
        <v>108400</v>
      </c>
      <c r="D62" s="99">
        <v>107400</v>
      </c>
      <c r="E62" s="99">
        <v>107800</v>
      </c>
      <c r="F62" s="99">
        <v>107800</v>
      </c>
      <c r="G62" s="99">
        <v>108400</v>
      </c>
      <c r="H62" s="100">
        <v>108400</v>
      </c>
    </row>
    <row r="63" spans="2:8" ht="15" customHeight="1" x14ac:dyDescent="0.2">
      <c r="B63" s="101" t="s">
        <v>111</v>
      </c>
      <c r="C63" s="99">
        <v>13440</v>
      </c>
      <c r="D63" s="99">
        <v>13450</v>
      </c>
      <c r="E63" s="99">
        <v>13450</v>
      </c>
      <c r="F63" s="99">
        <v>13450</v>
      </c>
      <c r="G63" s="99">
        <v>13440</v>
      </c>
      <c r="H63" s="100">
        <v>13440</v>
      </c>
    </row>
    <row r="64" spans="2:8" ht="15" customHeight="1" x14ac:dyDescent="0.2">
      <c r="B64" s="101" t="s">
        <v>112</v>
      </c>
      <c r="C64" s="99">
        <v>1460</v>
      </c>
      <c r="D64" s="99">
        <v>1440</v>
      </c>
      <c r="E64" s="99">
        <v>1450</v>
      </c>
      <c r="F64" s="99">
        <v>1450</v>
      </c>
      <c r="G64" s="99">
        <v>1460</v>
      </c>
      <c r="H64" s="100">
        <v>1460</v>
      </c>
    </row>
    <row r="65" spans="2:8" ht="15" customHeight="1" x14ac:dyDescent="0.2">
      <c r="B65" s="78"/>
      <c r="C65" s="99"/>
      <c r="D65" s="99"/>
      <c r="E65" s="99"/>
      <c r="F65" s="99"/>
      <c r="G65" s="99"/>
      <c r="H65" s="100"/>
    </row>
    <row r="66" spans="2:8" ht="15" customHeight="1" x14ac:dyDescent="0.2">
      <c r="B66" s="78"/>
      <c r="C66" s="99"/>
      <c r="D66" s="99"/>
      <c r="E66" s="99"/>
      <c r="F66" s="99"/>
      <c r="G66" s="99"/>
      <c r="H66" s="100"/>
    </row>
    <row r="67" spans="2:8" ht="15" customHeight="1" x14ac:dyDescent="0.2">
      <c r="B67" s="78" t="s">
        <v>115</v>
      </c>
      <c r="C67" s="99"/>
      <c r="D67" s="99"/>
      <c r="E67" s="99"/>
      <c r="F67" s="99"/>
      <c r="G67" s="99"/>
      <c r="H67" s="100"/>
    </row>
    <row r="68" spans="2:8" ht="15" customHeight="1" x14ac:dyDescent="0.2">
      <c r="B68" s="101" t="s">
        <v>107</v>
      </c>
      <c r="C68" s="102">
        <v>88.86</v>
      </c>
      <c r="D68" s="102">
        <v>89.43</v>
      </c>
      <c r="E68" s="102">
        <v>92.85</v>
      </c>
      <c r="F68" s="102">
        <v>92.85</v>
      </c>
      <c r="G68" s="102">
        <v>93.25</v>
      </c>
      <c r="H68" s="103">
        <v>88.8</v>
      </c>
    </row>
    <row r="69" spans="2:8" ht="15" customHeight="1" x14ac:dyDescent="0.2">
      <c r="B69" s="101" t="s">
        <v>108</v>
      </c>
      <c r="C69" s="104">
        <v>0.57699999999999996</v>
      </c>
      <c r="D69" s="104">
        <v>0.54649999999999999</v>
      </c>
      <c r="E69" s="104">
        <v>0.51490000000000002</v>
      </c>
      <c r="F69" s="104">
        <v>0.51490000000000002</v>
      </c>
      <c r="G69" s="104">
        <v>0.58799999999999997</v>
      </c>
      <c r="H69" s="105">
        <v>0.59</v>
      </c>
    </row>
    <row r="70" spans="2:8" ht="15" customHeight="1" x14ac:dyDescent="0.2">
      <c r="B70" s="101" t="s">
        <v>65</v>
      </c>
      <c r="C70" s="99">
        <v>346100</v>
      </c>
      <c r="D70" s="99">
        <v>348200</v>
      </c>
      <c r="E70" s="99">
        <v>348300</v>
      </c>
      <c r="F70" s="99">
        <v>348200</v>
      </c>
      <c r="G70" s="99">
        <v>348500</v>
      </c>
      <c r="H70" s="100">
        <v>351100</v>
      </c>
    </row>
    <row r="71" spans="2:8" ht="15" customHeight="1" x14ac:dyDescent="0.2">
      <c r="B71" s="101" t="s">
        <v>69</v>
      </c>
      <c r="C71" s="99">
        <v>9460</v>
      </c>
      <c r="D71" s="99">
        <v>9450</v>
      </c>
      <c r="E71" s="99">
        <v>9460</v>
      </c>
      <c r="F71" s="99">
        <v>9450</v>
      </c>
      <c r="G71" s="99">
        <v>9470</v>
      </c>
      <c r="H71" s="100">
        <v>9460</v>
      </c>
    </row>
    <row r="72" spans="2:8" ht="15" customHeight="1" x14ac:dyDescent="0.2">
      <c r="B72" s="101" t="s">
        <v>109</v>
      </c>
      <c r="C72" s="99">
        <v>3270</v>
      </c>
      <c r="D72" s="99">
        <v>3290</v>
      </c>
      <c r="E72" s="99">
        <v>3290</v>
      </c>
      <c r="F72" s="99">
        <v>3290</v>
      </c>
      <c r="G72" s="99">
        <v>3300</v>
      </c>
      <c r="H72" s="100">
        <v>3320</v>
      </c>
    </row>
    <row r="73" spans="2:8" ht="15" customHeight="1" x14ac:dyDescent="0.2">
      <c r="B73" s="78"/>
      <c r="C73" s="99"/>
      <c r="D73" s="99"/>
      <c r="E73" s="99"/>
      <c r="F73" s="99"/>
      <c r="G73" s="99"/>
      <c r="H73" s="100"/>
    </row>
    <row r="74" spans="2:8" ht="15" customHeight="1" x14ac:dyDescent="0.2">
      <c r="B74" s="101" t="s">
        <v>110</v>
      </c>
      <c r="C74" s="99">
        <v>133400</v>
      </c>
      <c r="D74" s="99">
        <v>133700</v>
      </c>
      <c r="E74" s="99">
        <v>132500</v>
      </c>
      <c r="F74" s="99">
        <v>132500</v>
      </c>
      <c r="G74" s="99">
        <v>133300</v>
      </c>
      <c r="H74" s="100">
        <v>135500</v>
      </c>
    </row>
    <row r="75" spans="2:8" ht="15" customHeight="1" x14ac:dyDescent="0.2">
      <c r="B75" s="101" t="s">
        <v>111</v>
      </c>
      <c r="C75" s="99">
        <v>12120</v>
      </c>
      <c r="D75" s="99">
        <v>12120</v>
      </c>
      <c r="E75" s="99">
        <v>12170</v>
      </c>
      <c r="F75" s="99">
        <v>12170</v>
      </c>
      <c r="G75" s="99">
        <v>12190</v>
      </c>
      <c r="H75" s="100">
        <v>12120</v>
      </c>
    </row>
    <row r="76" spans="2:8" ht="15" customHeight="1" x14ac:dyDescent="0.2">
      <c r="B76" s="101" t="s">
        <v>112</v>
      </c>
      <c r="C76" s="99">
        <v>1620</v>
      </c>
      <c r="D76" s="99">
        <v>1620</v>
      </c>
      <c r="E76" s="99">
        <v>1610</v>
      </c>
      <c r="F76" s="99">
        <v>1610</v>
      </c>
      <c r="G76" s="99">
        <v>1620</v>
      </c>
      <c r="H76" s="100">
        <v>1640</v>
      </c>
    </row>
    <row r="77" spans="2:8" ht="15" customHeight="1" x14ac:dyDescent="0.2">
      <c r="B77" s="78"/>
      <c r="C77" s="99"/>
      <c r="D77" s="99"/>
      <c r="E77" s="99"/>
      <c r="F77" s="99"/>
      <c r="G77" s="99"/>
      <c r="H77" s="100"/>
    </row>
    <row r="78" spans="2:8" ht="15" customHeight="1" x14ac:dyDescent="0.2">
      <c r="B78" s="78"/>
      <c r="C78" s="99"/>
      <c r="D78" s="99"/>
      <c r="E78" s="99"/>
      <c r="F78" s="99"/>
      <c r="G78" s="99"/>
      <c r="H78" s="100"/>
    </row>
    <row r="79" spans="2:8" ht="15" customHeight="1" x14ac:dyDescent="0.2">
      <c r="B79" s="78" t="s">
        <v>116</v>
      </c>
      <c r="C79" s="99"/>
      <c r="D79" s="99"/>
      <c r="E79" s="99"/>
      <c r="F79" s="99"/>
      <c r="G79" s="99"/>
      <c r="H79" s="100"/>
    </row>
    <row r="80" spans="2:8" ht="15" customHeight="1" x14ac:dyDescent="0.2">
      <c r="B80" s="101" t="s">
        <v>107</v>
      </c>
      <c r="C80" s="102">
        <v>10.84</v>
      </c>
      <c r="D80" s="102">
        <v>13.23</v>
      </c>
      <c r="E80" s="102">
        <v>12.48</v>
      </c>
      <c r="F80" s="102">
        <v>12.48</v>
      </c>
      <c r="G80" s="102">
        <v>21.15</v>
      </c>
      <c r="H80" s="103">
        <v>16.5</v>
      </c>
    </row>
    <row r="81" spans="2:8" ht="15" customHeight="1" x14ac:dyDescent="0.2">
      <c r="B81" s="101" t="s">
        <v>108</v>
      </c>
      <c r="C81" s="104">
        <v>0.55669999999999997</v>
      </c>
      <c r="D81" s="104">
        <v>0.59079999999999999</v>
      </c>
      <c r="E81" s="104">
        <v>0.57550000000000001</v>
      </c>
      <c r="F81" s="104">
        <v>0.57550000000000001</v>
      </c>
      <c r="G81" s="104">
        <v>0.46439999999999998</v>
      </c>
      <c r="H81" s="105">
        <v>0.502</v>
      </c>
    </row>
    <row r="82" spans="2:8" ht="15" customHeight="1" x14ac:dyDescent="0.2">
      <c r="B82" s="101" t="s">
        <v>65</v>
      </c>
      <c r="C82" s="99">
        <v>366000</v>
      </c>
      <c r="D82" s="99">
        <v>368600</v>
      </c>
      <c r="E82" s="99">
        <v>369900</v>
      </c>
      <c r="F82" s="99">
        <v>369900</v>
      </c>
      <c r="G82" s="99">
        <v>374100</v>
      </c>
      <c r="H82" s="100">
        <v>373000</v>
      </c>
    </row>
    <row r="83" spans="2:8" ht="15" customHeight="1" x14ac:dyDescent="0.2">
      <c r="B83" s="101" t="s">
        <v>69</v>
      </c>
      <c r="C83" s="99">
        <v>9210</v>
      </c>
      <c r="D83" s="99">
        <v>9210</v>
      </c>
      <c r="E83" s="99">
        <v>9210</v>
      </c>
      <c r="F83" s="99">
        <v>9210</v>
      </c>
      <c r="G83" s="99">
        <v>9250</v>
      </c>
      <c r="H83" s="100">
        <v>9230</v>
      </c>
    </row>
    <row r="84" spans="2:8" ht="15" customHeight="1" x14ac:dyDescent="0.2">
      <c r="B84" s="101" t="s">
        <v>109</v>
      </c>
      <c r="C84" s="99">
        <v>3370</v>
      </c>
      <c r="D84" s="99">
        <v>3390</v>
      </c>
      <c r="E84" s="99">
        <v>3410</v>
      </c>
      <c r="F84" s="99">
        <v>3410</v>
      </c>
      <c r="G84" s="99">
        <v>3460</v>
      </c>
      <c r="H84" s="100">
        <v>3440</v>
      </c>
    </row>
    <row r="85" spans="2:8" ht="15" customHeight="1" x14ac:dyDescent="0.2">
      <c r="B85" s="78"/>
      <c r="C85" s="99"/>
      <c r="D85" s="99"/>
      <c r="E85" s="99"/>
      <c r="F85" s="99"/>
      <c r="G85" s="99"/>
      <c r="H85" s="100"/>
    </row>
    <row r="86" spans="2:8" ht="15" customHeight="1" x14ac:dyDescent="0.2">
      <c r="B86" s="101" t="s">
        <v>110</v>
      </c>
      <c r="C86" s="99">
        <v>109800</v>
      </c>
      <c r="D86" s="99">
        <v>110600</v>
      </c>
      <c r="E86" s="99">
        <v>110900</v>
      </c>
      <c r="F86" s="99">
        <v>110900</v>
      </c>
      <c r="G86" s="99">
        <v>112200</v>
      </c>
      <c r="H86" s="100">
        <v>111900</v>
      </c>
    </row>
    <row r="87" spans="2:8" x14ac:dyDescent="0.2">
      <c r="B87" s="101" t="s">
        <v>111</v>
      </c>
      <c r="C87" s="99">
        <v>13590</v>
      </c>
      <c r="D87" s="99">
        <v>13590</v>
      </c>
      <c r="E87" s="99">
        <v>13590</v>
      </c>
      <c r="F87" s="99">
        <v>13590</v>
      </c>
      <c r="G87" s="99">
        <v>13500</v>
      </c>
      <c r="H87" s="100">
        <v>13550</v>
      </c>
    </row>
    <row r="88" spans="2:8" x14ac:dyDescent="0.2">
      <c r="B88" s="101" t="s">
        <v>112</v>
      </c>
      <c r="C88" s="99">
        <v>1490</v>
      </c>
      <c r="D88" s="99">
        <v>1500</v>
      </c>
      <c r="E88" s="99">
        <v>1510</v>
      </c>
      <c r="F88" s="99">
        <v>1510</v>
      </c>
      <c r="G88" s="99">
        <v>1510</v>
      </c>
      <c r="H88" s="100">
        <v>1520</v>
      </c>
    </row>
    <row r="89" spans="2:8" x14ac:dyDescent="0.2">
      <c r="B89" s="78"/>
      <c r="C89" s="99"/>
      <c r="D89" s="99"/>
      <c r="E89" s="99"/>
      <c r="F89" s="99"/>
      <c r="G89" s="99"/>
      <c r="H89" s="100"/>
    </row>
    <row r="90" spans="2:8" x14ac:dyDescent="0.2">
      <c r="B90" s="78"/>
      <c r="C90" s="99"/>
      <c r="D90" s="99"/>
      <c r="E90" s="99"/>
      <c r="F90" s="99"/>
      <c r="G90" s="99"/>
      <c r="H90" s="100"/>
    </row>
    <row r="91" spans="2:8" x14ac:dyDescent="0.2">
      <c r="B91" s="78" t="s">
        <v>117</v>
      </c>
      <c r="C91" s="99"/>
      <c r="D91" s="99"/>
      <c r="E91" s="99"/>
      <c r="F91" s="99"/>
      <c r="G91" s="99"/>
      <c r="H91" s="100"/>
    </row>
    <row r="92" spans="2:8" ht="15" customHeight="1" x14ac:dyDescent="0.2">
      <c r="B92" s="101" t="s">
        <v>107</v>
      </c>
      <c r="C92" s="102">
        <v>90</v>
      </c>
      <c r="D92" s="102">
        <v>90</v>
      </c>
      <c r="E92" s="102">
        <v>90</v>
      </c>
      <c r="F92" s="102">
        <v>90</v>
      </c>
      <c r="G92" s="102">
        <v>90</v>
      </c>
      <c r="H92" s="103">
        <v>90</v>
      </c>
    </row>
    <row r="93" spans="2:8" ht="15" customHeight="1" x14ac:dyDescent="0.2">
      <c r="B93" s="101" t="s">
        <v>108</v>
      </c>
      <c r="C93" s="104">
        <v>0.7</v>
      </c>
      <c r="D93" s="104">
        <v>0.7</v>
      </c>
      <c r="E93" s="104">
        <v>0.7</v>
      </c>
      <c r="F93" s="104">
        <v>0.7</v>
      </c>
      <c r="G93" s="104">
        <v>0.7</v>
      </c>
      <c r="H93" s="105">
        <v>0.7</v>
      </c>
    </row>
    <row r="94" spans="2:8" ht="15" customHeight="1" x14ac:dyDescent="0.2">
      <c r="B94" s="101" t="s">
        <v>65</v>
      </c>
      <c r="C94" s="99">
        <v>343700</v>
      </c>
      <c r="D94" s="99">
        <v>345600</v>
      </c>
      <c r="E94" s="99">
        <v>347000</v>
      </c>
      <c r="F94" s="99">
        <v>347000</v>
      </c>
      <c r="G94" s="99">
        <v>348800</v>
      </c>
      <c r="H94" s="100">
        <v>348800</v>
      </c>
    </row>
    <row r="95" spans="2:8" ht="15" customHeight="1" x14ac:dyDescent="0.2">
      <c r="B95" s="101" t="s">
        <v>69</v>
      </c>
      <c r="C95" s="99">
        <v>9460</v>
      </c>
      <c r="D95" s="99">
        <v>9460</v>
      </c>
      <c r="E95" s="99">
        <v>9460</v>
      </c>
      <c r="F95" s="99">
        <v>9460</v>
      </c>
      <c r="G95" s="99">
        <v>9460</v>
      </c>
      <c r="H95" s="100">
        <v>9460</v>
      </c>
    </row>
    <row r="96" spans="2:8" ht="15" customHeight="1" x14ac:dyDescent="0.2">
      <c r="B96" s="101" t="s">
        <v>109</v>
      </c>
      <c r="C96" s="99">
        <v>3250</v>
      </c>
      <c r="D96" s="99">
        <v>3270</v>
      </c>
      <c r="E96" s="99">
        <v>3280</v>
      </c>
      <c r="F96" s="99">
        <v>3280</v>
      </c>
      <c r="G96" s="99">
        <v>3300</v>
      </c>
      <c r="H96" s="100">
        <v>3300</v>
      </c>
    </row>
    <row r="97" spans="2:8" ht="15" customHeight="1" x14ac:dyDescent="0.2">
      <c r="B97" s="78"/>
      <c r="C97" s="99"/>
      <c r="D97" s="99"/>
      <c r="E97" s="99"/>
      <c r="F97" s="99"/>
      <c r="G97" s="99"/>
      <c r="H97" s="100"/>
    </row>
    <row r="98" spans="2:8" ht="15" customHeight="1" x14ac:dyDescent="0.2">
      <c r="B98" s="101" t="s">
        <v>110</v>
      </c>
      <c r="C98" s="99">
        <v>133400</v>
      </c>
      <c r="D98" s="99">
        <v>134000</v>
      </c>
      <c r="E98" s="99">
        <v>134500</v>
      </c>
      <c r="F98" s="99">
        <v>134500</v>
      </c>
      <c r="G98" s="99">
        <v>135200</v>
      </c>
      <c r="H98" s="100">
        <v>135200</v>
      </c>
    </row>
    <row r="99" spans="2:8" ht="15" customHeight="1" x14ac:dyDescent="0.2">
      <c r="B99" s="101" t="s">
        <v>111</v>
      </c>
      <c r="C99" s="99">
        <v>12120</v>
      </c>
      <c r="D99" s="99">
        <v>12160</v>
      </c>
      <c r="E99" s="99">
        <v>12160</v>
      </c>
      <c r="F99" s="99">
        <v>12160</v>
      </c>
      <c r="G99" s="99">
        <v>12150</v>
      </c>
      <c r="H99" s="100">
        <v>12150</v>
      </c>
    </row>
    <row r="100" spans="2:8" ht="15" customHeight="1" x14ac:dyDescent="0.2">
      <c r="B100" s="101" t="s">
        <v>112</v>
      </c>
      <c r="C100" s="99">
        <v>1620</v>
      </c>
      <c r="D100" s="99">
        <v>1630</v>
      </c>
      <c r="E100" s="99">
        <v>1640</v>
      </c>
      <c r="F100" s="99">
        <v>1640</v>
      </c>
      <c r="G100" s="99">
        <v>1640</v>
      </c>
      <c r="H100" s="100">
        <v>1640</v>
      </c>
    </row>
    <row r="101" spans="2:8" ht="15" customHeight="1" x14ac:dyDescent="0.2">
      <c r="B101" s="78"/>
      <c r="C101" s="99"/>
      <c r="D101" s="99"/>
      <c r="E101" s="99"/>
      <c r="F101" s="99"/>
      <c r="G101" s="99"/>
      <c r="H101" s="100"/>
    </row>
    <row r="102" spans="2:8" ht="15" customHeight="1" x14ac:dyDescent="0.2">
      <c r="B102" s="78"/>
      <c r="C102" s="99"/>
      <c r="D102" s="99"/>
      <c r="E102" s="99"/>
      <c r="F102" s="99"/>
      <c r="G102" s="99"/>
      <c r="H102" s="100"/>
    </row>
    <row r="103" spans="2:8" ht="15.75" x14ac:dyDescent="0.2">
      <c r="B103" s="107" t="s">
        <v>118</v>
      </c>
      <c r="C103" s="99"/>
      <c r="D103" s="99"/>
      <c r="E103" s="99"/>
      <c r="F103" s="99"/>
      <c r="G103" s="99"/>
      <c r="H103" s="100"/>
    </row>
    <row r="104" spans="2:8" x14ac:dyDescent="0.2">
      <c r="B104" s="78"/>
      <c r="C104" s="99"/>
      <c r="D104" s="99"/>
      <c r="E104" s="99"/>
      <c r="F104" s="99"/>
      <c r="G104" s="99"/>
      <c r="H104" s="100"/>
    </row>
    <row r="105" spans="2:8" x14ac:dyDescent="0.2">
      <c r="B105" s="78" t="s">
        <v>119</v>
      </c>
      <c r="C105" s="99" t="s">
        <v>120</v>
      </c>
      <c r="D105" s="99" t="s">
        <v>120</v>
      </c>
      <c r="E105" s="99" t="s">
        <v>120</v>
      </c>
      <c r="F105" s="99" t="s">
        <v>120</v>
      </c>
      <c r="G105" s="99" t="s">
        <v>120</v>
      </c>
      <c r="H105" s="100" t="s">
        <v>120</v>
      </c>
    </row>
    <row r="106" spans="2:8" x14ac:dyDescent="0.2">
      <c r="B106" s="78"/>
      <c r="C106" s="99"/>
      <c r="D106" s="99"/>
      <c r="E106" s="99"/>
      <c r="F106" s="99"/>
      <c r="G106" s="99"/>
      <c r="H106" s="100"/>
    </row>
    <row r="107" spans="2:8" ht="15.75" x14ac:dyDescent="0.2">
      <c r="B107" s="107"/>
      <c r="C107" s="99"/>
      <c r="D107" s="99"/>
      <c r="E107" s="99"/>
      <c r="F107" s="99"/>
      <c r="G107" s="99"/>
      <c r="H107" s="100"/>
    </row>
    <row r="108" spans="2:8" x14ac:dyDescent="0.2">
      <c r="B108" s="78"/>
      <c r="C108" s="108"/>
      <c r="D108" s="108"/>
      <c r="E108" s="108"/>
      <c r="F108" s="108"/>
      <c r="G108" s="108"/>
      <c r="H108" s="109"/>
    </row>
    <row r="109" spans="2:8" x14ac:dyDescent="0.2">
      <c r="B109" s="78"/>
      <c r="C109" s="108"/>
      <c r="D109" s="108"/>
      <c r="E109" s="108"/>
      <c r="F109" s="108"/>
      <c r="G109" s="99"/>
      <c r="H109" s="109"/>
    </row>
    <row r="110" spans="2:8" ht="15" customHeight="1" x14ac:dyDescent="0.2">
      <c r="B110" s="78"/>
      <c r="C110" s="99"/>
      <c r="D110" s="99"/>
      <c r="E110" s="99"/>
      <c r="F110" s="99"/>
      <c r="G110" s="99"/>
      <c r="H110" s="100"/>
    </row>
    <row r="111" spans="2:8" ht="15" customHeight="1" x14ac:dyDescent="0.2">
      <c r="B111" s="78"/>
      <c r="C111" s="99"/>
      <c r="D111" s="99"/>
      <c r="E111" s="99"/>
      <c r="F111" s="99"/>
      <c r="G111" s="99"/>
      <c r="H111" s="100"/>
    </row>
    <row r="112" spans="2:8" ht="15" customHeight="1" x14ac:dyDescent="0.2">
      <c r="B112" s="78"/>
      <c r="C112" s="99"/>
      <c r="D112" s="99"/>
      <c r="E112" s="99"/>
      <c r="F112" s="99"/>
      <c r="G112" s="99"/>
      <c r="H112" s="100"/>
    </row>
    <row r="113" spans="2:8" ht="15" customHeight="1" x14ac:dyDescent="0.2">
      <c r="B113" s="78"/>
      <c r="C113" s="99"/>
      <c r="D113" s="99"/>
      <c r="E113" s="99"/>
      <c r="F113" s="99"/>
      <c r="G113" s="99"/>
      <c r="H113" s="100"/>
    </row>
    <row r="114" spans="2:8" ht="15" customHeight="1" x14ac:dyDescent="0.2">
      <c r="B114" s="78"/>
      <c r="C114" s="99"/>
      <c r="D114" s="99"/>
      <c r="E114" s="99"/>
      <c r="F114" s="99"/>
      <c r="G114" s="99"/>
      <c r="H114" s="100"/>
    </row>
    <row r="115" spans="2:8" ht="15" customHeight="1" x14ac:dyDescent="0.2">
      <c r="B115" s="78"/>
      <c r="C115" s="99"/>
      <c r="D115" s="99"/>
      <c r="E115" s="99"/>
      <c r="F115" s="99"/>
      <c r="G115" s="99"/>
      <c r="H115" s="100"/>
    </row>
    <row r="116" spans="2:8" x14ac:dyDescent="0.2">
      <c r="B116" s="78"/>
      <c r="C116" s="99"/>
      <c r="D116" s="99"/>
      <c r="E116" s="99"/>
      <c r="F116" s="99"/>
      <c r="G116" s="99"/>
      <c r="H116" s="100"/>
    </row>
    <row r="117" spans="2:8" ht="15.75" x14ac:dyDescent="0.2">
      <c r="B117" s="107"/>
      <c r="C117" s="99"/>
      <c r="D117" s="99"/>
      <c r="E117" s="99"/>
      <c r="F117" s="99"/>
      <c r="G117" s="99"/>
      <c r="H117" s="100"/>
    </row>
    <row r="118" spans="2:8" x14ac:dyDescent="0.2">
      <c r="B118" s="78"/>
      <c r="C118" s="108"/>
      <c r="D118" s="108"/>
      <c r="E118" s="108"/>
      <c r="F118" s="108"/>
      <c r="G118" s="99"/>
      <c r="H118" s="109"/>
    </row>
    <row r="119" spans="2:8" ht="15.75" thickBot="1" x14ac:dyDescent="0.25">
      <c r="B119" s="110"/>
      <c r="C119" s="111"/>
      <c r="D119" s="111"/>
      <c r="E119" s="111"/>
      <c r="F119" s="111"/>
      <c r="G119" s="111"/>
      <c r="H119" s="112"/>
    </row>
    <row r="120" spans="2:8" ht="17.25" thickTop="1" thickBot="1" x14ac:dyDescent="0.25">
      <c r="B120" s="113" t="s">
        <v>121</v>
      </c>
      <c r="C120" s="114"/>
      <c r="D120" s="114"/>
      <c r="E120" s="114"/>
      <c r="F120" s="114"/>
      <c r="G120" s="114"/>
      <c r="H120" s="115"/>
    </row>
    <row r="121" spans="2:8" ht="15.75" thickTop="1" x14ac:dyDescent="0.2">
      <c r="B121" s="96"/>
      <c r="C121" s="116"/>
      <c r="D121" s="116"/>
      <c r="E121" s="116"/>
      <c r="F121" s="116"/>
      <c r="G121" s="116"/>
      <c r="H121" s="117"/>
    </row>
    <row r="122" spans="2:8" s="118" customFormat="1" ht="15.75" x14ac:dyDescent="0.2">
      <c r="B122" s="119" t="s">
        <v>122</v>
      </c>
      <c r="C122" s="120">
        <v>224.17</v>
      </c>
      <c r="D122" s="120">
        <v>227.24</v>
      </c>
      <c r="E122" s="120">
        <v>257.13</v>
      </c>
      <c r="F122" s="120">
        <v>267.44</v>
      </c>
      <c r="G122" s="120">
        <v>302.49</v>
      </c>
      <c r="H122" s="121">
        <v>299.43</v>
      </c>
    </row>
    <row r="123" spans="2:8" s="118" customFormat="1" ht="15.75" x14ac:dyDescent="0.2">
      <c r="B123" s="122" t="s">
        <v>123</v>
      </c>
      <c r="C123" s="123">
        <v>51.91081579081343</v>
      </c>
      <c r="D123" s="123">
        <v>54.78815100457372</v>
      </c>
      <c r="E123" s="123">
        <v>63.184048010969548</v>
      </c>
      <c r="F123" s="123">
        <v>72.896018294337679</v>
      </c>
      <c r="G123" s="123">
        <v>99.219428106877487</v>
      </c>
      <c r="H123" s="124">
        <v>96.767751438138333</v>
      </c>
    </row>
    <row r="124" spans="2:8" s="118" customFormat="1" ht="15.75" x14ac:dyDescent="0.2">
      <c r="B124" s="122" t="s">
        <v>124</v>
      </c>
      <c r="C124" s="123">
        <v>49.21640627075061</v>
      </c>
      <c r="D124" s="123">
        <v>48.638754770772756</v>
      </c>
      <c r="E124" s="123">
        <v>61.164905583039371</v>
      </c>
      <c r="F124" s="123">
        <v>61.862168041198331</v>
      </c>
      <c r="G124" s="123">
        <v>65.194846372709918</v>
      </c>
      <c r="H124" s="124">
        <v>65.297178556352222</v>
      </c>
    </row>
    <row r="125" spans="2:8" s="118" customFormat="1" ht="15.75" x14ac:dyDescent="0.2">
      <c r="B125" s="122" t="s">
        <v>125</v>
      </c>
      <c r="C125" s="123">
        <v>67</v>
      </c>
      <c r="D125" s="123">
        <v>67</v>
      </c>
      <c r="E125" s="123">
        <v>68.5</v>
      </c>
      <c r="F125" s="123">
        <v>68.5</v>
      </c>
      <c r="G125" s="123">
        <v>68.5</v>
      </c>
      <c r="H125" s="124">
        <v>68.5</v>
      </c>
    </row>
    <row r="126" spans="2:8" s="118" customFormat="1" ht="15.75" x14ac:dyDescent="0.2">
      <c r="B126" s="122" t="s">
        <v>126</v>
      </c>
      <c r="C126" s="123">
        <v>56.042407353854685</v>
      </c>
      <c r="D126" s="123">
        <v>56.808968591782154</v>
      </c>
      <c r="E126" s="123">
        <v>64.282984531336311</v>
      </c>
      <c r="F126" s="123">
        <v>64.186795684906116</v>
      </c>
      <c r="G126" s="123">
        <v>69.571796273123525</v>
      </c>
      <c r="H126" s="124">
        <v>68.870044024328351</v>
      </c>
    </row>
    <row r="127" spans="2:8" x14ac:dyDescent="0.2">
      <c r="B127" s="78"/>
      <c r="C127" s="81"/>
      <c r="D127" s="81"/>
      <c r="E127" s="81"/>
      <c r="F127" s="81"/>
      <c r="G127" s="81"/>
      <c r="H127" s="82"/>
    </row>
    <row r="128" spans="2:8" s="118" customFormat="1" ht="15.75" x14ac:dyDescent="0.2">
      <c r="B128" s="107" t="s">
        <v>127</v>
      </c>
      <c r="C128" s="120">
        <v>68.699999999999989</v>
      </c>
      <c r="D128" s="120">
        <v>68.87</v>
      </c>
      <c r="E128" s="120">
        <v>81.63</v>
      </c>
      <c r="F128" s="120">
        <v>82.51</v>
      </c>
      <c r="G128" s="120">
        <v>126.14</v>
      </c>
      <c r="H128" s="121">
        <v>75.38</v>
      </c>
    </row>
    <row r="129" spans="2:8" x14ac:dyDescent="0.2">
      <c r="B129" s="125" t="s">
        <v>128</v>
      </c>
      <c r="C129" s="126">
        <v>0.37</v>
      </c>
      <c r="D129" s="126">
        <v>0.37</v>
      </c>
      <c r="E129" s="126">
        <v>0.37</v>
      </c>
      <c r="F129" s="126">
        <v>0.37</v>
      </c>
      <c r="G129" s="126">
        <v>0.48</v>
      </c>
      <c r="H129" s="127">
        <v>0.41</v>
      </c>
    </row>
    <row r="130" spans="2:8" x14ac:dyDescent="0.2">
      <c r="B130" s="125" t="s">
        <v>129</v>
      </c>
      <c r="C130" s="126">
        <v>0.44</v>
      </c>
      <c r="D130" s="126">
        <v>0.44</v>
      </c>
      <c r="E130" s="126">
        <v>0.44</v>
      </c>
      <c r="F130" s="126">
        <v>0.44</v>
      </c>
      <c r="G130" s="126">
        <v>0.56999999999999995</v>
      </c>
      <c r="H130" s="127">
        <v>0.48</v>
      </c>
    </row>
    <row r="131" spans="2:8" x14ac:dyDescent="0.2">
      <c r="B131" s="125" t="s">
        <v>130</v>
      </c>
      <c r="C131" s="126">
        <v>1.02</v>
      </c>
      <c r="D131" s="126">
        <v>1.02</v>
      </c>
      <c r="E131" s="126">
        <v>1.02</v>
      </c>
      <c r="F131" s="126">
        <v>1.02</v>
      </c>
      <c r="G131" s="126">
        <v>1.33</v>
      </c>
      <c r="H131" s="127">
        <v>1.1200000000000001</v>
      </c>
    </row>
    <row r="132" spans="2:8" x14ac:dyDescent="0.2">
      <c r="B132" s="125" t="s">
        <v>131</v>
      </c>
      <c r="C132" s="126">
        <v>1.1299999999999999</v>
      </c>
      <c r="D132" s="126">
        <v>1.1299999999999999</v>
      </c>
      <c r="E132" s="126">
        <v>1.1299999999999999</v>
      </c>
      <c r="F132" s="126">
        <v>1.1299999999999999</v>
      </c>
      <c r="G132" s="126">
        <v>1.47</v>
      </c>
      <c r="H132" s="127">
        <v>1.24</v>
      </c>
    </row>
    <row r="133" spans="2:8" x14ac:dyDescent="0.2">
      <c r="B133" s="125" t="s">
        <v>132</v>
      </c>
      <c r="C133" s="126">
        <v>1</v>
      </c>
      <c r="D133" s="126">
        <v>1</v>
      </c>
      <c r="E133" s="126">
        <v>1</v>
      </c>
      <c r="F133" s="126">
        <v>1</v>
      </c>
      <c r="G133" s="126">
        <v>1.3</v>
      </c>
      <c r="H133" s="127">
        <v>1.1000000000000001</v>
      </c>
    </row>
    <row r="134" spans="2:8" x14ac:dyDescent="0.2">
      <c r="B134" s="125" t="s">
        <v>133</v>
      </c>
      <c r="C134" s="126">
        <v>0.27</v>
      </c>
      <c r="D134" s="126">
        <v>0.27</v>
      </c>
      <c r="E134" s="126">
        <v>0.27</v>
      </c>
      <c r="F134" s="126">
        <v>0.27</v>
      </c>
      <c r="G134" s="126">
        <v>0.35</v>
      </c>
      <c r="H134" s="127">
        <v>0.3</v>
      </c>
    </row>
    <row r="135" spans="2:8" x14ac:dyDescent="0.2">
      <c r="B135" s="125" t="s">
        <v>134</v>
      </c>
      <c r="C135" s="126">
        <v>0</v>
      </c>
      <c r="D135" s="126">
        <v>0</v>
      </c>
      <c r="E135" s="126">
        <v>0</v>
      </c>
      <c r="F135" s="126">
        <v>0</v>
      </c>
      <c r="G135" s="126">
        <v>0</v>
      </c>
      <c r="H135" s="127">
        <v>0</v>
      </c>
    </row>
    <row r="136" spans="2:8" x14ac:dyDescent="0.2">
      <c r="B136" s="125" t="s">
        <v>135</v>
      </c>
      <c r="C136" s="126">
        <v>0.55000000000000004</v>
      </c>
      <c r="D136" s="126">
        <v>0.55000000000000004</v>
      </c>
      <c r="E136" s="126">
        <v>0.55000000000000004</v>
      </c>
      <c r="F136" s="126">
        <v>0.55000000000000004</v>
      </c>
      <c r="G136" s="126">
        <v>0.72</v>
      </c>
      <c r="H136" s="127">
        <v>0.61</v>
      </c>
    </row>
    <row r="137" spans="2:8" x14ac:dyDescent="0.2">
      <c r="B137" s="125" t="s">
        <v>136</v>
      </c>
      <c r="C137" s="126">
        <v>1</v>
      </c>
      <c r="D137" s="126">
        <v>1</v>
      </c>
      <c r="E137" s="126">
        <v>1</v>
      </c>
      <c r="F137" s="126">
        <v>1</v>
      </c>
      <c r="G137" s="126">
        <v>1.3</v>
      </c>
      <c r="H137" s="127">
        <v>1.1000000000000001</v>
      </c>
    </row>
    <row r="138" spans="2:8" x14ac:dyDescent="0.2">
      <c r="B138" s="125" t="s">
        <v>137</v>
      </c>
      <c r="C138" s="126">
        <v>10.25</v>
      </c>
      <c r="D138" s="126">
        <v>10.25</v>
      </c>
      <c r="E138" s="126">
        <v>10.25</v>
      </c>
      <c r="F138" s="126">
        <v>10.25</v>
      </c>
      <c r="G138" s="126">
        <v>43.8</v>
      </c>
      <c r="H138" s="127">
        <v>5.59</v>
      </c>
    </row>
    <row r="139" spans="2:8" x14ac:dyDescent="0.2">
      <c r="B139" s="125" t="s">
        <v>138</v>
      </c>
      <c r="C139" s="126">
        <v>11</v>
      </c>
      <c r="D139" s="126">
        <v>11</v>
      </c>
      <c r="E139" s="126">
        <v>11</v>
      </c>
      <c r="F139" s="126">
        <v>11</v>
      </c>
      <c r="G139" s="126">
        <v>13.01</v>
      </c>
      <c r="H139" s="127">
        <v>6.5</v>
      </c>
    </row>
    <row r="140" spans="2:8" x14ac:dyDescent="0.2">
      <c r="B140" s="125" t="s">
        <v>139</v>
      </c>
      <c r="C140" s="126">
        <v>17.899999999999999</v>
      </c>
      <c r="D140" s="126">
        <v>17.899999999999999</v>
      </c>
      <c r="E140" s="126">
        <v>17.899999999999999</v>
      </c>
      <c r="F140" s="126">
        <v>17.899999999999999</v>
      </c>
      <c r="G140" s="126">
        <v>20</v>
      </c>
      <c r="H140" s="127">
        <v>17.899999999999999</v>
      </c>
    </row>
    <row r="141" spans="2:8" x14ac:dyDescent="0.2">
      <c r="B141" s="125" t="s">
        <v>140</v>
      </c>
      <c r="C141" s="126">
        <v>0</v>
      </c>
      <c r="D141" s="126">
        <v>0</v>
      </c>
      <c r="E141" s="126">
        <v>0</v>
      </c>
      <c r="F141" s="126">
        <v>0</v>
      </c>
      <c r="G141" s="126">
        <v>0</v>
      </c>
      <c r="H141" s="127">
        <v>0</v>
      </c>
    </row>
    <row r="142" spans="2:8" x14ac:dyDescent="0.2">
      <c r="B142" s="125" t="s">
        <v>141</v>
      </c>
      <c r="C142" s="126">
        <v>7.0000000000000007E-2</v>
      </c>
      <c r="D142" s="126">
        <v>7.0000000000000007E-2</v>
      </c>
      <c r="E142" s="126">
        <v>7.0000000000000007E-2</v>
      </c>
      <c r="F142" s="126">
        <v>0.4</v>
      </c>
      <c r="G142" s="126">
        <v>0.4</v>
      </c>
      <c r="H142" s="127">
        <v>0.4</v>
      </c>
    </row>
    <row r="143" spans="2:8" x14ac:dyDescent="0.2">
      <c r="B143" s="125" t="s">
        <v>409</v>
      </c>
      <c r="C143" s="126">
        <v>0.5</v>
      </c>
      <c r="D143" s="126">
        <v>0.5</v>
      </c>
      <c r="E143" s="126">
        <v>0.5</v>
      </c>
      <c r="F143" s="126">
        <v>0.5</v>
      </c>
      <c r="G143" s="126">
        <v>0.65</v>
      </c>
      <c r="H143" s="127">
        <v>0.55000000000000004</v>
      </c>
    </row>
    <row r="144" spans="2:8" x14ac:dyDescent="0.2">
      <c r="B144" s="125" t="s">
        <v>142</v>
      </c>
      <c r="C144" s="126">
        <v>1.1499999999999999</v>
      </c>
      <c r="D144" s="126">
        <v>1.1499999999999999</v>
      </c>
      <c r="E144" s="126">
        <v>4.5</v>
      </c>
      <c r="F144" s="126">
        <v>4.5</v>
      </c>
      <c r="G144" s="126">
        <v>4.5</v>
      </c>
      <c r="H144" s="127">
        <v>4.5</v>
      </c>
    </row>
    <row r="145" spans="2:155" x14ac:dyDescent="0.2">
      <c r="B145" s="125" t="s">
        <v>143</v>
      </c>
      <c r="C145" s="126">
        <v>0</v>
      </c>
      <c r="D145" s="126">
        <v>0</v>
      </c>
      <c r="E145" s="126">
        <v>7.24</v>
      </c>
      <c r="F145" s="126">
        <v>7.24</v>
      </c>
      <c r="G145" s="126">
        <v>7.24</v>
      </c>
      <c r="H145" s="127">
        <v>7.24</v>
      </c>
    </row>
    <row r="146" spans="2:155" x14ac:dyDescent="0.2">
      <c r="B146" s="125" t="s">
        <v>144</v>
      </c>
      <c r="C146" s="126">
        <v>0.57999999999999996</v>
      </c>
      <c r="D146" s="126">
        <v>0.57999999999999996</v>
      </c>
      <c r="E146" s="126">
        <v>0.57999999999999996</v>
      </c>
      <c r="F146" s="126">
        <v>0.57999999999999996</v>
      </c>
      <c r="G146" s="126">
        <v>0.75</v>
      </c>
      <c r="H146" s="127">
        <v>0.64</v>
      </c>
    </row>
    <row r="147" spans="2:155" x14ac:dyDescent="0.2">
      <c r="B147" s="125" t="s">
        <v>145</v>
      </c>
      <c r="C147" s="126">
        <v>6.5</v>
      </c>
      <c r="D147" s="126">
        <v>6.5</v>
      </c>
      <c r="E147" s="126">
        <v>6.5</v>
      </c>
      <c r="F147" s="126">
        <v>6.5</v>
      </c>
      <c r="G147" s="126">
        <v>6.5</v>
      </c>
      <c r="H147" s="127">
        <v>6.5</v>
      </c>
    </row>
    <row r="148" spans="2:155" x14ac:dyDescent="0.2">
      <c r="B148" s="125"/>
      <c r="C148" s="126"/>
      <c r="D148" s="126"/>
      <c r="E148" s="126"/>
      <c r="F148" s="126"/>
      <c r="G148" s="126"/>
      <c r="H148" s="127"/>
    </row>
    <row r="149" spans="2:155" x14ac:dyDescent="0.2">
      <c r="B149" s="125" t="s">
        <v>146</v>
      </c>
      <c r="C149" s="126">
        <v>1.01</v>
      </c>
      <c r="D149" s="126">
        <v>1.02</v>
      </c>
      <c r="E149" s="126">
        <v>1.1599999999999999</v>
      </c>
      <c r="F149" s="126">
        <v>1.2</v>
      </c>
      <c r="G149" s="126">
        <v>1.36</v>
      </c>
      <c r="H149" s="127">
        <v>1.35</v>
      </c>
    </row>
    <row r="150" spans="2:155" x14ac:dyDescent="0.2">
      <c r="B150" s="125" t="s">
        <v>147</v>
      </c>
      <c r="C150" s="126">
        <v>13.96</v>
      </c>
      <c r="D150" s="126">
        <v>14.12</v>
      </c>
      <c r="E150" s="126">
        <v>16.149999999999999</v>
      </c>
      <c r="F150" s="126">
        <v>16.66</v>
      </c>
      <c r="G150" s="126">
        <v>20.41</v>
      </c>
      <c r="H150" s="127">
        <v>17.850000000000001</v>
      </c>
    </row>
    <row r="151" spans="2:155" x14ac:dyDescent="0.2">
      <c r="B151" s="125"/>
      <c r="C151" s="128"/>
      <c r="D151" s="128"/>
      <c r="E151" s="128"/>
      <c r="F151" s="128"/>
      <c r="G151" s="128"/>
      <c r="H151" s="129"/>
    </row>
    <row r="152" spans="2:155" ht="15.75" x14ac:dyDescent="0.2">
      <c r="B152" s="107" t="s">
        <v>340</v>
      </c>
      <c r="C152" s="120">
        <v>20.500900000000001</v>
      </c>
      <c r="D152" s="120">
        <v>20.727700000000002</v>
      </c>
      <c r="E152" s="120">
        <v>23.713200000000001</v>
      </c>
      <c r="F152" s="120">
        <v>24.496500000000001</v>
      </c>
      <c r="G152" s="120">
        <v>30.004100000000001</v>
      </c>
      <c r="H152" s="121">
        <v>26.236700000000006</v>
      </c>
    </row>
    <row r="153" spans="2:155" x14ac:dyDescent="0.2">
      <c r="B153" s="125" t="s">
        <v>148</v>
      </c>
      <c r="C153" s="128">
        <v>15.6919</v>
      </c>
      <c r="D153" s="128">
        <v>15.906800000000002</v>
      </c>
      <c r="E153" s="128">
        <v>17.999100000000002</v>
      </c>
      <c r="F153" s="128">
        <v>18.720800000000001</v>
      </c>
      <c r="G153" s="128">
        <v>21.174300000000002</v>
      </c>
      <c r="H153" s="129">
        <v>20.960100000000004</v>
      </c>
    </row>
    <row r="154" spans="2:155" x14ac:dyDescent="0.2">
      <c r="B154" s="125" t="s">
        <v>149</v>
      </c>
      <c r="C154" s="128">
        <v>4.8089999999999993</v>
      </c>
      <c r="D154" s="128">
        <v>4.8209000000000009</v>
      </c>
      <c r="E154" s="128">
        <v>5.7141000000000002</v>
      </c>
      <c r="F154" s="128">
        <v>5.7757000000000005</v>
      </c>
      <c r="G154" s="128">
        <v>8.8298000000000005</v>
      </c>
      <c r="H154" s="129">
        <v>5.2766000000000002</v>
      </c>
    </row>
    <row r="155" spans="2:155" x14ac:dyDescent="0.2">
      <c r="B155" s="125"/>
      <c r="C155" s="128"/>
      <c r="D155" s="128"/>
      <c r="E155" s="128"/>
      <c r="F155" s="128"/>
      <c r="G155" s="128"/>
      <c r="H155" s="129"/>
    </row>
    <row r="156" spans="2:155" x14ac:dyDescent="0.2">
      <c r="B156" s="125"/>
      <c r="C156" s="128"/>
      <c r="D156" s="128"/>
      <c r="E156" s="128"/>
      <c r="F156" s="128"/>
      <c r="G156" s="128"/>
      <c r="H156" s="129"/>
    </row>
    <row r="157" spans="2:155" s="130" customFormat="1" ht="15.75" x14ac:dyDescent="0.2">
      <c r="B157" s="131" t="s">
        <v>150</v>
      </c>
      <c r="C157" s="132">
        <v>313.37090000000001</v>
      </c>
      <c r="D157" s="132">
        <v>316.83770000000004</v>
      </c>
      <c r="E157" s="132">
        <v>362.47320000000002</v>
      </c>
      <c r="F157" s="132">
        <v>374.44650000000001</v>
      </c>
      <c r="G157" s="132">
        <v>458.63409999999999</v>
      </c>
      <c r="H157" s="133">
        <v>401.04669999999999</v>
      </c>
      <c r="I157" s="276"/>
      <c r="J157" s="276"/>
      <c r="K157" s="276"/>
      <c r="L157" s="276"/>
      <c r="M157" s="276"/>
      <c r="N157" s="276"/>
      <c r="O157" s="276"/>
      <c r="P157" s="276"/>
      <c r="R157" s="277"/>
      <c r="S157" s="276"/>
      <c r="T157" s="276"/>
      <c r="U157" s="276"/>
      <c r="V157" s="276"/>
      <c r="W157" s="276"/>
      <c r="X157" s="276"/>
      <c r="Y157" s="276"/>
      <c r="AA157" s="277"/>
      <c r="AB157" s="276"/>
      <c r="AC157" s="276"/>
      <c r="AD157" s="276"/>
      <c r="AE157" s="276"/>
      <c r="AF157" s="276"/>
      <c r="AG157" s="276"/>
      <c r="AH157" s="276"/>
      <c r="AJ157" s="277"/>
      <c r="AK157" s="276"/>
      <c r="AL157" s="276"/>
      <c r="AM157" s="276"/>
      <c r="AN157" s="276"/>
      <c r="AO157" s="276"/>
      <c r="AP157" s="276"/>
      <c r="AQ157" s="276"/>
      <c r="AS157" s="277"/>
      <c r="AT157" s="276"/>
      <c r="AU157" s="276"/>
      <c r="AV157" s="276"/>
      <c r="AW157" s="276"/>
      <c r="AX157" s="276"/>
      <c r="AY157" s="276"/>
      <c r="AZ157" s="276"/>
      <c r="BB157" s="277"/>
      <c r="BC157" s="276"/>
      <c r="BD157" s="276"/>
      <c r="BE157" s="276"/>
      <c r="BF157" s="276"/>
      <c r="BG157" s="276"/>
      <c r="BH157" s="276"/>
      <c r="BI157" s="276"/>
      <c r="BK157" s="277"/>
      <c r="BL157" s="276"/>
      <c r="BM157" s="276"/>
      <c r="BN157" s="276"/>
      <c r="BO157" s="276"/>
      <c r="BP157" s="276"/>
      <c r="BQ157" s="276"/>
      <c r="BR157" s="276"/>
      <c r="BT157" s="277"/>
      <c r="BU157" s="276"/>
      <c r="BV157" s="276"/>
      <c r="BW157" s="276"/>
      <c r="BX157" s="276"/>
      <c r="BY157" s="276"/>
      <c r="BZ157" s="276"/>
      <c r="CA157" s="276"/>
      <c r="CC157" s="277"/>
      <c r="CD157" s="276"/>
      <c r="CE157" s="276"/>
      <c r="CF157" s="276"/>
      <c r="CG157" s="276"/>
      <c r="CH157" s="276"/>
      <c r="CI157" s="276"/>
      <c r="CJ157" s="276"/>
      <c r="CL157" s="277"/>
      <c r="CM157" s="276"/>
      <c r="CN157" s="276"/>
      <c r="CO157" s="276"/>
      <c r="CP157" s="276"/>
      <c r="CQ157" s="276"/>
      <c r="CR157" s="276"/>
      <c r="CS157" s="276"/>
      <c r="CU157" s="277"/>
      <c r="CV157" s="276"/>
      <c r="CW157" s="276"/>
      <c r="CX157" s="276"/>
      <c r="CY157" s="276"/>
      <c r="CZ157" s="276"/>
      <c r="DA157" s="276"/>
      <c r="DB157" s="276"/>
      <c r="DD157" s="277"/>
      <c r="DE157" s="276"/>
      <c r="DF157" s="276"/>
      <c r="DG157" s="276"/>
      <c r="DH157" s="276"/>
      <c r="DI157" s="276"/>
      <c r="DJ157" s="276"/>
      <c r="DK157" s="276"/>
      <c r="DM157" s="277"/>
      <c r="DN157" s="276"/>
      <c r="DO157" s="276"/>
      <c r="DP157" s="276"/>
      <c r="DQ157" s="276"/>
      <c r="DR157" s="276"/>
      <c r="DS157" s="276"/>
      <c r="DT157" s="276"/>
      <c r="DV157" s="277"/>
      <c r="DW157" s="276"/>
      <c r="DX157" s="276"/>
      <c r="DY157" s="276"/>
      <c r="DZ157" s="276"/>
      <c r="EA157" s="276"/>
      <c r="EB157" s="276"/>
      <c r="EC157" s="276"/>
      <c r="EE157" s="277"/>
      <c r="EF157" s="276"/>
      <c r="EG157" s="276"/>
      <c r="EH157" s="276"/>
      <c r="EI157" s="276"/>
      <c r="EJ157" s="276"/>
      <c r="EK157" s="276"/>
      <c r="EL157" s="276"/>
      <c r="EN157" s="277"/>
      <c r="EO157" s="276"/>
      <c r="EP157" s="276"/>
      <c r="EQ157" s="276"/>
      <c r="ER157" s="276"/>
      <c r="ES157" s="276"/>
      <c r="ET157" s="276"/>
      <c r="EU157" s="276"/>
      <c r="EW157" s="277"/>
      <c r="EX157" s="276"/>
      <c r="EY157" s="276"/>
    </row>
    <row r="158" spans="2:155" x14ac:dyDescent="0.2">
      <c r="B158" s="85"/>
      <c r="C158" s="134"/>
      <c r="D158" s="134"/>
      <c r="E158" s="134"/>
      <c r="F158" s="134"/>
      <c r="G158" s="134"/>
      <c r="H158" s="135"/>
    </row>
    <row r="159" spans="2:155" ht="15.75" x14ac:dyDescent="0.2">
      <c r="B159" s="131" t="s">
        <v>151</v>
      </c>
      <c r="C159" s="132">
        <v>650</v>
      </c>
      <c r="D159" s="132">
        <v>660</v>
      </c>
      <c r="E159" s="132">
        <v>740</v>
      </c>
      <c r="F159" s="132">
        <v>770</v>
      </c>
      <c r="G159" s="132">
        <v>870</v>
      </c>
      <c r="H159" s="133">
        <v>860</v>
      </c>
    </row>
    <row r="160" spans="2:155" s="130" customFormat="1" ht="15.75" x14ac:dyDescent="0.2">
      <c r="B160" s="131" t="s">
        <v>152</v>
      </c>
      <c r="C160" s="132">
        <v>910</v>
      </c>
      <c r="D160" s="132">
        <v>920</v>
      </c>
      <c r="E160" s="132">
        <v>1040</v>
      </c>
      <c r="F160" s="132">
        <v>1080</v>
      </c>
      <c r="G160" s="132">
        <v>1310</v>
      </c>
      <c r="H160" s="133">
        <v>1150</v>
      </c>
      <c r="I160" s="276"/>
      <c r="J160" s="276"/>
      <c r="K160" s="276"/>
      <c r="L160" s="276"/>
      <c r="M160" s="276"/>
      <c r="N160" s="276"/>
      <c r="O160" s="276"/>
      <c r="P160" s="276"/>
      <c r="R160" s="277"/>
      <c r="S160" s="276"/>
      <c r="T160" s="276"/>
      <c r="U160" s="276"/>
      <c r="V160" s="276"/>
      <c r="W160" s="276"/>
      <c r="X160" s="276"/>
      <c r="Y160" s="276"/>
      <c r="AA160" s="277"/>
      <c r="AB160" s="276"/>
      <c r="AC160" s="276"/>
      <c r="AD160" s="276"/>
      <c r="AE160" s="276"/>
      <c r="AF160" s="276"/>
      <c r="AG160" s="276"/>
      <c r="AH160" s="276"/>
      <c r="AJ160" s="277"/>
      <c r="AK160" s="276"/>
      <c r="AL160" s="276"/>
      <c r="AM160" s="276"/>
      <c r="AN160" s="276"/>
      <c r="AO160" s="276"/>
      <c r="AP160" s="276"/>
      <c r="AQ160" s="276"/>
      <c r="AS160" s="277"/>
      <c r="AT160" s="276"/>
      <c r="AU160" s="276"/>
      <c r="AV160" s="276"/>
      <c r="AW160" s="276"/>
      <c r="AX160" s="276"/>
      <c r="AY160" s="276"/>
      <c r="AZ160" s="276"/>
      <c r="BB160" s="277"/>
      <c r="BC160" s="276"/>
      <c r="BD160" s="276"/>
      <c r="BE160" s="276"/>
      <c r="BF160" s="276"/>
      <c r="BG160" s="276"/>
      <c r="BH160" s="276"/>
      <c r="BI160" s="276"/>
      <c r="BK160" s="277"/>
      <c r="BL160" s="276"/>
      <c r="BM160" s="276"/>
      <c r="BN160" s="276"/>
      <c r="BO160" s="276"/>
      <c r="BP160" s="276"/>
      <c r="BQ160" s="276"/>
      <c r="BR160" s="276"/>
      <c r="BT160" s="277"/>
      <c r="BU160" s="276"/>
      <c r="BV160" s="276"/>
      <c r="BW160" s="276"/>
      <c r="BX160" s="276"/>
      <c r="BY160" s="276"/>
      <c r="BZ160" s="276"/>
      <c r="CA160" s="276"/>
      <c r="CC160" s="277"/>
      <c r="CD160" s="276"/>
      <c r="CE160" s="276"/>
      <c r="CF160" s="276"/>
      <c r="CG160" s="276"/>
      <c r="CH160" s="276"/>
      <c r="CI160" s="276"/>
      <c r="CJ160" s="276"/>
      <c r="CL160" s="277"/>
      <c r="CM160" s="276"/>
      <c r="CN160" s="276"/>
      <c r="CO160" s="276"/>
      <c r="CP160" s="276"/>
      <c r="CQ160" s="276"/>
      <c r="CR160" s="276"/>
      <c r="CS160" s="276"/>
      <c r="CU160" s="277"/>
      <c r="CV160" s="276"/>
      <c r="CW160" s="276"/>
      <c r="CX160" s="276"/>
      <c r="CY160" s="276"/>
      <c r="CZ160" s="276"/>
      <c r="DA160" s="276"/>
      <c r="DB160" s="276"/>
      <c r="DD160" s="277"/>
      <c r="DE160" s="276"/>
      <c r="DF160" s="276"/>
      <c r="DG160" s="276"/>
      <c r="DH160" s="276"/>
      <c r="DI160" s="276"/>
      <c r="DJ160" s="276"/>
      <c r="DK160" s="276"/>
      <c r="DM160" s="277"/>
      <c r="DN160" s="276"/>
      <c r="DO160" s="276"/>
      <c r="DP160" s="276"/>
      <c r="DQ160" s="276"/>
      <c r="DR160" s="276"/>
      <c r="DS160" s="276"/>
      <c r="DT160" s="276"/>
      <c r="DV160" s="277"/>
      <c r="DW160" s="276"/>
      <c r="DX160" s="276"/>
      <c r="DY160" s="276"/>
      <c r="DZ160" s="276"/>
      <c r="EA160" s="276"/>
      <c r="EB160" s="276"/>
      <c r="EC160" s="276"/>
      <c r="EE160" s="277"/>
      <c r="EF160" s="276"/>
      <c r="EG160" s="276"/>
      <c r="EH160" s="276"/>
      <c r="EI160" s="276"/>
      <c r="EJ160" s="276"/>
      <c r="EK160" s="276"/>
      <c r="EL160" s="276"/>
      <c r="EN160" s="277"/>
      <c r="EO160" s="276"/>
      <c r="EP160" s="276"/>
      <c r="EQ160" s="276"/>
      <c r="ER160" s="276"/>
      <c r="ES160" s="276"/>
      <c r="ET160" s="276"/>
      <c r="EU160" s="276"/>
      <c r="EW160" s="277"/>
      <c r="EX160" s="276"/>
      <c r="EY160" s="276"/>
    </row>
    <row r="161" spans="2:155" x14ac:dyDescent="0.2">
      <c r="B161" s="85"/>
      <c r="C161" s="126"/>
      <c r="D161" s="126"/>
      <c r="E161" s="126"/>
      <c r="F161" s="126"/>
      <c r="G161" s="136"/>
      <c r="H161" s="137"/>
      <c r="I161" s="278"/>
      <c r="J161" s="278"/>
      <c r="K161" s="278"/>
      <c r="L161" s="278"/>
      <c r="M161" s="278"/>
      <c r="N161" s="278"/>
      <c r="O161" s="278"/>
      <c r="P161" s="278"/>
      <c r="R161" s="279"/>
      <c r="S161" s="278"/>
      <c r="T161" s="278"/>
      <c r="U161" s="278"/>
      <c r="V161" s="278"/>
      <c r="W161" s="278"/>
      <c r="X161" s="278"/>
      <c r="Y161" s="278"/>
      <c r="AA161" s="279"/>
      <c r="AB161" s="278"/>
      <c r="AC161" s="278"/>
      <c r="AD161" s="278"/>
      <c r="AE161" s="278"/>
      <c r="AF161" s="278"/>
      <c r="AG161" s="278"/>
      <c r="AH161" s="278"/>
      <c r="AJ161" s="279"/>
      <c r="AK161" s="278"/>
      <c r="AL161" s="278"/>
      <c r="AM161" s="278"/>
      <c r="AN161" s="278"/>
      <c r="AO161" s="278"/>
      <c r="AP161" s="278"/>
      <c r="AQ161" s="278"/>
      <c r="AS161" s="279"/>
      <c r="AT161" s="278"/>
      <c r="AU161" s="278"/>
      <c r="AV161" s="278"/>
      <c r="AW161" s="278"/>
      <c r="AX161" s="278"/>
      <c r="AY161" s="278"/>
      <c r="AZ161" s="278"/>
      <c r="BB161" s="279"/>
      <c r="BC161" s="278"/>
      <c r="BD161" s="278"/>
      <c r="BE161" s="278"/>
      <c r="BF161" s="278"/>
      <c r="BG161" s="278"/>
      <c r="BH161" s="278"/>
      <c r="BI161" s="278"/>
      <c r="BK161" s="279"/>
      <c r="BL161" s="278"/>
      <c r="BM161" s="278"/>
      <c r="BN161" s="278"/>
      <c r="BO161" s="278"/>
      <c r="BP161" s="278"/>
      <c r="BQ161" s="278"/>
      <c r="BR161" s="278"/>
      <c r="BT161" s="279"/>
      <c r="BU161" s="278"/>
      <c r="BV161" s="278"/>
      <c r="BW161" s="278"/>
      <c r="BX161" s="278"/>
      <c r="BY161" s="278"/>
      <c r="BZ161" s="278"/>
      <c r="CA161" s="278"/>
      <c r="CC161" s="279"/>
      <c r="CD161" s="278"/>
      <c r="CE161" s="278"/>
      <c r="CF161" s="278"/>
      <c r="CG161" s="278"/>
      <c r="CH161" s="278"/>
      <c r="CI161" s="278"/>
      <c r="CJ161" s="278"/>
      <c r="CL161" s="279"/>
      <c r="CM161" s="278"/>
      <c r="CN161" s="278"/>
      <c r="CO161" s="278"/>
      <c r="CP161" s="278"/>
      <c r="CQ161" s="278"/>
      <c r="CR161" s="278"/>
      <c r="CS161" s="278"/>
      <c r="CU161" s="279"/>
      <c r="CV161" s="278"/>
      <c r="CW161" s="278"/>
      <c r="CX161" s="278"/>
      <c r="CY161" s="278"/>
      <c r="CZ161" s="278"/>
      <c r="DA161" s="278"/>
      <c r="DB161" s="278"/>
      <c r="DD161" s="279"/>
      <c r="DE161" s="278"/>
      <c r="DF161" s="278"/>
      <c r="DG161" s="278"/>
      <c r="DH161" s="278"/>
      <c r="DI161" s="278"/>
      <c r="DJ161" s="278"/>
      <c r="DK161" s="278"/>
      <c r="DM161" s="279"/>
      <c r="DN161" s="278"/>
      <c r="DO161" s="278"/>
      <c r="DP161" s="278"/>
      <c r="DQ161" s="278"/>
      <c r="DR161" s="278"/>
      <c r="DS161" s="278"/>
      <c r="DT161" s="278"/>
      <c r="DV161" s="279"/>
      <c r="DW161" s="278"/>
      <c r="DX161" s="278"/>
      <c r="DY161" s="278"/>
      <c r="DZ161" s="278"/>
      <c r="EA161" s="278"/>
      <c r="EB161" s="278"/>
      <c r="EC161" s="278"/>
      <c r="EE161" s="279"/>
      <c r="EF161" s="278"/>
      <c r="EG161" s="278"/>
      <c r="EH161" s="278"/>
      <c r="EI161" s="278"/>
      <c r="EJ161" s="278"/>
      <c r="EK161" s="278"/>
      <c r="EL161" s="278"/>
      <c r="EN161" s="279"/>
      <c r="EO161" s="278"/>
      <c r="EP161" s="278"/>
      <c r="EQ161" s="278"/>
      <c r="ER161" s="278"/>
      <c r="ES161" s="278"/>
      <c r="ET161" s="278"/>
      <c r="EU161" s="278"/>
      <c r="EW161" s="279"/>
      <c r="EX161" s="278"/>
      <c r="EY161" s="278"/>
    </row>
    <row r="162" spans="2:155" ht="15" customHeight="1" x14ac:dyDescent="0.2">
      <c r="B162" s="85"/>
      <c r="C162" s="126"/>
      <c r="D162" s="126"/>
      <c r="E162" s="126"/>
      <c r="F162" s="126"/>
      <c r="G162" s="136"/>
      <c r="H162" s="137"/>
      <c r="I162" s="278"/>
      <c r="J162" s="278"/>
      <c r="K162" s="278"/>
      <c r="L162" s="278"/>
      <c r="M162" s="278"/>
      <c r="N162" s="278"/>
      <c r="O162" s="278"/>
      <c r="P162" s="278"/>
      <c r="R162" s="279"/>
      <c r="S162" s="278"/>
      <c r="T162" s="278"/>
      <c r="U162" s="278"/>
      <c r="V162" s="278"/>
      <c r="W162" s="278"/>
      <c r="X162" s="278"/>
      <c r="Y162" s="278"/>
      <c r="AA162" s="279"/>
      <c r="AB162" s="278"/>
      <c r="AC162" s="278"/>
      <c r="AD162" s="278"/>
      <c r="AE162" s="278"/>
      <c r="AF162" s="278"/>
      <c r="AG162" s="278"/>
      <c r="AH162" s="278"/>
      <c r="AJ162" s="279"/>
      <c r="AK162" s="278"/>
      <c r="AL162" s="278"/>
      <c r="AM162" s="278"/>
      <c r="AN162" s="278"/>
      <c r="AO162" s="278"/>
      <c r="AP162" s="278"/>
      <c r="AQ162" s="278"/>
      <c r="AS162" s="279"/>
      <c r="AT162" s="278"/>
      <c r="AU162" s="278"/>
      <c r="AV162" s="278"/>
      <c r="AW162" s="278"/>
      <c r="AX162" s="278"/>
      <c r="AY162" s="278"/>
      <c r="AZ162" s="278"/>
      <c r="BB162" s="279"/>
      <c r="BC162" s="278"/>
      <c r="BD162" s="278"/>
      <c r="BE162" s="278"/>
      <c r="BF162" s="278"/>
      <c r="BG162" s="278"/>
      <c r="BH162" s="278"/>
      <c r="BI162" s="278"/>
      <c r="BK162" s="279"/>
      <c r="BL162" s="278"/>
      <c r="BM162" s="278"/>
      <c r="BN162" s="278"/>
      <c r="BO162" s="278"/>
      <c r="BP162" s="278"/>
      <c r="BQ162" s="278"/>
      <c r="BR162" s="278"/>
      <c r="BT162" s="279"/>
      <c r="BU162" s="278"/>
      <c r="BV162" s="278"/>
      <c r="BW162" s="278"/>
      <c r="BX162" s="278"/>
      <c r="BY162" s="278"/>
      <c r="BZ162" s="278"/>
      <c r="CA162" s="278"/>
      <c r="CC162" s="279"/>
      <c r="CD162" s="278"/>
      <c r="CE162" s="278"/>
      <c r="CF162" s="278"/>
      <c r="CG162" s="278"/>
      <c r="CH162" s="278"/>
      <c r="CI162" s="278"/>
      <c r="CJ162" s="278"/>
      <c r="CL162" s="279"/>
      <c r="CM162" s="278"/>
      <c r="CN162" s="278"/>
      <c r="CO162" s="278"/>
      <c r="CP162" s="278"/>
      <c r="CQ162" s="278"/>
      <c r="CR162" s="278"/>
      <c r="CS162" s="278"/>
      <c r="CU162" s="279"/>
      <c r="CV162" s="278"/>
      <c r="CW162" s="278"/>
      <c r="CX162" s="278"/>
      <c r="CY162" s="278"/>
      <c r="CZ162" s="278"/>
      <c r="DA162" s="278"/>
      <c r="DB162" s="278"/>
      <c r="DD162" s="279"/>
      <c r="DE162" s="278"/>
      <c r="DF162" s="278"/>
      <c r="DG162" s="278"/>
      <c r="DH162" s="278"/>
      <c r="DI162" s="278"/>
      <c r="DJ162" s="278"/>
      <c r="DK162" s="278"/>
      <c r="DM162" s="279"/>
      <c r="DN162" s="278"/>
      <c r="DO162" s="278"/>
      <c r="DP162" s="278"/>
      <c r="DQ162" s="278"/>
      <c r="DR162" s="278"/>
      <c r="DS162" s="278"/>
      <c r="DT162" s="278"/>
      <c r="DV162" s="279"/>
      <c r="DW162" s="278"/>
      <c r="DX162" s="278"/>
      <c r="DY162" s="278"/>
      <c r="DZ162" s="278"/>
      <c r="EA162" s="278"/>
      <c r="EB162" s="278"/>
      <c r="EC162" s="278"/>
      <c r="EE162" s="279"/>
      <c r="EF162" s="278"/>
      <c r="EG162" s="278"/>
      <c r="EH162" s="278"/>
      <c r="EI162" s="278"/>
      <c r="EJ162" s="278"/>
      <c r="EK162" s="278"/>
      <c r="EL162" s="278"/>
      <c r="EN162" s="279"/>
      <c r="EO162" s="278"/>
      <c r="EP162" s="278"/>
      <c r="EQ162" s="278"/>
      <c r="ER162" s="278"/>
      <c r="ES162" s="278"/>
      <c r="ET162" s="278"/>
      <c r="EU162" s="278"/>
      <c r="EW162" s="279"/>
      <c r="EX162" s="278"/>
      <c r="EY162" s="278"/>
    </row>
    <row r="163" spans="2:155" ht="15" customHeight="1" x14ac:dyDescent="0.2">
      <c r="B163" s="85"/>
      <c r="C163" s="126"/>
      <c r="D163" s="126"/>
      <c r="E163" s="126"/>
      <c r="F163" s="126"/>
      <c r="G163" s="136"/>
      <c r="H163" s="137"/>
      <c r="I163" s="278"/>
      <c r="J163" s="278"/>
      <c r="K163" s="278"/>
      <c r="L163" s="278"/>
      <c r="M163" s="278"/>
      <c r="N163" s="278"/>
      <c r="O163" s="278"/>
      <c r="P163" s="278"/>
      <c r="R163" s="279"/>
      <c r="S163" s="278"/>
      <c r="T163" s="278"/>
      <c r="U163" s="278"/>
      <c r="V163" s="278"/>
      <c r="W163" s="278"/>
      <c r="X163" s="278"/>
      <c r="Y163" s="278"/>
      <c r="AA163" s="279"/>
      <c r="AB163" s="278"/>
      <c r="AC163" s="278"/>
      <c r="AD163" s="278"/>
      <c r="AE163" s="278"/>
      <c r="AF163" s="278"/>
      <c r="AG163" s="278"/>
      <c r="AH163" s="278"/>
      <c r="AJ163" s="279"/>
      <c r="AK163" s="278"/>
      <c r="AL163" s="278"/>
      <c r="AM163" s="278"/>
      <c r="AN163" s="278"/>
      <c r="AO163" s="278"/>
      <c r="AP163" s="278"/>
      <c r="AQ163" s="278"/>
      <c r="AS163" s="279"/>
      <c r="AT163" s="278"/>
      <c r="AU163" s="278"/>
      <c r="AV163" s="278"/>
      <c r="AW163" s="278"/>
      <c r="AX163" s="278"/>
      <c r="AY163" s="278"/>
      <c r="AZ163" s="278"/>
      <c r="BB163" s="279"/>
      <c r="BC163" s="278"/>
      <c r="BD163" s="278"/>
      <c r="BE163" s="278"/>
      <c r="BF163" s="278"/>
      <c r="BG163" s="278"/>
      <c r="BH163" s="278"/>
      <c r="BI163" s="278"/>
      <c r="BK163" s="279"/>
      <c r="BL163" s="278"/>
      <c r="BM163" s="278"/>
      <c r="BN163" s="278"/>
      <c r="BO163" s="278"/>
      <c r="BP163" s="278"/>
      <c r="BQ163" s="278"/>
      <c r="BR163" s="278"/>
      <c r="BT163" s="279"/>
      <c r="BU163" s="278"/>
      <c r="BV163" s="278"/>
      <c r="BW163" s="278"/>
      <c r="BX163" s="278"/>
      <c r="BY163" s="278"/>
      <c r="BZ163" s="278"/>
      <c r="CA163" s="278"/>
      <c r="CC163" s="279"/>
      <c r="CD163" s="278"/>
      <c r="CE163" s="278"/>
      <c r="CF163" s="278"/>
      <c r="CG163" s="278"/>
      <c r="CH163" s="278"/>
      <c r="CI163" s="278"/>
      <c r="CJ163" s="278"/>
      <c r="CL163" s="279"/>
      <c r="CM163" s="278"/>
      <c r="CN163" s="278"/>
      <c r="CO163" s="278"/>
      <c r="CP163" s="278"/>
      <c r="CQ163" s="278"/>
      <c r="CR163" s="278"/>
      <c r="CS163" s="278"/>
      <c r="CU163" s="279"/>
      <c r="CV163" s="278"/>
      <c r="CW163" s="278"/>
      <c r="CX163" s="278"/>
      <c r="CY163" s="278"/>
      <c r="CZ163" s="278"/>
      <c r="DA163" s="278"/>
      <c r="DB163" s="278"/>
      <c r="DD163" s="279"/>
      <c r="DE163" s="278"/>
      <c r="DF163" s="278"/>
      <c r="DG163" s="278"/>
      <c r="DH163" s="278"/>
      <c r="DI163" s="278"/>
      <c r="DJ163" s="278"/>
      <c r="DK163" s="278"/>
      <c r="DM163" s="279"/>
      <c r="DN163" s="278"/>
      <c r="DO163" s="278"/>
      <c r="DP163" s="278"/>
      <c r="DQ163" s="278"/>
      <c r="DR163" s="278"/>
      <c r="DS163" s="278"/>
      <c r="DT163" s="278"/>
      <c r="DV163" s="279"/>
      <c r="DW163" s="278"/>
      <c r="DX163" s="278"/>
      <c r="DY163" s="278"/>
      <c r="DZ163" s="278"/>
      <c r="EA163" s="278"/>
      <c r="EB163" s="278"/>
      <c r="EC163" s="278"/>
      <c r="EE163" s="279"/>
      <c r="EF163" s="278"/>
      <c r="EG163" s="278"/>
      <c r="EH163" s="278"/>
      <c r="EI163" s="278"/>
      <c r="EJ163" s="278"/>
      <c r="EK163" s="278"/>
      <c r="EL163" s="278"/>
      <c r="EN163" s="279"/>
      <c r="EO163" s="278"/>
      <c r="EP163" s="278"/>
      <c r="EQ163" s="278"/>
      <c r="ER163" s="278"/>
      <c r="ES163" s="278"/>
      <c r="ET163" s="278"/>
      <c r="EU163" s="278"/>
      <c r="EW163" s="279"/>
      <c r="EX163" s="278"/>
      <c r="EY163" s="278"/>
    </row>
    <row r="164" spans="2:155" ht="15" customHeight="1" x14ac:dyDescent="0.2">
      <c r="B164" s="85"/>
      <c r="C164" s="126"/>
      <c r="D164" s="126"/>
      <c r="E164" s="126"/>
      <c r="F164" s="126"/>
      <c r="G164" s="136"/>
      <c r="H164" s="137"/>
      <c r="I164" s="278"/>
      <c r="J164" s="278"/>
      <c r="K164" s="278"/>
      <c r="L164" s="278"/>
      <c r="M164" s="278"/>
      <c r="N164" s="278"/>
      <c r="O164" s="278"/>
      <c r="P164" s="278"/>
      <c r="R164" s="279"/>
      <c r="S164" s="278"/>
      <c r="T164" s="278"/>
      <c r="U164" s="278"/>
      <c r="V164" s="278"/>
      <c r="W164" s="278"/>
      <c r="X164" s="278"/>
      <c r="Y164" s="278"/>
      <c r="AA164" s="279"/>
      <c r="AB164" s="278"/>
      <c r="AC164" s="278"/>
      <c r="AD164" s="278"/>
      <c r="AE164" s="278"/>
      <c r="AF164" s="278"/>
      <c r="AG164" s="278"/>
      <c r="AH164" s="278"/>
      <c r="AJ164" s="279"/>
      <c r="AK164" s="278"/>
      <c r="AL164" s="278"/>
      <c r="AM164" s="278"/>
      <c r="AN164" s="278"/>
      <c r="AO164" s="278"/>
      <c r="AP164" s="278"/>
      <c r="AQ164" s="278"/>
      <c r="AS164" s="279"/>
      <c r="AT164" s="278"/>
      <c r="AU164" s="278"/>
      <c r="AV164" s="278"/>
      <c r="AW164" s="278"/>
      <c r="AX164" s="278"/>
      <c r="AY164" s="278"/>
      <c r="AZ164" s="278"/>
      <c r="BB164" s="279"/>
      <c r="BC164" s="278"/>
      <c r="BD164" s="278"/>
      <c r="BE164" s="278"/>
      <c r="BF164" s="278"/>
      <c r="BG164" s="278"/>
      <c r="BH164" s="278"/>
      <c r="BI164" s="278"/>
      <c r="BK164" s="279"/>
      <c r="BL164" s="278"/>
      <c r="BM164" s="278"/>
      <c r="BN164" s="278"/>
      <c r="BO164" s="278"/>
      <c r="BP164" s="278"/>
      <c r="BQ164" s="278"/>
      <c r="BR164" s="278"/>
      <c r="BT164" s="279"/>
      <c r="BU164" s="278"/>
      <c r="BV164" s="278"/>
      <c r="BW164" s="278"/>
      <c r="BX164" s="278"/>
      <c r="BY164" s="278"/>
      <c r="BZ164" s="278"/>
      <c r="CA164" s="278"/>
      <c r="CC164" s="279"/>
      <c r="CD164" s="278"/>
      <c r="CE164" s="278"/>
      <c r="CF164" s="278"/>
      <c r="CG164" s="278"/>
      <c r="CH164" s="278"/>
      <c r="CI164" s="278"/>
      <c r="CJ164" s="278"/>
      <c r="CL164" s="279"/>
      <c r="CM164" s="278"/>
      <c r="CN164" s="278"/>
      <c r="CO164" s="278"/>
      <c r="CP164" s="278"/>
      <c r="CQ164" s="278"/>
      <c r="CR164" s="278"/>
      <c r="CS164" s="278"/>
      <c r="CU164" s="279"/>
      <c r="CV164" s="278"/>
      <c r="CW164" s="278"/>
      <c r="CX164" s="278"/>
      <c r="CY164" s="278"/>
      <c r="CZ164" s="278"/>
      <c r="DA164" s="278"/>
      <c r="DB164" s="278"/>
      <c r="DD164" s="279"/>
      <c r="DE164" s="278"/>
      <c r="DF164" s="278"/>
      <c r="DG164" s="278"/>
      <c r="DH164" s="278"/>
      <c r="DI164" s="278"/>
      <c r="DJ164" s="278"/>
      <c r="DK164" s="278"/>
      <c r="DM164" s="279"/>
      <c r="DN164" s="278"/>
      <c r="DO164" s="278"/>
      <c r="DP164" s="278"/>
      <c r="DQ164" s="278"/>
      <c r="DR164" s="278"/>
      <c r="DS164" s="278"/>
      <c r="DT164" s="278"/>
      <c r="DV164" s="279"/>
      <c r="DW164" s="278"/>
      <c r="DX164" s="278"/>
      <c r="DY164" s="278"/>
      <c r="DZ164" s="278"/>
      <c r="EA164" s="278"/>
      <c r="EB164" s="278"/>
      <c r="EC164" s="278"/>
      <c r="EE164" s="279"/>
      <c r="EF164" s="278"/>
      <c r="EG164" s="278"/>
      <c r="EH164" s="278"/>
      <c r="EI164" s="278"/>
      <c r="EJ164" s="278"/>
      <c r="EK164" s="278"/>
      <c r="EL164" s="278"/>
      <c r="EN164" s="279"/>
      <c r="EO164" s="278"/>
      <c r="EP164" s="278"/>
      <c r="EQ164" s="278"/>
      <c r="ER164" s="278"/>
      <c r="ES164" s="278"/>
      <c r="ET164" s="278"/>
      <c r="EU164" s="278"/>
      <c r="EW164" s="279"/>
      <c r="EX164" s="278"/>
      <c r="EY164" s="278"/>
    </row>
    <row r="165" spans="2:155" ht="15.75" x14ac:dyDescent="0.2">
      <c r="B165" s="107" t="s">
        <v>153</v>
      </c>
      <c r="C165" s="126"/>
      <c r="D165" s="126"/>
      <c r="E165" s="126"/>
      <c r="F165" s="126"/>
      <c r="G165" s="136"/>
      <c r="H165" s="137"/>
      <c r="I165" s="278"/>
      <c r="J165" s="278"/>
      <c r="K165" s="278"/>
      <c r="L165" s="278"/>
      <c r="M165" s="278"/>
      <c r="N165" s="278"/>
      <c r="O165" s="278"/>
      <c r="P165" s="278"/>
      <c r="R165" s="279"/>
      <c r="S165" s="278"/>
      <c r="T165" s="278"/>
      <c r="U165" s="278"/>
      <c r="V165" s="278"/>
      <c r="W165" s="278"/>
      <c r="X165" s="278"/>
      <c r="Y165" s="278"/>
      <c r="AA165" s="279"/>
      <c r="AB165" s="278"/>
      <c r="AC165" s="278"/>
      <c r="AD165" s="278"/>
      <c r="AE165" s="278"/>
      <c r="AF165" s="278"/>
      <c r="AG165" s="278"/>
      <c r="AH165" s="278"/>
      <c r="AJ165" s="279"/>
      <c r="AK165" s="278"/>
      <c r="AL165" s="278"/>
      <c r="AM165" s="278"/>
      <c r="AN165" s="278"/>
      <c r="AO165" s="278"/>
      <c r="AP165" s="278"/>
      <c r="AQ165" s="278"/>
      <c r="AS165" s="279"/>
      <c r="AT165" s="278"/>
      <c r="AU165" s="278"/>
      <c r="AV165" s="278"/>
      <c r="AW165" s="278"/>
      <c r="AX165" s="278"/>
      <c r="AY165" s="278"/>
      <c r="AZ165" s="278"/>
      <c r="BB165" s="279"/>
      <c r="BC165" s="278"/>
      <c r="BD165" s="278"/>
      <c r="BE165" s="278"/>
      <c r="BF165" s="278"/>
      <c r="BG165" s="278"/>
      <c r="BH165" s="278"/>
      <c r="BI165" s="278"/>
      <c r="BK165" s="279"/>
      <c r="BL165" s="278"/>
      <c r="BM165" s="278"/>
      <c r="BN165" s="278"/>
      <c r="BO165" s="278"/>
      <c r="BP165" s="278"/>
      <c r="BQ165" s="278"/>
      <c r="BR165" s="278"/>
      <c r="BT165" s="279"/>
      <c r="BU165" s="278"/>
      <c r="BV165" s="278"/>
      <c r="BW165" s="278"/>
      <c r="BX165" s="278"/>
      <c r="BY165" s="278"/>
      <c r="BZ165" s="278"/>
      <c r="CA165" s="278"/>
      <c r="CC165" s="279"/>
      <c r="CD165" s="278"/>
      <c r="CE165" s="278"/>
      <c r="CF165" s="278"/>
      <c r="CG165" s="278"/>
      <c r="CH165" s="278"/>
      <c r="CI165" s="278"/>
      <c r="CJ165" s="278"/>
      <c r="CL165" s="279"/>
      <c r="CM165" s="278"/>
      <c r="CN165" s="278"/>
      <c r="CO165" s="278"/>
      <c r="CP165" s="278"/>
      <c r="CQ165" s="278"/>
      <c r="CR165" s="278"/>
      <c r="CS165" s="278"/>
      <c r="CU165" s="279"/>
      <c r="CV165" s="278"/>
      <c r="CW165" s="278"/>
      <c r="CX165" s="278"/>
      <c r="CY165" s="278"/>
      <c r="CZ165" s="278"/>
      <c r="DA165" s="278"/>
      <c r="DB165" s="278"/>
      <c r="DD165" s="279"/>
      <c r="DE165" s="278"/>
      <c r="DF165" s="278"/>
      <c r="DG165" s="278"/>
      <c r="DH165" s="278"/>
      <c r="DI165" s="278"/>
      <c r="DJ165" s="278"/>
      <c r="DK165" s="278"/>
      <c r="DM165" s="279"/>
      <c r="DN165" s="278"/>
      <c r="DO165" s="278"/>
      <c r="DP165" s="278"/>
      <c r="DQ165" s="278"/>
      <c r="DR165" s="278"/>
      <c r="DS165" s="278"/>
      <c r="DT165" s="278"/>
      <c r="DV165" s="279"/>
      <c r="DW165" s="278"/>
      <c r="DX165" s="278"/>
      <c r="DY165" s="278"/>
      <c r="DZ165" s="278"/>
      <c r="EA165" s="278"/>
      <c r="EB165" s="278"/>
      <c r="EC165" s="278"/>
      <c r="EE165" s="279"/>
      <c r="EF165" s="278"/>
      <c r="EG165" s="278"/>
      <c r="EH165" s="278"/>
      <c r="EI165" s="278"/>
      <c r="EJ165" s="278"/>
      <c r="EK165" s="278"/>
      <c r="EL165" s="278"/>
      <c r="EN165" s="279"/>
      <c r="EO165" s="278"/>
      <c r="EP165" s="278"/>
      <c r="EQ165" s="278"/>
      <c r="ER165" s="278"/>
      <c r="ES165" s="278"/>
      <c r="ET165" s="278"/>
      <c r="EU165" s="278"/>
      <c r="EW165" s="279"/>
      <c r="EX165" s="278"/>
      <c r="EY165" s="278"/>
    </row>
    <row r="166" spans="2:155" x14ac:dyDescent="0.2">
      <c r="B166" s="78" t="s">
        <v>154</v>
      </c>
      <c r="C166" s="138">
        <v>0.9</v>
      </c>
      <c r="D166" s="138">
        <v>1</v>
      </c>
      <c r="E166" s="138">
        <v>1.3</v>
      </c>
      <c r="F166" s="138">
        <v>1.3</v>
      </c>
      <c r="G166" s="138">
        <v>1.7</v>
      </c>
      <c r="H166" s="139">
        <v>1.5</v>
      </c>
    </row>
    <row r="167" spans="2:155" x14ac:dyDescent="0.2">
      <c r="B167" s="78" t="s">
        <v>155</v>
      </c>
      <c r="C167" s="138">
        <v>1.5</v>
      </c>
      <c r="D167" s="138">
        <v>1.5</v>
      </c>
      <c r="E167" s="138">
        <v>1.5</v>
      </c>
      <c r="F167" s="138">
        <v>1.5</v>
      </c>
      <c r="G167" s="138">
        <v>1.5</v>
      </c>
      <c r="H167" s="139">
        <v>1.5</v>
      </c>
    </row>
    <row r="168" spans="2:155" x14ac:dyDescent="0.2">
      <c r="B168" s="78" t="s">
        <v>156</v>
      </c>
      <c r="C168" s="126">
        <v>0.33</v>
      </c>
      <c r="D168" s="126">
        <v>0.33</v>
      </c>
      <c r="E168" s="126">
        <v>0.33</v>
      </c>
      <c r="F168" s="126">
        <v>0.33</v>
      </c>
      <c r="G168" s="126">
        <v>3.24</v>
      </c>
      <c r="H168" s="127">
        <v>0.39</v>
      </c>
    </row>
    <row r="169" spans="2:155" x14ac:dyDescent="0.2">
      <c r="B169" s="78" t="s">
        <v>157</v>
      </c>
      <c r="C169" s="126">
        <v>1.3450199999999999</v>
      </c>
      <c r="D169" s="126">
        <v>1.36344</v>
      </c>
      <c r="E169" s="126">
        <v>1.54278</v>
      </c>
      <c r="F169" s="126">
        <v>1.6046400000000001</v>
      </c>
      <c r="G169" s="126">
        <v>1.81494</v>
      </c>
      <c r="H169" s="127">
        <v>1.7965800000000001</v>
      </c>
    </row>
    <row r="170" spans="2:155" x14ac:dyDescent="0.2">
      <c r="B170" s="78"/>
      <c r="C170" s="138"/>
      <c r="D170" s="126"/>
      <c r="E170" s="126"/>
      <c r="F170" s="126"/>
      <c r="G170" s="126"/>
      <c r="H170" s="127"/>
    </row>
    <row r="171" spans="2:155" ht="15.75" x14ac:dyDescent="0.2">
      <c r="B171" s="107" t="s">
        <v>342</v>
      </c>
      <c r="C171" s="126"/>
      <c r="D171" s="126"/>
      <c r="E171" s="126"/>
      <c r="F171" s="126"/>
      <c r="G171" s="136"/>
      <c r="H171" s="137"/>
      <c r="I171" s="278"/>
      <c r="J171" s="278"/>
      <c r="K171" s="278"/>
      <c r="L171" s="278"/>
      <c r="M171" s="278"/>
      <c r="N171" s="278"/>
      <c r="O171" s="278"/>
      <c r="P171" s="278"/>
      <c r="R171" s="279"/>
      <c r="S171" s="278"/>
      <c r="T171" s="278"/>
      <c r="U171" s="278"/>
      <c r="V171" s="278"/>
      <c r="W171" s="278"/>
      <c r="X171" s="278"/>
      <c r="Y171" s="278"/>
      <c r="AA171" s="279"/>
      <c r="AB171" s="278"/>
      <c r="AC171" s="278"/>
      <c r="AD171" s="278"/>
      <c r="AE171" s="278"/>
      <c r="AF171" s="278"/>
      <c r="AG171" s="278"/>
      <c r="AH171" s="278"/>
      <c r="AJ171" s="279"/>
      <c r="AK171" s="278"/>
      <c r="AL171" s="278"/>
      <c r="AM171" s="278"/>
      <c r="AN171" s="278"/>
      <c r="AO171" s="278"/>
      <c r="AP171" s="278"/>
      <c r="AQ171" s="278"/>
      <c r="AS171" s="279"/>
      <c r="AT171" s="278"/>
      <c r="AU171" s="278"/>
      <c r="AV171" s="278"/>
      <c r="AW171" s="278"/>
      <c r="AX171" s="278"/>
      <c r="AY171" s="278"/>
      <c r="AZ171" s="278"/>
      <c r="BB171" s="279"/>
      <c r="BC171" s="278"/>
      <c r="BD171" s="278"/>
      <c r="BE171" s="278"/>
      <c r="BF171" s="278"/>
      <c r="BG171" s="278"/>
      <c r="BH171" s="278"/>
      <c r="BI171" s="278"/>
      <c r="BK171" s="279"/>
      <c r="BL171" s="278"/>
      <c r="BM171" s="278"/>
      <c r="BN171" s="278"/>
      <c r="BO171" s="278"/>
      <c r="BP171" s="278"/>
      <c r="BQ171" s="278"/>
      <c r="BR171" s="278"/>
      <c r="BT171" s="279"/>
      <c r="BU171" s="278"/>
      <c r="BV171" s="278"/>
      <c r="BW171" s="278"/>
      <c r="BX171" s="278"/>
      <c r="BY171" s="278"/>
      <c r="BZ171" s="278"/>
      <c r="CA171" s="278"/>
      <c r="CC171" s="279"/>
      <c r="CD171" s="278"/>
      <c r="CE171" s="278"/>
      <c r="CF171" s="278"/>
      <c r="CG171" s="278"/>
      <c r="CH171" s="278"/>
      <c r="CI171" s="278"/>
      <c r="CJ171" s="278"/>
      <c r="CL171" s="279"/>
      <c r="CM171" s="278"/>
      <c r="CN171" s="278"/>
      <c r="CO171" s="278"/>
      <c r="CP171" s="278"/>
      <c r="CQ171" s="278"/>
      <c r="CR171" s="278"/>
      <c r="CS171" s="278"/>
      <c r="CU171" s="279"/>
      <c r="CV171" s="278"/>
      <c r="CW171" s="278"/>
      <c r="CX171" s="278"/>
      <c r="CY171" s="278"/>
      <c r="CZ171" s="278"/>
      <c r="DA171" s="278"/>
      <c r="DB171" s="278"/>
      <c r="DD171" s="279"/>
      <c r="DE171" s="278"/>
      <c r="DF171" s="278"/>
      <c r="DG171" s="278"/>
      <c r="DH171" s="278"/>
      <c r="DI171" s="278"/>
      <c r="DJ171" s="278"/>
      <c r="DK171" s="278"/>
      <c r="DM171" s="279"/>
      <c r="DN171" s="278"/>
      <c r="DO171" s="278"/>
      <c r="DP171" s="278"/>
      <c r="DQ171" s="278"/>
      <c r="DR171" s="278"/>
      <c r="DS171" s="278"/>
      <c r="DT171" s="278"/>
      <c r="DV171" s="279"/>
      <c r="DW171" s="278"/>
      <c r="DX171" s="278"/>
      <c r="DY171" s="278"/>
      <c r="DZ171" s="278"/>
      <c r="EA171" s="278"/>
      <c r="EB171" s="278"/>
      <c r="EC171" s="278"/>
      <c r="EE171" s="279"/>
      <c r="EF171" s="278"/>
      <c r="EG171" s="278"/>
      <c r="EH171" s="278"/>
      <c r="EI171" s="278"/>
      <c r="EJ171" s="278"/>
      <c r="EK171" s="278"/>
      <c r="EL171" s="278"/>
      <c r="EN171" s="279"/>
      <c r="EO171" s="278"/>
      <c r="EP171" s="278"/>
      <c r="EQ171" s="278"/>
      <c r="ER171" s="278"/>
      <c r="ES171" s="278"/>
      <c r="ET171" s="278"/>
      <c r="EU171" s="278"/>
      <c r="EW171" s="279"/>
      <c r="EX171" s="278"/>
      <c r="EY171" s="278"/>
    </row>
    <row r="172" spans="2:155" x14ac:dyDescent="0.2">
      <c r="B172" s="78" t="s">
        <v>154</v>
      </c>
      <c r="C172" s="138">
        <v>0.9</v>
      </c>
      <c r="D172" s="138">
        <v>1</v>
      </c>
      <c r="E172" s="138">
        <v>1.3</v>
      </c>
      <c r="F172" s="138">
        <v>1.3</v>
      </c>
      <c r="G172" s="138">
        <v>1.7</v>
      </c>
      <c r="H172" s="139">
        <v>1.5</v>
      </c>
    </row>
    <row r="173" spans="2:155" x14ac:dyDescent="0.2">
      <c r="B173" s="78" t="s">
        <v>155</v>
      </c>
      <c r="C173" s="138">
        <v>1.5</v>
      </c>
      <c r="D173" s="138">
        <v>1.5</v>
      </c>
      <c r="E173" s="138">
        <v>1.5</v>
      </c>
      <c r="F173" s="138">
        <v>1.5</v>
      </c>
      <c r="G173" s="138">
        <v>1.5</v>
      </c>
      <c r="H173" s="139">
        <v>1.5</v>
      </c>
    </row>
    <row r="174" spans="2:155" x14ac:dyDescent="0.2">
      <c r="B174" s="78" t="s">
        <v>200</v>
      </c>
      <c r="C174" s="126">
        <v>0.33</v>
      </c>
      <c r="D174" s="126">
        <v>0.33</v>
      </c>
      <c r="E174" s="126">
        <v>0.33</v>
      </c>
      <c r="F174" s="126">
        <v>0.33</v>
      </c>
      <c r="G174" s="126">
        <v>3.24</v>
      </c>
      <c r="H174" s="127">
        <v>0.39</v>
      </c>
    </row>
    <row r="175" spans="2:155" x14ac:dyDescent="0.2">
      <c r="B175" s="78" t="s">
        <v>157</v>
      </c>
      <c r="C175" s="126">
        <v>1.3450199999999999</v>
      </c>
      <c r="D175" s="126">
        <v>1.36344</v>
      </c>
      <c r="E175" s="126">
        <v>1.54278</v>
      </c>
      <c r="F175" s="126">
        <v>1.6046400000000001</v>
      </c>
      <c r="G175" s="126">
        <v>1.81494</v>
      </c>
      <c r="H175" s="127">
        <v>1.7965800000000001</v>
      </c>
    </row>
    <row r="176" spans="2:155" x14ac:dyDescent="0.2">
      <c r="B176" s="78"/>
      <c r="C176" s="138"/>
      <c r="D176" s="126"/>
      <c r="E176" s="126"/>
      <c r="F176" s="126"/>
      <c r="G176" s="126"/>
      <c r="H176" s="127"/>
    </row>
    <row r="177" spans="2:8" ht="15.75" x14ac:dyDescent="0.2">
      <c r="B177" s="140" t="s">
        <v>158</v>
      </c>
      <c r="C177" s="126"/>
      <c r="D177" s="126"/>
      <c r="E177" s="126"/>
      <c r="F177" s="126"/>
      <c r="G177" s="126"/>
      <c r="H177" s="127"/>
    </row>
    <row r="178" spans="2:8" x14ac:dyDescent="0.2">
      <c r="B178" s="141" t="s">
        <v>159</v>
      </c>
      <c r="C178" s="123">
        <v>600</v>
      </c>
      <c r="D178" s="123">
        <v>600</v>
      </c>
      <c r="E178" s="123">
        <v>600</v>
      </c>
      <c r="F178" s="123">
        <v>600</v>
      </c>
      <c r="G178" s="123">
        <v>600</v>
      </c>
      <c r="H178" s="124">
        <v>600</v>
      </c>
    </row>
    <row r="179" spans="2:8" x14ac:dyDescent="0.2">
      <c r="B179" s="141" t="s">
        <v>160</v>
      </c>
      <c r="C179" s="123">
        <v>26600</v>
      </c>
      <c r="D179" s="123">
        <v>26600</v>
      </c>
      <c r="E179" s="123">
        <v>26600</v>
      </c>
      <c r="F179" s="123">
        <v>26600</v>
      </c>
      <c r="G179" s="123">
        <v>26600</v>
      </c>
      <c r="H179" s="124">
        <v>26600</v>
      </c>
    </row>
    <row r="180" spans="2:8" x14ac:dyDescent="0.2">
      <c r="B180" s="141" t="s">
        <v>161</v>
      </c>
      <c r="C180" s="138">
        <v>1.6</v>
      </c>
      <c r="D180" s="138">
        <v>1.6</v>
      </c>
      <c r="E180" s="138">
        <v>1.6</v>
      </c>
      <c r="F180" s="138">
        <v>1.6</v>
      </c>
      <c r="G180" s="138">
        <v>1.6</v>
      </c>
      <c r="H180" s="139">
        <v>1.6</v>
      </c>
    </row>
    <row r="181" spans="2:8" x14ac:dyDescent="0.2">
      <c r="B181" s="141"/>
      <c r="C181" s="123"/>
      <c r="D181" s="123"/>
      <c r="E181" s="123"/>
      <c r="F181" s="138"/>
      <c r="G181" s="123"/>
      <c r="H181" s="124"/>
    </row>
    <row r="182" spans="2:8" x14ac:dyDescent="0.2">
      <c r="B182" s="85"/>
      <c r="C182" s="123"/>
      <c r="D182" s="123"/>
      <c r="E182" s="123"/>
      <c r="F182" s="123"/>
      <c r="G182" s="123"/>
      <c r="H182" s="124"/>
    </row>
    <row r="183" spans="2:8" ht="15.75" x14ac:dyDescent="0.2">
      <c r="B183" s="107" t="s">
        <v>162</v>
      </c>
      <c r="C183" s="123"/>
      <c r="D183" s="123"/>
      <c r="E183" s="123"/>
      <c r="F183" s="123"/>
      <c r="G183" s="123"/>
      <c r="H183" s="124"/>
    </row>
    <row r="184" spans="2:8" x14ac:dyDescent="0.2">
      <c r="B184" s="96" t="s">
        <v>163</v>
      </c>
      <c r="C184" s="142">
        <f>SUM(C185:C187)</f>
        <v>1.4</v>
      </c>
      <c r="D184" s="142">
        <f t="shared" ref="D184:H184" si="0">SUM(D185:D187)</f>
        <v>1.3900000000000001</v>
      </c>
      <c r="E184" s="142">
        <f t="shared" si="0"/>
        <v>1.3900000000000001</v>
      </c>
      <c r="F184" s="142">
        <f t="shared" si="0"/>
        <v>1.3900000000000001</v>
      </c>
      <c r="G184" s="142">
        <f t="shared" si="0"/>
        <v>1.4300000000000002</v>
      </c>
      <c r="H184" s="143">
        <f t="shared" si="0"/>
        <v>1.3900000000000001</v>
      </c>
    </row>
    <row r="185" spans="2:8" x14ac:dyDescent="0.2">
      <c r="B185" s="144" t="s">
        <v>164</v>
      </c>
      <c r="C185" s="142">
        <v>0.03</v>
      </c>
      <c r="D185" s="142">
        <v>0.03</v>
      </c>
      <c r="E185" s="142">
        <v>0.03</v>
      </c>
      <c r="F185" s="142">
        <v>0.03</v>
      </c>
      <c r="G185" s="142">
        <v>0.05</v>
      </c>
      <c r="H185" s="143">
        <v>0.03</v>
      </c>
    </row>
    <row r="186" spans="2:8" x14ac:dyDescent="0.2">
      <c r="B186" s="144" t="s">
        <v>165</v>
      </c>
      <c r="C186" s="142">
        <v>0.47</v>
      </c>
      <c r="D186" s="142">
        <v>0.46</v>
      </c>
      <c r="E186" s="142">
        <v>0.46</v>
      </c>
      <c r="F186" s="142">
        <v>0.46</v>
      </c>
      <c r="G186" s="142">
        <v>0.48</v>
      </c>
      <c r="H186" s="143">
        <v>0.46</v>
      </c>
    </row>
    <row r="187" spans="2:8" x14ac:dyDescent="0.2">
      <c r="B187" s="144" t="s">
        <v>166</v>
      </c>
      <c r="C187" s="142">
        <v>0.9</v>
      </c>
      <c r="D187" s="142">
        <v>0.9</v>
      </c>
      <c r="E187" s="142">
        <v>0.9</v>
      </c>
      <c r="F187" s="142">
        <v>0.9</v>
      </c>
      <c r="G187" s="142">
        <v>0.9</v>
      </c>
      <c r="H187" s="143">
        <v>0.9</v>
      </c>
    </row>
    <row r="188" spans="2:8" x14ac:dyDescent="0.2">
      <c r="B188" s="96"/>
      <c r="C188" s="145"/>
      <c r="D188" s="145"/>
      <c r="E188" s="145"/>
      <c r="F188" s="145"/>
      <c r="G188" s="145"/>
      <c r="H188" s="146"/>
    </row>
    <row r="189" spans="2:8" ht="15.75" x14ac:dyDescent="0.2">
      <c r="B189" s="107" t="s">
        <v>167</v>
      </c>
      <c r="C189" s="123"/>
      <c r="D189" s="123"/>
      <c r="E189" s="123"/>
      <c r="F189" s="123"/>
      <c r="G189" s="123"/>
      <c r="H189" s="124"/>
    </row>
    <row r="190" spans="2:8" x14ac:dyDescent="0.2">
      <c r="B190" s="96" t="s">
        <v>163</v>
      </c>
      <c r="C190" s="142">
        <f>SUM(C191:C193)</f>
        <v>10.91</v>
      </c>
      <c r="D190" s="142">
        <f t="shared" ref="D190:H190" si="1">SUM(D191:D193)</f>
        <v>10.91</v>
      </c>
      <c r="E190" s="142">
        <f t="shared" si="1"/>
        <v>10.93</v>
      </c>
      <c r="F190" s="142">
        <f t="shared" si="1"/>
        <v>10.93</v>
      </c>
      <c r="G190" s="142">
        <f t="shared" ref="G190" si="2">SUM(G191:G193)</f>
        <v>11.459999999999999</v>
      </c>
      <c r="H190" s="143">
        <f t="shared" si="1"/>
        <v>10.93</v>
      </c>
    </row>
    <row r="191" spans="2:8" x14ac:dyDescent="0.2">
      <c r="B191" s="144" t="s">
        <v>164</v>
      </c>
      <c r="C191" s="138">
        <v>9.31</v>
      </c>
      <c r="D191" s="138">
        <v>9.31</v>
      </c>
      <c r="E191" s="138">
        <v>9.33</v>
      </c>
      <c r="F191" s="138">
        <v>9.33</v>
      </c>
      <c r="G191" s="142">
        <v>9.86</v>
      </c>
      <c r="H191" s="143">
        <v>9.33</v>
      </c>
    </row>
    <row r="192" spans="2:8" x14ac:dyDescent="0.2">
      <c r="B192" s="144" t="s">
        <v>165</v>
      </c>
      <c r="C192" s="138">
        <v>0.7</v>
      </c>
      <c r="D192" s="138">
        <v>0.7</v>
      </c>
      <c r="E192" s="138">
        <v>0.7</v>
      </c>
      <c r="F192" s="138">
        <v>0.7</v>
      </c>
      <c r="G192" s="138">
        <v>0.7</v>
      </c>
      <c r="H192" s="139">
        <v>0.7</v>
      </c>
    </row>
    <row r="193" spans="2:8" x14ac:dyDescent="0.2">
      <c r="B193" s="144" t="s">
        <v>166</v>
      </c>
      <c r="C193" s="138">
        <v>0.9</v>
      </c>
      <c r="D193" s="138">
        <v>0.9</v>
      </c>
      <c r="E193" s="138">
        <v>0.9</v>
      </c>
      <c r="F193" s="138">
        <v>0.9</v>
      </c>
      <c r="G193" s="142">
        <v>0.9</v>
      </c>
      <c r="H193" s="143">
        <v>0.9</v>
      </c>
    </row>
    <row r="194" spans="2:8" x14ac:dyDescent="0.2">
      <c r="B194" s="96"/>
      <c r="C194" s="145"/>
      <c r="D194" s="145"/>
      <c r="E194" s="145"/>
      <c r="F194" s="145"/>
      <c r="G194" s="145"/>
      <c r="H194" s="146"/>
    </row>
    <row r="195" spans="2:8" ht="15" customHeight="1" x14ac:dyDescent="0.2">
      <c r="B195" s="147" t="s">
        <v>410</v>
      </c>
      <c r="C195" s="104"/>
      <c r="D195" s="104"/>
      <c r="E195" s="104"/>
      <c r="F195" s="104"/>
      <c r="G195" s="104"/>
      <c r="H195" s="105"/>
    </row>
    <row r="196" spans="2:8" ht="15" customHeight="1" x14ac:dyDescent="0.2">
      <c r="B196" s="141" t="s">
        <v>168</v>
      </c>
      <c r="C196" s="148">
        <v>25.4</v>
      </c>
      <c r="D196" s="148">
        <v>25.4</v>
      </c>
      <c r="E196" s="148">
        <v>-25.4</v>
      </c>
      <c r="F196" s="148">
        <v>-25.4</v>
      </c>
      <c r="G196" s="148">
        <v>-30.2</v>
      </c>
      <c r="H196" s="149">
        <v>-30.2</v>
      </c>
    </row>
    <row r="197" spans="2:8" ht="15" customHeight="1" x14ac:dyDescent="0.2">
      <c r="B197" s="141" t="s">
        <v>169</v>
      </c>
      <c r="C197" s="148">
        <v>12.5</v>
      </c>
      <c r="D197" s="148">
        <v>12.5</v>
      </c>
      <c r="E197" s="148">
        <v>-12.5</v>
      </c>
      <c r="F197" s="148">
        <v>-12.5</v>
      </c>
      <c r="G197" s="148">
        <v>-12.7</v>
      </c>
      <c r="H197" s="149">
        <v>-12.7</v>
      </c>
    </row>
    <row r="198" spans="2:8" ht="15" customHeight="1" x14ac:dyDescent="0.2">
      <c r="B198" s="141"/>
      <c r="C198" s="148"/>
      <c r="D198" s="148"/>
      <c r="E198" s="148"/>
      <c r="F198" s="148"/>
      <c r="G198" s="148"/>
      <c r="H198" s="149"/>
    </row>
    <row r="199" spans="2:8" ht="15" customHeight="1" x14ac:dyDescent="0.2">
      <c r="B199" s="147" t="s">
        <v>411</v>
      </c>
      <c r="C199" s="148"/>
      <c r="D199" s="148"/>
      <c r="E199" s="148"/>
      <c r="F199" s="148"/>
      <c r="G199" s="148"/>
      <c r="H199" s="149"/>
    </row>
    <row r="200" spans="2:8" ht="15" customHeight="1" x14ac:dyDescent="0.2">
      <c r="B200" s="141" t="s">
        <v>168</v>
      </c>
      <c r="C200" s="148" t="s">
        <v>201</v>
      </c>
      <c r="D200" s="148" t="s">
        <v>201</v>
      </c>
      <c r="E200" s="148" t="s">
        <v>201</v>
      </c>
      <c r="F200" s="148" t="s">
        <v>201</v>
      </c>
      <c r="G200" s="148" t="s">
        <v>201</v>
      </c>
      <c r="H200" s="149" t="s">
        <v>201</v>
      </c>
    </row>
    <row r="201" spans="2:8" ht="15" customHeight="1" x14ac:dyDescent="0.2">
      <c r="B201" s="141" t="s">
        <v>169</v>
      </c>
      <c r="C201" s="148" t="s">
        <v>201</v>
      </c>
      <c r="D201" s="148" t="s">
        <v>201</v>
      </c>
      <c r="E201" s="148" t="s">
        <v>201</v>
      </c>
      <c r="F201" s="148" t="s">
        <v>201</v>
      </c>
      <c r="G201" s="148" t="s">
        <v>201</v>
      </c>
      <c r="H201" s="149" t="s">
        <v>201</v>
      </c>
    </row>
    <row r="202" spans="2:8" ht="15.75" thickBot="1" x14ac:dyDescent="0.25">
      <c r="B202" s="150"/>
      <c r="C202" s="111"/>
      <c r="D202" s="111"/>
      <c r="E202" s="111"/>
      <c r="F202" s="111"/>
      <c r="G202" s="151"/>
      <c r="H202" s="152"/>
    </row>
    <row r="203" spans="2:8" ht="17.25" thickTop="1" thickBot="1" x14ac:dyDescent="0.25">
      <c r="B203" s="95" t="s">
        <v>170</v>
      </c>
      <c r="C203" s="153"/>
      <c r="D203" s="153"/>
      <c r="E203" s="153"/>
      <c r="F203" s="153"/>
      <c r="G203" s="153"/>
      <c r="H203" s="154"/>
    </row>
    <row r="204" spans="2:8" ht="15.75" thickTop="1" x14ac:dyDescent="0.2">
      <c r="B204" s="141"/>
      <c r="C204" s="97"/>
      <c r="D204" s="97"/>
      <c r="E204" s="97"/>
      <c r="F204" s="97"/>
      <c r="G204" s="97"/>
      <c r="H204" s="98"/>
    </row>
    <row r="205" spans="2:8" x14ac:dyDescent="0.2">
      <c r="B205" s="141" t="s">
        <v>171</v>
      </c>
      <c r="C205" s="155"/>
      <c r="D205" s="155"/>
      <c r="E205" s="155"/>
      <c r="F205" s="155"/>
      <c r="G205" s="155"/>
      <c r="H205" s="156"/>
    </row>
    <row r="206" spans="2:8" ht="15.75" x14ac:dyDescent="0.2">
      <c r="B206" s="157" t="s">
        <v>172</v>
      </c>
      <c r="C206" s="158">
        <v>330.5</v>
      </c>
      <c r="D206" s="158">
        <v>330.5</v>
      </c>
      <c r="E206" s="158">
        <v>330.5</v>
      </c>
      <c r="F206" s="158">
        <v>330.5</v>
      </c>
      <c r="G206" s="158">
        <v>330.5</v>
      </c>
      <c r="H206" s="159">
        <v>330.5</v>
      </c>
    </row>
    <row r="207" spans="2:8" ht="15.75" x14ac:dyDescent="0.2">
      <c r="B207" s="125" t="s">
        <v>173</v>
      </c>
      <c r="C207" s="160">
        <v>6.8</v>
      </c>
      <c r="D207" s="160">
        <v>6.8</v>
      </c>
      <c r="E207" s="160">
        <v>6.9</v>
      </c>
      <c r="F207" s="160">
        <v>6.9</v>
      </c>
      <c r="G207" s="160">
        <v>6.9</v>
      </c>
      <c r="H207" s="161">
        <v>6.9</v>
      </c>
    </row>
    <row r="208" spans="2:8" x14ac:dyDescent="0.2">
      <c r="B208" s="157" t="s">
        <v>174</v>
      </c>
      <c r="C208" s="158">
        <v>72.400000000000006</v>
      </c>
      <c r="D208" s="158">
        <v>72.400000000000006</v>
      </c>
      <c r="E208" s="158">
        <v>72.400000000000006</v>
      </c>
      <c r="F208" s="158">
        <v>72.400000000000006</v>
      </c>
      <c r="G208" s="158">
        <v>72.400000000000006</v>
      </c>
      <c r="H208" s="159">
        <v>72.400000000000006</v>
      </c>
    </row>
    <row r="209" spans="2:8" ht="15.75" x14ac:dyDescent="0.2">
      <c r="B209" s="157" t="s">
        <v>175</v>
      </c>
      <c r="C209" s="158">
        <v>408000</v>
      </c>
      <c r="D209" s="158">
        <v>410400</v>
      </c>
      <c r="E209" s="158">
        <v>411600</v>
      </c>
      <c r="F209" s="158">
        <v>411600</v>
      </c>
      <c r="G209" s="158">
        <v>414000</v>
      </c>
      <c r="H209" s="159">
        <v>414000</v>
      </c>
    </row>
    <row r="210" spans="2:8" x14ac:dyDescent="0.2">
      <c r="B210" s="157"/>
      <c r="C210" s="162"/>
      <c r="D210" s="162"/>
      <c r="E210" s="162"/>
      <c r="F210" s="162"/>
      <c r="G210" s="162"/>
      <c r="H210" s="163"/>
    </row>
    <row r="211" spans="2:8" x14ac:dyDescent="0.2">
      <c r="B211" s="141" t="s">
        <v>176</v>
      </c>
      <c r="C211" s="162"/>
      <c r="D211" s="162"/>
      <c r="E211" s="162"/>
      <c r="F211" s="162"/>
      <c r="G211" s="162"/>
      <c r="H211" s="163"/>
    </row>
    <row r="212" spans="2:8" ht="15.75" x14ac:dyDescent="0.2">
      <c r="B212" s="157" t="s">
        <v>172</v>
      </c>
      <c r="C212" s="158">
        <v>26.4</v>
      </c>
      <c r="D212" s="158">
        <v>26.4</v>
      </c>
      <c r="E212" s="158">
        <v>26.4</v>
      </c>
      <c r="F212" s="158">
        <v>26.4</v>
      </c>
      <c r="G212" s="158">
        <v>26.4</v>
      </c>
      <c r="H212" s="159">
        <v>26.4</v>
      </c>
    </row>
    <row r="213" spans="2:8" ht="15.75" x14ac:dyDescent="0.2">
      <c r="B213" s="157" t="s">
        <v>173</v>
      </c>
      <c r="C213" s="160">
        <v>6.8</v>
      </c>
      <c r="D213" s="160">
        <v>6.8</v>
      </c>
      <c r="E213" s="160">
        <v>6.9</v>
      </c>
      <c r="F213" s="160">
        <v>6.9</v>
      </c>
      <c r="G213" s="160">
        <v>6.9</v>
      </c>
      <c r="H213" s="161">
        <v>6.9</v>
      </c>
    </row>
    <row r="214" spans="2:8" x14ac:dyDescent="0.2">
      <c r="B214" s="157" t="s">
        <v>174</v>
      </c>
      <c r="C214" s="158">
        <v>16.100000000000001</v>
      </c>
      <c r="D214" s="158">
        <v>16.100000000000001</v>
      </c>
      <c r="E214" s="158">
        <v>16.100000000000001</v>
      </c>
      <c r="F214" s="158">
        <v>16.100000000000001</v>
      </c>
      <c r="G214" s="158">
        <v>16.100000000000001</v>
      </c>
      <c r="H214" s="159">
        <v>16.100000000000001</v>
      </c>
    </row>
    <row r="215" spans="2:8" ht="15.75" x14ac:dyDescent="0.2">
      <c r="B215" s="157" t="s">
        <v>175</v>
      </c>
      <c r="C215" s="158">
        <v>408000</v>
      </c>
      <c r="D215" s="158">
        <v>410400</v>
      </c>
      <c r="E215" s="158">
        <v>411600</v>
      </c>
      <c r="F215" s="158">
        <v>411600</v>
      </c>
      <c r="G215" s="158">
        <v>414000</v>
      </c>
      <c r="H215" s="159">
        <v>414000</v>
      </c>
    </row>
    <row r="216" spans="2:8" ht="15.75" thickBot="1" x14ac:dyDescent="0.25">
      <c r="B216" s="141"/>
      <c r="C216" s="164"/>
      <c r="D216" s="164"/>
      <c r="E216" s="164"/>
      <c r="F216" s="164"/>
      <c r="G216" s="164"/>
      <c r="H216" s="165"/>
    </row>
    <row r="217" spans="2:8" ht="17.25" thickTop="1" thickBot="1" x14ac:dyDescent="0.25">
      <c r="B217" s="95" t="s">
        <v>177</v>
      </c>
      <c r="C217" s="166"/>
      <c r="D217" s="166"/>
      <c r="E217" s="166"/>
      <c r="F217" s="166"/>
      <c r="G217" s="166"/>
      <c r="H217" s="167"/>
    </row>
    <row r="218" spans="2:8" ht="15.75" thickTop="1" x14ac:dyDescent="0.2">
      <c r="B218" s="141"/>
      <c r="C218" s="168"/>
      <c r="D218" s="168"/>
      <c r="E218" s="168"/>
      <c r="F218" s="168"/>
      <c r="G218" s="168"/>
      <c r="H218" s="169"/>
    </row>
    <row r="219" spans="2:8" ht="15.75" x14ac:dyDescent="0.2">
      <c r="B219" s="141" t="s">
        <v>171</v>
      </c>
      <c r="C219" s="170"/>
      <c r="D219" s="171"/>
      <c r="E219" s="171"/>
      <c r="F219" s="171"/>
      <c r="G219" s="171"/>
      <c r="H219" s="172"/>
    </row>
    <row r="220" spans="2:8" ht="15.75" x14ac:dyDescent="0.2">
      <c r="B220" s="157" t="s">
        <v>172</v>
      </c>
      <c r="C220" s="158">
        <v>640</v>
      </c>
      <c r="D220" s="158">
        <v>640</v>
      </c>
      <c r="E220" s="158">
        <v>640</v>
      </c>
      <c r="F220" s="158">
        <v>640</v>
      </c>
      <c r="G220" s="158">
        <v>640</v>
      </c>
      <c r="H220" s="159">
        <v>640</v>
      </c>
    </row>
    <row r="221" spans="2:8" ht="15.75" x14ac:dyDescent="0.2">
      <c r="B221" s="125" t="s">
        <v>173</v>
      </c>
      <c r="C221" s="160">
        <v>5.2</v>
      </c>
      <c r="D221" s="160">
        <v>5.2</v>
      </c>
      <c r="E221" s="160">
        <v>5.2</v>
      </c>
      <c r="F221" s="160">
        <v>5.2</v>
      </c>
      <c r="G221" s="160">
        <v>5.3</v>
      </c>
      <c r="H221" s="161">
        <v>5.3</v>
      </c>
    </row>
    <row r="222" spans="2:8" ht="18.600000000000001" customHeight="1" x14ac:dyDescent="0.2">
      <c r="B222" s="157" t="s">
        <v>174</v>
      </c>
      <c r="C222" s="158">
        <v>109.4</v>
      </c>
      <c r="D222" s="158">
        <v>109.4</v>
      </c>
      <c r="E222" s="158">
        <v>109.4</v>
      </c>
      <c r="F222" s="158">
        <v>109.4</v>
      </c>
      <c r="G222" s="158">
        <v>109.4</v>
      </c>
      <c r="H222" s="159">
        <v>109.4</v>
      </c>
    </row>
    <row r="223" spans="2:8" ht="15.75" x14ac:dyDescent="0.2">
      <c r="B223" s="157" t="s">
        <v>175</v>
      </c>
      <c r="C223" s="158">
        <v>544000</v>
      </c>
      <c r="D223" s="158">
        <v>547200</v>
      </c>
      <c r="E223" s="158">
        <v>548800</v>
      </c>
      <c r="F223" s="158">
        <v>548800</v>
      </c>
      <c r="G223" s="158">
        <v>552000</v>
      </c>
      <c r="H223" s="159">
        <v>552000</v>
      </c>
    </row>
    <row r="224" spans="2:8" x14ac:dyDescent="0.2">
      <c r="B224" s="157"/>
      <c r="C224" s="158"/>
      <c r="D224" s="158"/>
      <c r="E224" s="158"/>
      <c r="F224" s="158"/>
      <c r="G224" s="158"/>
      <c r="H224" s="159"/>
    </row>
    <row r="225" spans="2:9" x14ac:dyDescent="0.2">
      <c r="B225" s="141" t="s">
        <v>176</v>
      </c>
      <c r="C225" s="162"/>
      <c r="D225" s="162"/>
      <c r="E225" s="162"/>
      <c r="F225" s="162"/>
      <c r="G225" s="162"/>
      <c r="H225" s="163"/>
    </row>
    <row r="226" spans="2:9" ht="15.75" x14ac:dyDescent="0.2">
      <c r="B226" s="157" t="s">
        <v>172</v>
      </c>
      <c r="C226" s="158">
        <v>96</v>
      </c>
      <c r="D226" s="158">
        <v>96</v>
      </c>
      <c r="E226" s="158">
        <v>96</v>
      </c>
      <c r="F226" s="158">
        <v>96</v>
      </c>
      <c r="G226" s="158">
        <v>96</v>
      </c>
      <c r="H226" s="159">
        <v>96</v>
      </c>
    </row>
    <row r="227" spans="2:9" ht="15.75" x14ac:dyDescent="0.2">
      <c r="B227" s="157" t="s">
        <v>173</v>
      </c>
      <c r="C227" s="160">
        <v>5.2</v>
      </c>
      <c r="D227" s="160">
        <v>5.2</v>
      </c>
      <c r="E227" s="160">
        <v>5.2</v>
      </c>
      <c r="F227" s="160">
        <v>5.2</v>
      </c>
      <c r="G227" s="160">
        <v>5.3</v>
      </c>
      <c r="H227" s="161">
        <v>5.3</v>
      </c>
    </row>
    <row r="228" spans="2:9" x14ac:dyDescent="0.2">
      <c r="B228" s="157" t="s">
        <v>174</v>
      </c>
      <c r="C228" s="158">
        <v>18.600000000000001</v>
      </c>
      <c r="D228" s="158">
        <v>18.600000000000001</v>
      </c>
      <c r="E228" s="158">
        <v>18.600000000000001</v>
      </c>
      <c r="F228" s="158">
        <v>18.600000000000001</v>
      </c>
      <c r="G228" s="158">
        <v>18.600000000000001</v>
      </c>
      <c r="H228" s="159">
        <v>18.600000000000001</v>
      </c>
    </row>
    <row r="229" spans="2:9" ht="15.75" x14ac:dyDescent="0.2">
      <c r="B229" s="157" t="s">
        <v>175</v>
      </c>
      <c r="C229" s="158">
        <v>544000</v>
      </c>
      <c r="D229" s="158">
        <v>547200</v>
      </c>
      <c r="E229" s="158">
        <v>548800</v>
      </c>
      <c r="F229" s="158">
        <v>548800</v>
      </c>
      <c r="G229" s="158">
        <v>552000</v>
      </c>
      <c r="H229" s="159">
        <v>552000</v>
      </c>
    </row>
    <row r="230" spans="2:9" ht="15.75" thickBot="1" x14ac:dyDescent="0.25">
      <c r="B230" s="173"/>
      <c r="C230" s="174"/>
      <c r="D230" s="174"/>
      <c r="E230" s="174"/>
      <c r="F230" s="174"/>
      <c r="G230" s="174"/>
      <c r="H230" s="175"/>
    </row>
    <row r="231" spans="2:9" ht="16.5" thickTop="1" x14ac:dyDescent="0.2">
      <c r="B231" s="176" t="s">
        <v>178</v>
      </c>
      <c r="C231" s="177"/>
      <c r="D231" s="177"/>
      <c r="E231" s="177"/>
      <c r="F231" s="177"/>
      <c r="G231" s="177"/>
      <c r="H231" s="178"/>
    </row>
    <row r="232" spans="2:9" s="179" customFormat="1" x14ac:dyDescent="0.2">
      <c r="B232" s="78" t="s">
        <v>412</v>
      </c>
      <c r="C232" s="180"/>
      <c r="D232" s="180"/>
      <c r="E232" s="180"/>
      <c r="F232" s="180"/>
      <c r="G232" s="180"/>
      <c r="H232" s="181"/>
      <c r="I232" s="289"/>
    </row>
    <row r="233" spans="2:9" s="179" customFormat="1" x14ac:dyDescent="0.2">
      <c r="B233" s="78" t="s">
        <v>179</v>
      </c>
      <c r="C233" s="180"/>
      <c r="D233" s="180"/>
      <c r="E233" s="180"/>
      <c r="F233" s="180"/>
      <c r="G233" s="180"/>
      <c r="H233" s="181"/>
      <c r="I233" s="289"/>
    </row>
    <row r="234" spans="2:9" s="179" customFormat="1" ht="15" customHeight="1" x14ac:dyDescent="0.2">
      <c r="B234" s="182" t="s">
        <v>180</v>
      </c>
      <c r="C234" s="183"/>
      <c r="D234" s="183"/>
      <c r="E234" s="183"/>
      <c r="F234" s="183"/>
      <c r="G234" s="183"/>
      <c r="H234" s="184"/>
      <c r="I234" s="289"/>
    </row>
    <row r="235" spans="2:9" s="179" customFormat="1" ht="15" customHeight="1" x14ac:dyDescent="0.2">
      <c r="B235" s="182" t="s">
        <v>181</v>
      </c>
      <c r="C235" s="183"/>
      <c r="D235" s="183"/>
      <c r="E235" s="183"/>
      <c r="F235" s="183"/>
      <c r="G235" s="183"/>
      <c r="H235" s="184"/>
      <c r="I235" s="289"/>
    </row>
    <row r="236" spans="2:9" s="179" customFormat="1" ht="15" hidden="1" customHeight="1" x14ac:dyDescent="0.2">
      <c r="B236" s="185"/>
      <c r="C236" s="183"/>
      <c r="D236" s="183"/>
      <c r="E236" s="183"/>
      <c r="F236" s="183"/>
      <c r="G236" s="183"/>
      <c r="H236" s="184"/>
      <c r="I236" s="289"/>
    </row>
    <row r="237" spans="2:9" s="179" customFormat="1" x14ac:dyDescent="0.2">
      <c r="B237" s="78" t="s">
        <v>182</v>
      </c>
      <c r="C237" s="180"/>
      <c r="D237" s="180"/>
      <c r="E237" s="180"/>
      <c r="F237" s="180"/>
      <c r="G237" s="180"/>
      <c r="H237" s="181"/>
      <c r="I237" s="289"/>
    </row>
    <row r="238" spans="2:9" s="179" customFormat="1" x14ac:dyDescent="0.2">
      <c r="B238" s="78" t="s">
        <v>183</v>
      </c>
      <c r="C238" s="180"/>
      <c r="D238" s="180"/>
      <c r="E238" s="180"/>
      <c r="F238" s="180"/>
      <c r="G238" s="180"/>
      <c r="H238" s="181"/>
      <c r="I238" s="289"/>
    </row>
    <row r="239" spans="2:9" s="179" customFormat="1" x14ac:dyDescent="0.2">
      <c r="B239" s="78" t="s">
        <v>184</v>
      </c>
      <c r="C239" s="180"/>
      <c r="D239" s="180"/>
      <c r="E239" s="180"/>
      <c r="F239" s="180"/>
      <c r="G239" s="180"/>
      <c r="H239" s="181"/>
      <c r="I239" s="289"/>
    </row>
    <row r="240" spans="2:9" s="179" customFormat="1" ht="15" customHeight="1" x14ac:dyDescent="0.2">
      <c r="B240" s="182" t="s">
        <v>185</v>
      </c>
      <c r="C240" s="183"/>
      <c r="D240" s="183"/>
      <c r="E240" s="183"/>
      <c r="F240" s="183"/>
      <c r="G240" s="183"/>
      <c r="H240" s="184"/>
      <c r="I240" s="289"/>
    </row>
    <row r="241" spans="2:9" s="179" customFormat="1" x14ac:dyDescent="0.2">
      <c r="B241" s="78" t="s">
        <v>186</v>
      </c>
      <c r="C241" s="183"/>
      <c r="D241" s="183"/>
      <c r="E241" s="183"/>
      <c r="F241" s="183"/>
      <c r="G241" s="183"/>
      <c r="H241" s="184"/>
      <c r="I241" s="289"/>
    </row>
    <row r="242" spans="2:9" s="179" customFormat="1" x14ac:dyDescent="0.2">
      <c r="B242" s="78" t="s">
        <v>187</v>
      </c>
      <c r="C242" s="180"/>
      <c r="D242" s="180"/>
      <c r="E242" s="180"/>
      <c r="F242" s="180"/>
      <c r="G242" s="180"/>
      <c r="H242" s="181"/>
      <c r="I242" s="289"/>
    </row>
    <row r="243" spans="2:9" s="179" customFormat="1" x14ac:dyDescent="0.2">
      <c r="B243" s="78" t="s">
        <v>413</v>
      </c>
      <c r="C243" s="180"/>
      <c r="D243" s="180"/>
      <c r="E243" s="180"/>
      <c r="F243" s="180"/>
      <c r="G243" s="180"/>
      <c r="H243" s="181"/>
      <c r="I243" s="289"/>
    </row>
    <row r="244" spans="2:9" s="179" customFormat="1" x14ac:dyDescent="0.2">
      <c r="B244" s="78" t="s">
        <v>188</v>
      </c>
      <c r="C244" s="180"/>
      <c r="D244" s="180"/>
      <c r="E244" s="180"/>
      <c r="F244" s="180"/>
      <c r="G244" s="180"/>
      <c r="H244" s="181"/>
      <c r="I244" s="289"/>
    </row>
    <row r="245" spans="2:9" s="179" customFormat="1" x14ac:dyDescent="0.2">
      <c r="B245" s="78" t="s">
        <v>189</v>
      </c>
      <c r="C245" s="180"/>
      <c r="D245" s="180"/>
      <c r="E245" s="180"/>
      <c r="F245" s="180"/>
      <c r="G245" s="180"/>
      <c r="H245" s="181"/>
      <c r="I245" s="289"/>
    </row>
    <row r="246" spans="2:9" ht="15.75" thickBot="1" x14ac:dyDescent="0.25">
      <c r="B246" s="110"/>
      <c r="C246" s="186"/>
      <c r="D246" s="186"/>
      <c r="E246" s="186"/>
      <c r="F246" s="186"/>
      <c r="G246" s="186"/>
      <c r="H246" s="187"/>
    </row>
    <row r="247" spans="2:9" ht="15.75" thickTop="1" x14ac:dyDescent="0.2"/>
  </sheetData>
  <mergeCells count="4">
    <mergeCell ref="B2:H2"/>
    <mergeCell ref="B3:H3"/>
    <mergeCell ref="B4:H4"/>
    <mergeCell ref="B5:H5"/>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C247"/>
  <sheetViews>
    <sheetView workbookViewId="0"/>
  </sheetViews>
  <sheetFormatPr defaultColWidth="10.6640625" defaultRowHeight="15" x14ac:dyDescent="0.2"/>
  <cols>
    <col min="1" max="1" width="14.83203125" style="61" customWidth="1"/>
    <col min="2" max="2" width="62.1640625" style="61" customWidth="1"/>
    <col min="3" max="5" width="30" style="188" customWidth="1"/>
    <col min="6" max="16384" width="10.6640625" style="61"/>
  </cols>
  <sheetData>
    <row r="1" spans="2:5" ht="16.5" thickBot="1" x14ac:dyDescent="0.25">
      <c r="B1" s="62"/>
      <c r="C1" s="63"/>
      <c r="D1" s="63"/>
      <c r="E1" s="63"/>
    </row>
    <row r="2" spans="2:5" ht="16.5" thickTop="1" x14ac:dyDescent="0.2">
      <c r="B2" s="307" t="s">
        <v>74</v>
      </c>
      <c r="C2" s="308"/>
      <c r="D2" s="308"/>
      <c r="E2" s="309"/>
    </row>
    <row r="3" spans="2:5" ht="15.75" x14ac:dyDescent="0.2">
      <c r="B3" s="310" t="s">
        <v>75</v>
      </c>
      <c r="C3" s="311"/>
      <c r="D3" s="311"/>
      <c r="E3" s="312"/>
    </row>
    <row r="4" spans="2:5" ht="15.75" x14ac:dyDescent="0.2">
      <c r="B4" s="313" t="s">
        <v>76</v>
      </c>
      <c r="C4" s="314"/>
      <c r="D4" s="314"/>
      <c r="E4" s="315"/>
    </row>
    <row r="5" spans="2:5" ht="16.5" thickBot="1" x14ac:dyDescent="0.25">
      <c r="B5" s="316" t="s">
        <v>439</v>
      </c>
      <c r="C5" s="317"/>
      <c r="D5" s="317"/>
      <c r="E5" s="318"/>
    </row>
    <row r="6" spans="2:5" ht="48.6" customHeight="1" thickTop="1" thickBot="1" x14ac:dyDescent="0.25">
      <c r="B6" s="65" t="s">
        <v>77</v>
      </c>
      <c r="C6" s="66" t="s">
        <v>63</v>
      </c>
      <c r="D6" s="66" t="s">
        <v>62</v>
      </c>
      <c r="E6" s="67" t="s">
        <v>60</v>
      </c>
    </row>
    <row r="7" spans="2:5" ht="15.6" customHeight="1" thickTop="1" thickBot="1" x14ac:dyDescent="0.25">
      <c r="B7" s="68" t="s">
        <v>78</v>
      </c>
      <c r="C7" s="69"/>
      <c r="D7" s="69"/>
      <c r="E7" s="280"/>
    </row>
    <row r="8" spans="2:5" ht="15.75" thickTop="1" x14ac:dyDescent="0.2">
      <c r="B8" s="72" t="s">
        <v>79</v>
      </c>
      <c r="C8" s="73">
        <v>1</v>
      </c>
      <c r="D8" s="73">
        <v>1</v>
      </c>
      <c r="E8" s="74">
        <v>1</v>
      </c>
    </row>
    <row r="9" spans="2:5" x14ac:dyDescent="0.2">
      <c r="B9" s="75" t="s">
        <v>80</v>
      </c>
      <c r="C9" s="76" t="s">
        <v>81</v>
      </c>
      <c r="D9" s="76" t="s">
        <v>81</v>
      </c>
      <c r="E9" s="77" t="s">
        <v>81</v>
      </c>
    </row>
    <row r="10" spans="2:5" ht="15" customHeight="1" x14ac:dyDescent="0.2">
      <c r="B10" s="78" t="s">
        <v>82</v>
      </c>
      <c r="C10" s="79" t="s">
        <v>83</v>
      </c>
      <c r="D10" s="79" t="s">
        <v>83</v>
      </c>
      <c r="E10" s="80" t="s">
        <v>83</v>
      </c>
    </row>
    <row r="11" spans="2:5" ht="15" customHeight="1" x14ac:dyDescent="0.2">
      <c r="B11" s="78" t="s">
        <v>84</v>
      </c>
      <c r="C11" s="79" t="s">
        <v>85</v>
      </c>
      <c r="D11" s="79" t="s">
        <v>85</v>
      </c>
      <c r="E11" s="80" t="s">
        <v>85</v>
      </c>
    </row>
    <row r="12" spans="2:5" ht="15" customHeight="1" x14ac:dyDescent="0.2">
      <c r="B12" s="78" t="s">
        <v>86</v>
      </c>
      <c r="C12" s="79">
        <v>45</v>
      </c>
      <c r="D12" s="79">
        <v>45</v>
      </c>
      <c r="E12" s="80">
        <v>45</v>
      </c>
    </row>
    <row r="13" spans="2:5" hidden="1" x14ac:dyDescent="0.2">
      <c r="B13" s="78"/>
      <c r="C13" s="81"/>
      <c r="D13" s="81"/>
      <c r="E13" s="82"/>
    </row>
    <row r="14" spans="2:5" hidden="1" x14ac:dyDescent="0.2">
      <c r="B14" s="78"/>
      <c r="C14" s="79"/>
      <c r="D14" s="79"/>
      <c r="E14" s="80"/>
    </row>
    <row r="15" spans="2:5" hidden="1" x14ac:dyDescent="0.2">
      <c r="B15" s="78"/>
      <c r="C15" s="83"/>
      <c r="D15" s="83"/>
      <c r="E15" s="84"/>
    </row>
    <row r="16" spans="2:5" x14ac:dyDescent="0.2">
      <c r="B16" s="85" t="s">
        <v>87</v>
      </c>
      <c r="C16" s="83">
        <v>4.3400000000000001E-2</v>
      </c>
      <c r="D16" s="83">
        <v>4.3400000000000001E-2</v>
      </c>
      <c r="E16" s="84">
        <v>4.3400000000000001E-2</v>
      </c>
    </row>
    <row r="17" spans="2:5" hidden="1" x14ac:dyDescent="0.2">
      <c r="B17" s="85"/>
      <c r="C17" s="83"/>
      <c r="D17" s="83"/>
      <c r="E17" s="84"/>
    </row>
    <row r="18" spans="2:5" x14ac:dyDescent="0.2">
      <c r="B18" s="85" t="s">
        <v>88</v>
      </c>
      <c r="C18" s="86">
        <v>15</v>
      </c>
      <c r="D18" s="86">
        <v>15</v>
      </c>
      <c r="E18" s="87">
        <v>15</v>
      </c>
    </row>
    <row r="19" spans="2:5" ht="30" x14ac:dyDescent="0.2">
      <c r="B19" s="78" t="s">
        <v>89</v>
      </c>
      <c r="C19" s="88" t="s">
        <v>408</v>
      </c>
      <c r="D19" s="88" t="s">
        <v>408</v>
      </c>
      <c r="E19" s="89" t="s">
        <v>90</v>
      </c>
    </row>
    <row r="20" spans="2:5" ht="15" customHeight="1" x14ac:dyDescent="0.2">
      <c r="B20" s="78" t="s">
        <v>91</v>
      </c>
      <c r="C20" s="88" t="s">
        <v>92</v>
      </c>
      <c r="D20" s="88" t="s">
        <v>92</v>
      </c>
      <c r="E20" s="89" t="s">
        <v>92</v>
      </c>
    </row>
    <row r="21" spans="2:5" ht="15" customHeight="1" x14ac:dyDescent="0.2">
      <c r="B21" s="75" t="s">
        <v>93</v>
      </c>
      <c r="C21" s="90" t="s">
        <v>94</v>
      </c>
      <c r="D21" s="90" t="s">
        <v>94</v>
      </c>
      <c r="E21" s="91" t="s">
        <v>94</v>
      </c>
    </row>
    <row r="22" spans="2:5" ht="33" customHeight="1" x14ac:dyDescent="0.2">
      <c r="B22" s="85" t="s">
        <v>95</v>
      </c>
      <c r="C22" s="88" t="s">
        <v>415</v>
      </c>
      <c r="D22" s="88" t="s">
        <v>415</v>
      </c>
      <c r="E22" s="89" t="s">
        <v>349</v>
      </c>
    </row>
    <row r="23" spans="2:5" ht="15" customHeight="1" x14ac:dyDescent="0.2">
      <c r="B23" s="85" t="s">
        <v>97</v>
      </c>
      <c r="C23" s="88" t="s">
        <v>98</v>
      </c>
      <c r="D23" s="88" t="s">
        <v>98</v>
      </c>
      <c r="E23" s="89" t="s">
        <v>98</v>
      </c>
    </row>
    <row r="24" spans="2:5" ht="15" customHeight="1" x14ac:dyDescent="0.2">
      <c r="B24" s="75" t="s">
        <v>99</v>
      </c>
      <c r="C24" s="90" t="s">
        <v>100</v>
      </c>
      <c r="D24" s="90" t="s">
        <v>100</v>
      </c>
      <c r="E24" s="91" t="s">
        <v>100</v>
      </c>
    </row>
    <row r="25" spans="2:5" x14ac:dyDescent="0.2">
      <c r="B25" s="75" t="s">
        <v>101</v>
      </c>
      <c r="C25" s="92">
        <v>345</v>
      </c>
      <c r="D25" s="92">
        <v>345</v>
      </c>
      <c r="E25" s="93">
        <v>345</v>
      </c>
    </row>
    <row r="26" spans="2:5" ht="15" customHeight="1" x14ac:dyDescent="0.2">
      <c r="B26" s="75" t="s">
        <v>102</v>
      </c>
      <c r="C26" s="90" t="s">
        <v>103</v>
      </c>
      <c r="D26" s="90" t="s">
        <v>103</v>
      </c>
      <c r="E26" s="91" t="s">
        <v>103</v>
      </c>
    </row>
    <row r="27" spans="2:5" ht="15" customHeight="1" x14ac:dyDescent="0.2">
      <c r="B27" s="75" t="s">
        <v>104</v>
      </c>
      <c r="C27" s="79">
        <v>3</v>
      </c>
      <c r="D27" s="79">
        <v>3</v>
      </c>
      <c r="E27" s="80">
        <v>3</v>
      </c>
    </row>
    <row r="28" spans="2:5" ht="15.75" thickBot="1" x14ac:dyDescent="0.25">
      <c r="B28" s="94"/>
      <c r="C28" s="70"/>
      <c r="D28" s="70"/>
      <c r="E28" s="71"/>
    </row>
    <row r="29" spans="2:5" ht="17.25" thickTop="1" thickBot="1" x14ac:dyDescent="0.25">
      <c r="B29" s="95" t="s">
        <v>105</v>
      </c>
      <c r="C29" s="70"/>
      <c r="D29" s="70"/>
      <c r="E29" s="71"/>
    </row>
    <row r="30" spans="2:5" ht="15.75" thickTop="1" x14ac:dyDescent="0.2">
      <c r="B30" s="96"/>
      <c r="C30" s="97"/>
      <c r="D30" s="97"/>
      <c r="E30" s="98"/>
    </row>
    <row r="31" spans="2:5" x14ac:dyDescent="0.2">
      <c r="B31" s="78" t="s">
        <v>106</v>
      </c>
      <c r="C31" s="99"/>
      <c r="D31" s="99"/>
      <c r="E31" s="100"/>
    </row>
    <row r="32" spans="2:5" x14ac:dyDescent="0.2">
      <c r="B32" s="101" t="s">
        <v>107</v>
      </c>
      <c r="C32" s="102">
        <v>64.39</v>
      </c>
      <c r="D32" s="102">
        <v>65.459999999999994</v>
      </c>
      <c r="E32" s="103">
        <v>67.14</v>
      </c>
    </row>
    <row r="33" spans="2:5" x14ac:dyDescent="0.2">
      <c r="B33" s="101" t="s">
        <v>108</v>
      </c>
      <c r="C33" s="104">
        <v>0.76019999999999999</v>
      </c>
      <c r="D33" s="104">
        <v>0.69099999999999995</v>
      </c>
      <c r="E33" s="105">
        <v>0.77210000000000012</v>
      </c>
    </row>
    <row r="34" spans="2:5" x14ac:dyDescent="0.2">
      <c r="B34" s="101" t="s">
        <v>65</v>
      </c>
      <c r="C34" s="99">
        <v>338000</v>
      </c>
      <c r="D34" s="99">
        <v>341200</v>
      </c>
      <c r="E34" s="100">
        <v>340900</v>
      </c>
    </row>
    <row r="35" spans="2:5" x14ac:dyDescent="0.2">
      <c r="B35" s="101" t="s">
        <v>69</v>
      </c>
      <c r="C35" s="99">
        <v>9370</v>
      </c>
      <c r="D35" s="99">
        <v>9390</v>
      </c>
      <c r="E35" s="100">
        <v>9390</v>
      </c>
    </row>
    <row r="36" spans="2:5" x14ac:dyDescent="0.2">
      <c r="B36" s="101" t="s">
        <v>109</v>
      </c>
      <c r="C36" s="99">
        <v>3170</v>
      </c>
      <c r="D36" s="99">
        <v>3200</v>
      </c>
      <c r="E36" s="100">
        <v>3200</v>
      </c>
    </row>
    <row r="37" spans="2:5" ht="15" customHeight="1" x14ac:dyDescent="0.2">
      <c r="B37" s="78"/>
      <c r="C37" s="99"/>
      <c r="D37" s="99"/>
      <c r="E37" s="100"/>
    </row>
    <row r="38" spans="2:5" x14ac:dyDescent="0.2">
      <c r="B38" s="101" t="s">
        <v>110</v>
      </c>
      <c r="C38" s="99">
        <v>134100</v>
      </c>
      <c r="D38" s="99">
        <v>135500</v>
      </c>
      <c r="E38" s="100">
        <v>134700</v>
      </c>
    </row>
    <row r="39" spans="2:5" x14ac:dyDescent="0.2">
      <c r="B39" s="101" t="s">
        <v>111</v>
      </c>
      <c r="C39" s="99">
        <v>11970</v>
      </c>
      <c r="D39" s="99">
        <v>11990</v>
      </c>
      <c r="E39" s="100">
        <v>12000</v>
      </c>
    </row>
    <row r="40" spans="2:5" x14ac:dyDescent="0.2">
      <c r="B40" s="101" t="s">
        <v>112</v>
      </c>
      <c r="C40" s="99">
        <v>1610</v>
      </c>
      <c r="D40" s="99">
        <v>1620</v>
      </c>
      <c r="E40" s="100">
        <v>1620</v>
      </c>
    </row>
    <row r="41" spans="2:5" x14ac:dyDescent="0.2">
      <c r="B41" s="78"/>
      <c r="C41" s="99"/>
      <c r="D41" s="99"/>
      <c r="E41" s="100"/>
    </row>
    <row r="42" spans="2:5" x14ac:dyDescent="0.2">
      <c r="B42" s="78"/>
      <c r="C42" s="99"/>
      <c r="D42" s="99"/>
      <c r="E42" s="100"/>
    </row>
    <row r="43" spans="2:5" x14ac:dyDescent="0.2">
      <c r="B43" s="78" t="s">
        <v>113</v>
      </c>
      <c r="C43" s="99"/>
      <c r="D43" s="99"/>
      <c r="E43" s="100"/>
    </row>
    <row r="44" spans="2:5" x14ac:dyDescent="0.2">
      <c r="B44" s="101" t="s">
        <v>107</v>
      </c>
      <c r="C44" s="102">
        <v>31.96</v>
      </c>
      <c r="D44" s="102">
        <v>33.130000000000003</v>
      </c>
      <c r="E44" s="103">
        <v>36.049999999999997</v>
      </c>
    </row>
    <row r="45" spans="2:5" x14ac:dyDescent="0.2">
      <c r="B45" s="101" t="s">
        <v>108</v>
      </c>
      <c r="C45" s="104">
        <v>0.74439999999999995</v>
      </c>
      <c r="D45" s="104">
        <v>0.65620000000000001</v>
      </c>
      <c r="E45" s="105">
        <v>0.75539999999999996</v>
      </c>
    </row>
    <row r="46" spans="2:5" ht="15" customHeight="1" x14ac:dyDescent="0.2">
      <c r="B46" s="101" t="s">
        <v>65</v>
      </c>
      <c r="C46" s="99">
        <v>346100</v>
      </c>
      <c r="D46" s="99">
        <v>351000</v>
      </c>
      <c r="E46" s="100">
        <v>350500</v>
      </c>
    </row>
    <row r="47" spans="2:5" ht="15" customHeight="1" x14ac:dyDescent="0.2">
      <c r="B47" s="101" t="s">
        <v>69</v>
      </c>
      <c r="C47" s="99">
        <v>9320</v>
      </c>
      <c r="D47" s="99">
        <v>9320</v>
      </c>
      <c r="E47" s="100">
        <v>9340</v>
      </c>
    </row>
    <row r="48" spans="2:5" ht="15" customHeight="1" x14ac:dyDescent="0.2">
      <c r="B48" s="101" t="s">
        <v>109</v>
      </c>
      <c r="C48" s="99">
        <v>3230</v>
      </c>
      <c r="D48" s="99">
        <v>3270</v>
      </c>
      <c r="E48" s="100">
        <v>3270</v>
      </c>
    </row>
    <row r="49" spans="2:5" ht="15" customHeight="1" x14ac:dyDescent="0.2">
      <c r="B49" s="78"/>
      <c r="C49" s="99"/>
      <c r="D49" s="99"/>
      <c r="E49" s="100"/>
    </row>
    <row r="50" spans="2:5" ht="15" customHeight="1" x14ac:dyDescent="0.2">
      <c r="B50" s="101" t="s">
        <v>110</v>
      </c>
      <c r="C50" s="99">
        <v>103800</v>
      </c>
      <c r="D50" s="99">
        <v>105300</v>
      </c>
      <c r="E50" s="100">
        <v>105100</v>
      </c>
    </row>
    <row r="51" spans="2:5" x14ac:dyDescent="0.2">
      <c r="B51" s="101" t="s">
        <v>111</v>
      </c>
      <c r="C51" s="99">
        <v>13480</v>
      </c>
      <c r="D51" s="99">
        <v>13480</v>
      </c>
      <c r="E51" s="100">
        <v>13470</v>
      </c>
    </row>
    <row r="52" spans="2:5" x14ac:dyDescent="0.2">
      <c r="B52" s="101" t="s">
        <v>112</v>
      </c>
      <c r="C52" s="99">
        <v>1400</v>
      </c>
      <c r="D52" s="99">
        <v>1420</v>
      </c>
      <c r="E52" s="100">
        <v>1420</v>
      </c>
    </row>
    <row r="53" spans="2:5" x14ac:dyDescent="0.2">
      <c r="B53" s="78"/>
      <c r="C53" s="99"/>
      <c r="D53" s="99"/>
      <c r="E53" s="100"/>
    </row>
    <row r="54" spans="2:5" x14ac:dyDescent="0.2">
      <c r="B54" s="78"/>
      <c r="C54" s="99"/>
      <c r="D54" s="99"/>
      <c r="E54" s="100"/>
    </row>
    <row r="55" spans="2:5" x14ac:dyDescent="0.2">
      <c r="B55" s="78" t="s">
        <v>114</v>
      </c>
      <c r="C55" s="99"/>
      <c r="D55" s="99"/>
      <c r="E55" s="100"/>
    </row>
    <row r="56" spans="2:5" x14ac:dyDescent="0.2">
      <c r="B56" s="101" t="s">
        <v>107</v>
      </c>
      <c r="C56" s="102">
        <v>59</v>
      </c>
      <c r="D56" s="102">
        <v>59</v>
      </c>
      <c r="E56" s="103">
        <v>59</v>
      </c>
    </row>
    <row r="57" spans="2:5" x14ac:dyDescent="0.2">
      <c r="B57" s="101" t="s">
        <v>108</v>
      </c>
      <c r="C57" s="104">
        <v>0.6</v>
      </c>
      <c r="D57" s="104">
        <v>0.6</v>
      </c>
      <c r="E57" s="105">
        <v>0.6</v>
      </c>
    </row>
    <row r="58" spans="2:5" x14ac:dyDescent="0.2">
      <c r="B58" s="101" t="s">
        <v>65</v>
      </c>
      <c r="C58" s="99">
        <v>340400</v>
      </c>
      <c r="D58" s="99">
        <v>342200</v>
      </c>
      <c r="E58" s="100">
        <v>343500</v>
      </c>
    </row>
    <row r="59" spans="2:5" x14ac:dyDescent="0.2">
      <c r="B59" s="101" t="s">
        <v>69</v>
      </c>
      <c r="C59" s="99">
        <v>9340</v>
      </c>
      <c r="D59" s="99">
        <v>9350</v>
      </c>
      <c r="E59" s="100">
        <v>9340</v>
      </c>
    </row>
    <row r="60" spans="2:5" x14ac:dyDescent="0.2">
      <c r="B60" s="101" t="s">
        <v>109</v>
      </c>
      <c r="C60" s="99">
        <v>3180</v>
      </c>
      <c r="D60" s="99">
        <v>3200</v>
      </c>
      <c r="E60" s="100">
        <v>3210</v>
      </c>
    </row>
    <row r="61" spans="2:5" x14ac:dyDescent="0.2">
      <c r="B61" s="78"/>
      <c r="C61" s="99"/>
      <c r="D61" s="99"/>
      <c r="E61" s="100"/>
    </row>
    <row r="62" spans="2:5" ht="15" customHeight="1" x14ac:dyDescent="0.2">
      <c r="B62" s="101" t="s">
        <v>110</v>
      </c>
      <c r="C62" s="99">
        <v>101100</v>
      </c>
      <c r="D62" s="99">
        <v>100200</v>
      </c>
      <c r="E62" s="100">
        <v>102000</v>
      </c>
    </row>
    <row r="63" spans="2:5" ht="15" customHeight="1" x14ac:dyDescent="0.2">
      <c r="B63" s="101" t="s">
        <v>111</v>
      </c>
      <c r="C63" s="99">
        <v>13470</v>
      </c>
      <c r="D63" s="99">
        <v>13370</v>
      </c>
      <c r="E63" s="100">
        <v>13430</v>
      </c>
    </row>
    <row r="64" spans="2:5" ht="15" customHeight="1" x14ac:dyDescent="0.2">
      <c r="B64" s="101" t="s">
        <v>112</v>
      </c>
      <c r="C64" s="99">
        <v>1360</v>
      </c>
      <c r="D64" s="99">
        <v>1340</v>
      </c>
      <c r="E64" s="100">
        <v>1370</v>
      </c>
    </row>
    <row r="65" spans="2:5" ht="15" customHeight="1" x14ac:dyDescent="0.2">
      <c r="B65" s="78"/>
      <c r="C65" s="99"/>
      <c r="D65" s="99"/>
      <c r="E65" s="100"/>
    </row>
    <row r="66" spans="2:5" ht="15" customHeight="1" x14ac:dyDescent="0.2">
      <c r="B66" s="78"/>
      <c r="C66" s="99"/>
      <c r="D66" s="99"/>
      <c r="E66" s="100"/>
    </row>
    <row r="67" spans="2:5" ht="15" customHeight="1" x14ac:dyDescent="0.2">
      <c r="B67" s="78" t="s">
        <v>115</v>
      </c>
      <c r="C67" s="99"/>
      <c r="D67" s="99"/>
      <c r="E67" s="100"/>
    </row>
    <row r="68" spans="2:5" ht="15" customHeight="1" x14ac:dyDescent="0.2">
      <c r="B68" s="101" t="s">
        <v>107</v>
      </c>
      <c r="C68" s="102">
        <v>88.86</v>
      </c>
      <c r="D68" s="102">
        <v>89.43</v>
      </c>
      <c r="E68" s="103">
        <v>92.85</v>
      </c>
    </row>
    <row r="69" spans="2:5" ht="15" customHeight="1" x14ac:dyDescent="0.2">
      <c r="B69" s="101" t="s">
        <v>108</v>
      </c>
      <c r="C69" s="104">
        <v>0.57699999999999996</v>
      </c>
      <c r="D69" s="104">
        <v>0.54649999999999999</v>
      </c>
      <c r="E69" s="105">
        <v>0.51490000000000002</v>
      </c>
    </row>
    <row r="70" spans="2:5" ht="15" customHeight="1" x14ac:dyDescent="0.2">
      <c r="B70" s="101" t="s">
        <v>65</v>
      </c>
      <c r="C70" s="99">
        <v>329300</v>
      </c>
      <c r="D70" s="99">
        <v>334000</v>
      </c>
      <c r="E70" s="100">
        <v>331600</v>
      </c>
    </row>
    <row r="71" spans="2:5" ht="15" customHeight="1" x14ac:dyDescent="0.2">
      <c r="B71" s="101" t="s">
        <v>69</v>
      </c>
      <c r="C71" s="99">
        <v>9470</v>
      </c>
      <c r="D71" s="99">
        <v>9470</v>
      </c>
      <c r="E71" s="100">
        <v>9480</v>
      </c>
    </row>
    <row r="72" spans="2:5" ht="15" customHeight="1" x14ac:dyDescent="0.2">
      <c r="B72" s="101" t="s">
        <v>109</v>
      </c>
      <c r="C72" s="99">
        <v>3120</v>
      </c>
      <c r="D72" s="99">
        <v>3160</v>
      </c>
      <c r="E72" s="100">
        <v>3140</v>
      </c>
    </row>
    <row r="73" spans="2:5" ht="15" customHeight="1" x14ac:dyDescent="0.2">
      <c r="B73" s="78"/>
      <c r="C73" s="99"/>
      <c r="D73" s="99"/>
      <c r="E73" s="100"/>
    </row>
    <row r="74" spans="2:5" ht="15" customHeight="1" x14ac:dyDescent="0.2">
      <c r="B74" s="101" t="s">
        <v>110</v>
      </c>
      <c r="C74" s="99">
        <v>126800</v>
      </c>
      <c r="D74" s="99">
        <v>128800</v>
      </c>
      <c r="E74" s="100">
        <v>126700</v>
      </c>
    </row>
    <row r="75" spans="2:5" ht="15" customHeight="1" x14ac:dyDescent="0.2">
      <c r="B75" s="101" t="s">
        <v>111</v>
      </c>
      <c r="C75" s="99">
        <v>12150</v>
      </c>
      <c r="D75" s="99">
        <v>12150</v>
      </c>
      <c r="E75" s="100">
        <v>12220</v>
      </c>
    </row>
    <row r="76" spans="2:5" ht="15" customHeight="1" x14ac:dyDescent="0.2">
      <c r="B76" s="101" t="s">
        <v>112</v>
      </c>
      <c r="C76" s="99">
        <v>1540</v>
      </c>
      <c r="D76" s="99">
        <v>1560</v>
      </c>
      <c r="E76" s="100">
        <v>1550</v>
      </c>
    </row>
    <row r="77" spans="2:5" ht="15" customHeight="1" x14ac:dyDescent="0.2">
      <c r="B77" s="78"/>
      <c r="C77" s="99"/>
      <c r="D77" s="99"/>
      <c r="E77" s="100"/>
    </row>
    <row r="78" spans="2:5" ht="15" customHeight="1" x14ac:dyDescent="0.2">
      <c r="B78" s="78"/>
      <c r="C78" s="99"/>
      <c r="D78" s="99"/>
      <c r="E78" s="100"/>
    </row>
    <row r="79" spans="2:5" ht="15" customHeight="1" x14ac:dyDescent="0.2">
      <c r="B79" s="78" t="s">
        <v>116</v>
      </c>
      <c r="C79" s="99"/>
      <c r="D79" s="99"/>
      <c r="E79" s="100"/>
    </row>
    <row r="80" spans="2:5" ht="15" customHeight="1" x14ac:dyDescent="0.2">
      <c r="B80" s="101" t="s">
        <v>107</v>
      </c>
      <c r="C80" s="102">
        <v>10.84</v>
      </c>
      <c r="D80" s="102">
        <v>13.23</v>
      </c>
      <c r="E80" s="103">
        <v>12.48</v>
      </c>
    </row>
    <row r="81" spans="2:5" ht="15" customHeight="1" x14ac:dyDescent="0.2">
      <c r="B81" s="101" t="s">
        <v>108</v>
      </c>
      <c r="C81" s="104">
        <v>0.55669999999999997</v>
      </c>
      <c r="D81" s="104">
        <v>0.59079999999999999</v>
      </c>
      <c r="E81" s="105">
        <v>0.57550000000000001</v>
      </c>
    </row>
    <row r="82" spans="2:5" ht="15" customHeight="1" x14ac:dyDescent="0.2">
      <c r="B82" s="101" t="s">
        <v>65</v>
      </c>
      <c r="C82" s="99">
        <v>344700</v>
      </c>
      <c r="D82" s="99">
        <v>350500</v>
      </c>
      <c r="E82" s="100">
        <v>350200</v>
      </c>
    </row>
    <row r="83" spans="2:5" ht="15" customHeight="1" x14ac:dyDescent="0.2">
      <c r="B83" s="101" t="s">
        <v>69</v>
      </c>
      <c r="C83" s="99">
        <v>9250</v>
      </c>
      <c r="D83" s="99">
        <v>9250</v>
      </c>
      <c r="E83" s="100">
        <v>9250</v>
      </c>
    </row>
    <row r="84" spans="2:5" ht="15" customHeight="1" x14ac:dyDescent="0.2">
      <c r="B84" s="101" t="s">
        <v>109</v>
      </c>
      <c r="C84" s="99">
        <v>3190</v>
      </c>
      <c r="D84" s="99">
        <v>3240</v>
      </c>
      <c r="E84" s="100">
        <v>3240</v>
      </c>
    </row>
    <row r="85" spans="2:5" ht="15" customHeight="1" x14ac:dyDescent="0.2">
      <c r="B85" s="78"/>
      <c r="C85" s="99"/>
      <c r="D85" s="99"/>
      <c r="E85" s="100"/>
    </row>
    <row r="86" spans="2:5" ht="15" customHeight="1" x14ac:dyDescent="0.2">
      <c r="B86" s="101" t="s">
        <v>110</v>
      </c>
      <c r="C86" s="99">
        <v>103400</v>
      </c>
      <c r="D86" s="99">
        <v>105100</v>
      </c>
      <c r="E86" s="100">
        <v>105100</v>
      </c>
    </row>
    <row r="87" spans="2:5" x14ac:dyDescent="0.2">
      <c r="B87" s="101" t="s">
        <v>111</v>
      </c>
      <c r="C87" s="99">
        <v>13650</v>
      </c>
      <c r="D87" s="99">
        <v>13640</v>
      </c>
      <c r="E87" s="100">
        <v>13640</v>
      </c>
    </row>
    <row r="88" spans="2:5" x14ac:dyDescent="0.2">
      <c r="B88" s="101" t="s">
        <v>112</v>
      </c>
      <c r="C88" s="99">
        <v>1410</v>
      </c>
      <c r="D88" s="99">
        <v>1430</v>
      </c>
      <c r="E88" s="100">
        <v>1430</v>
      </c>
    </row>
    <row r="89" spans="2:5" x14ac:dyDescent="0.2">
      <c r="B89" s="78"/>
      <c r="C89" s="99"/>
      <c r="D89" s="99"/>
      <c r="E89" s="100"/>
    </row>
    <row r="90" spans="2:5" x14ac:dyDescent="0.2">
      <c r="B90" s="78"/>
      <c r="C90" s="99"/>
      <c r="D90" s="99"/>
      <c r="E90" s="100"/>
    </row>
    <row r="91" spans="2:5" x14ac:dyDescent="0.2">
      <c r="B91" s="78" t="s">
        <v>117</v>
      </c>
      <c r="C91" s="99"/>
      <c r="D91" s="99"/>
      <c r="E91" s="100"/>
    </row>
    <row r="92" spans="2:5" ht="15" customHeight="1" x14ac:dyDescent="0.2">
      <c r="B92" s="101" t="s">
        <v>107</v>
      </c>
      <c r="C92" s="102">
        <v>90</v>
      </c>
      <c r="D92" s="102">
        <v>90</v>
      </c>
      <c r="E92" s="103">
        <v>90</v>
      </c>
    </row>
    <row r="93" spans="2:5" ht="15" customHeight="1" x14ac:dyDescent="0.2">
      <c r="B93" s="101" t="s">
        <v>108</v>
      </c>
      <c r="C93" s="104">
        <v>0.7</v>
      </c>
      <c r="D93" s="104">
        <v>0.7</v>
      </c>
      <c r="E93" s="105">
        <v>0.7</v>
      </c>
    </row>
    <row r="94" spans="2:5" ht="15" customHeight="1" x14ac:dyDescent="0.2">
      <c r="B94" s="101" t="s">
        <v>65</v>
      </c>
      <c r="C94" s="99">
        <v>326700</v>
      </c>
      <c r="D94" s="99">
        <v>328500</v>
      </c>
      <c r="E94" s="100">
        <v>329900</v>
      </c>
    </row>
    <row r="95" spans="2:5" ht="15" customHeight="1" x14ac:dyDescent="0.2">
      <c r="B95" s="101" t="s">
        <v>69</v>
      </c>
      <c r="C95" s="99">
        <v>9490</v>
      </c>
      <c r="D95" s="99">
        <v>9500</v>
      </c>
      <c r="E95" s="100">
        <v>9490</v>
      </c>
    </row>
    <row r="96" spans="2:5" ht="15" customHeight="1" x14ac:dyDescent="0.2">
      <c r="B96" s="101" t="s">
        <v>109</v>
      </c>
      <c r="C96" s="99">
        <v>3100</v>
      </c>
      <c r="D96" s="99">
        <v>3120</v>
      </c>
      <c r="E96" s="100">
        <v>3130</v>
      </c>
    </row>
    <row r="97" spans="2:5" ht="15" customHeight="1" x14ac:dyDescent="0.2">
      <c r="B97" s="78"/>
      <c r="C97" s="99"/>
      <c r="D97" s="99"/>
      <c r="E97" s="100"/>
    </row>
    <row r="98" spans="2:5" ht="15" customHeight="1" x14ac:dyDescent="0.2">
      <c r="B98" s="101" t="s">
        <v>110</v>
      </c>
      <c r="C98" s="99">
        <v>126700</v>
      </c>
      <c r="D98" s="99">
        <v>127300</v>
      </c>
      <c r="E98" s="100">
        <v>127900</v>
      </c>
    </row>
    <row r="99" spans="2:5" ht="15" customHeight="1" x14ac:dyDescent="0.2">
      <c r="B99" s="101" t="s">
        <v>111</v>
      </c>
      <c r="C99" s="99">
        <v>12190</v>
      </c>
      <c r="D99" s="99">
        <v>12180</v>
      </c>
      <c r="E99" s="100">
        <v>12280</v>
      </c>
    </row>
    <row r="100" spans="2:5" ht="15" customHeight="1" x14ac:dyDescent="0.2">
      <c r="B100" s="101" t="s">
        <v>112</v>
      </c>
      <c r="C100" s="99">
        <v>1540</v>
      </c>
      <c r="D100" s="99">
        <v>1550</v>
      </c>
      <c r="E100" s="100">
        <v>1570</v>
      </c>
    </row>
    <row r="101" spans="2:5" ht="15" customHeight="1" x14ac:dyDescent="0.2">
      <c r="B101" s="78"/>
      <c r="C101" s="99"/>
      <c r="D101" s="99"/>
      <c r="E101" s="100"/>
    </row>
    <row r="102" spans="2:5" ht="15" customHeight="1" x14ac:dyDescent="0.2">
      <c r="B102" s="78"/>
      <c r="C102" s="99"/>
      <c r="D102" s="99"/>
      <c r="E102" s="100"/>
    </row>
    <row r="103" spans="2:5" ht="15.75" x14ac:dyDescent="0.2">
      <c r="B103" s="107" t="s">
        <v>118</v>
      </c>
      <c r="C103" s="99"/>
      <c r="D103" s="99"/>
      <c r="E103" s="100"/>
    </row>
    <row r="104" spans="2:5" x14ac:dyDescent="0.2">
      <c r="B104" s="78"/>
      <c r="C104" s="99"/>
      <c r="D104" s="99"/>
      <c r="E104" s="100"/>
    </row>
    <row r="105" spans="2:5" x14ac:dyDescent="0.2">
      <c r="B105" s="78" t="s">
        <v>119</v>
      </c>
      <c r="C105" s="99" t="s">
        <v>120</v>
      </c>
      <c r="D105" s="99" t="s">
        <v>120</v>
      </c>
      <c r="E105" s="100" t="s">
        <v>120</v>
      </c>
    </row>
    <row r="106" spans="2:5" hidden="1" x14ac:dyDescent="0.2">
      <c r="B106" s="78"/>
      <c r="C106" s="99"/>
      <c r="D106" s="99"/>
      <c r="E106" s="100"/>
    </row>
    <row r="107" spans="2:5" ht="15.75" hidden="1" x14ac:dyDescent="0.2">
      <c r="B107" s="107"/>
      <c r="C107" s="99"/>
      <c r="D107" s="99"/>
      <c r="E107" s="100"/>
    </row>
    <row r="108" spans="2:5" hidden="1" x14ac:dyDescent="0.2">
      <c r="B108" s="78"/>
      <c r="C108" s="108"/>
      <c r="D108" s="108"/>
      <c r="E108" s="109"/>
    </row>
    <row r="109" spans="2:5" hidden="1" x14ac:dyDescent="0.2">
      <c r="B109" s="78"/>
      <c r="C109" s="108"/>
      <c r="D109" s="108"/>
      <c r="E109" s="109"/>
    </row>
    <row r="110" spans="2:5" ht="15" hidden="1" customHeight="1" x14ac:dyDescent="0.2">
      <c r="B110" s="78"/>
      <c r="C110" s="99"/>
      <c r="D110" s="99"/>
      <c r="E110" s="100"/>
    </row>
    <row r="111" spans="2:5" ht="15" hidden="1" customHeight="1" x14ac:dyDescent="0.2">
      <c r="B111" s="78"/>
      <c r="C111" s="99"/>
      <c r="D111" s="99"/>
      <c r="E111" s="100"/>
    </row>
    <row r="112" spans="2:5" ht="15" hidden="1" customHeight="1" x14ac:dyDescent="0.2">
      <c r="B112" s="78"/>
      <c r="C112" s="99"/>
      <c r="D112" s="99"/>
      <c r="E112" s="100"/>
    </row>
    <row r="113" spans="2:5" ht="15" hidden="1" customHeight="1" x14ac:dyDescent="0.2">
      <c r="B113" s="78"/>
      <c r="C113" s="99"/>
      <c r="D113" s="99"/>
      <c r="E113" s="100"/>
    </row>
    <row r="114" spans="2:5" ht="15" hidden="1" customHeight="1" x14ac:dyDescent="0.2">
      <c r="B114" s="78"/>
      <c r="C114" s="99"/>
      <c r="D114" s="99"/>
      <c r="E114" s="100"/>
    </row>
    <row r="115" spans="2:5" ht="15" hidden="1" customHeight="1" x14ac:dyDescent="0.2">
      <c r="B115" s="78"/>
      <c r="C115" s="99"/>
      <c r="D115" s="99"/>
      <c r="E115" s="100"/>
    </row>
    <row r="116" spans="2:5" hidden="1" x14ac:dyDescent="0.2">
      <c r="B116" s="78"/>
      <c r="C116" s="99"/>
      <c r="D116" s="99"/>
      <c r="E116" s="100"/>
    </row>
    <row r="117" spans="2:5" ht="15.75" hidden="1" x14ac:dyDescent="0.2">
      <c r="B117" s="107"/>
      <c r="C117" s="99"/>
      <c r="D117" s="99"/>
      <c r="E117" s="100"/>
    </row>
    <row r="118" spans="2:5" hidden="1" x14ac:dyDescent="0.2">
      <c r="B118" s="78"/>
      <c r="C118" s="108"/>
      <c r="D118" s="108"/>
      <c r="E118" s="109"/>
    </row>
    <row r="119" spans="2:5" ht="15.75" thickBot="1" x14ac:dyDescent="0.25">
      <c r="B119" s="110"/>
      <c r="C119" s="111"/>
      <c r="D119" s="111"/>
      <c r="E119" s="112"/>
    </row>
    <row r="120" spans="2:5" ht="17.25" thickTop="1" thickBot="1" x14ac:dyDescent="0.25">
      <c r="B120" s="113" t="s">
        <v>121</v>
      </c>
      <c r="C120" s="114"/>
      <c r="D120" s="114"/>
      <c r="E120" s="115"/>
    </row>
    <row r="121" spans="2:5" ht="15.75" thickTop="1" x14ac:dyDescent="0.2">
      <c r="B121" s="96"/>
      <c r="C121" s="116"/>
      <c r="D121" s="116"/>
      <c r="E121" s="117"/>
    </row>
    <row r="122" spans="2:5" s="118" customFormat="1" ht="15.75" x14ac:dyDescent="0.2">
      <c r="B122" s="119" t="s">
        <v>122</v>
      </c>
      <c r="C122" s="120">
        <v>180.73471899606261</v>
      </c>
      <c r="D122" s="120">
        <v>183.80096394777246</v>
      </c>
      <c r="E122" s="121">
        <v>213.69702770598911</v>
      </c>
    </row>
    <row r="123" spans="2:5" s="118" customFormat="1" ht="15.75" x14ac:dyDescent="0.2">
      <c r="B123" s="122" t="s">
        <v>123</v>
      </c>
      <c r="C123" s="123">
        <v>39.020625831249916</v>
      </c>
      <c r="D123" s="123">
        <v>41.888239683697343</v>
      </c>
      <c r="E123" s="124">
        <v>50.282910619219244</v>
      </c>
    </row>
    <row r="124" spans="2:5" s="118" customFormat="1" ht="15.75" x14ac:dyDescent="0.2">
      <c r="B124" s="122" t="s">
        <v>124</v>
      </c>
      <c r="C124" s="123">
        <v>29.53205308395663</v>
      </c>
      <c r="D124" s="123">
        <v>28.948651821774163</v>
      </c>
      <c r="E124" s="124">
        <v>41.478593077732484</v>
      </c>
    </row>
    <row r="125" spans="2:5" s="118" customFormat="1" ht="15.75" x14ac:dyDescent="0.2">
      <c r="B125" s="122" t="s">
        <v>125</v>
      </c>
      <c r="C125" s="123">
        <v>66.998360331840402</v>
      </c>
      <c r="D125" s="123">
        <v>66.995451358963066</v>
      </c>
      <c r="E125" s="124">
        <v>68.500582231154809</v>
      </c>
    </row>
    <row r="126" spans="2:5" s="118" customFormat="1" ht="15.75" x14ac:dyDescent="0.2">
      <c r="B126" s="122" t="s">
        <v>126</v>
      </c>
      <c r="C126" s="123">
        <v>45.183679749015653</v>
      </c>
      <c r="D126" s="123">
        <v>45.950240986943115</v>
      </c>
      <c r="E126" s="124">
        <v>53.424256926497279</v>
      </c>
    </row>
    <row r="127" spans="2:5" x14ac:dyDescent="0.2">
      <c r="B127" s="78"/>
      <c r="C127" s="81"/>
      <c r="D127" s="81"/>
      <c r="E127" s="82"/>
    </row>
    <row r="128" spans="2:5" s="118" customFormat="1" ht="15.75" x14ac:dyDescent="0.2">
      <c r="B128" s="107" t="s">
        <v>127</v>
      </c>
      <c r="C128" s="120">
        <v>66.653707497059528</v>
      </c>
      <c r="D128" s="120">
        <v>66.821507752041853</v>
      </c>
      <c r="E128" s="121">
        <v>79.57706984121026</v>
      </c>
    </row>
    <row r="129" spans="2:5" x14ac:dyDescent="0.2">
      <c r="B129" s="125" t="s">
        <v>128</v>
      </c>
      <c r="C129" s="126">
        <v>0.37</v>
      </c>
      <c r="D129" s="126">
        <v>0.37</v>
      </c>
      <c r="E129" s="127">
        <v>0.37</v>
      </c>
    </row>
    <row r="130" spans="2:5" x14ac:dyDescent="0.2">
      <c r="B130" s="125" t="s">
        <v>129</v>
      </c>
      <c r="C130" s="126">
        <v>0.44</v>
      </c>
      <c r="D130" s="126">
        <v>0.44</v>
      </c>
      <c r="E130" s="127">
        <v>0.44</v>
      </c>
    </row>
    <row r="131" spans="2:5" x14ac:dyDescent="0.2">
      <c r="B131" s="125" t="s">
        <v>130</v>
      </c>
      <c r="C131" s="126">
        <v>1.02</v>
      </c>
      <c r="D131" s="126">
        <v>1.02</v>
      </c>
      <c r="E131" s="127">
        <v>1.02</v>
      </c>
    </row>
    <row r="132" spans="2:5" x14ac:dyDescent="0.2">
      <c r="B132" s="125" t="s">
        <v>131</v>
      </c>
      <c r="C132" s="126">
        <v>1.1299999999999999</v>
      </c>
      <c r="D132" s="126">
        <v>1.1299999999999999</v>
      </c>
      <c r="E132" s="127">
        <v>1.1299999999999999</v>
      </c>
    </row>
    <row r="133" spans="2:5" x14ac:dyDescent="0.2">
      <c r="B133" s="125" t="s">
        <v>132</v>
      </c>
      <c r="C133" s="126">
        <v>1</v>
      </c>
      <c r="D133" s="126">
        <v>1</v>
      </c>
      <c r="E133" s="127">
        <v>1</v>
      </c>
    </row>
    <row r="134" spans="2:5" x14ac:dyDescent="0.2">
      <c r="B134" s="125" t="s">
        <v>133</v>
      </c>
      <c r="C134" s="126">
        <v>0.27</v>
      </c>
      <c r="D134" s="126">
        <v>0.27</v>
      </c>
      <c r="E134" s="127">
        <v>0.27</v>
      </c>
    </row>
    <row r="135" spans="2:5" x14ac:dyDescent="0.2">
      <c r="B135" s="125" t="s">
        <v>134</v>
      </c>
      <c r="C135" s="126">
        <v>0</v>
      </c>
      <c r="D135" s="126">
        <v>0</v>
      </c>
      <c r="E135" s="127">
        <v>0</v>
      </c>
    </row>
    <row r="136" spans="2:5" x14ac:dyDescent="0.2">
      <c r="B136" s="125" t="s">
        <v>135</v>
      </c>
      <c r="C136" s="126">
        <v>0.55000000000000004</v>
      </c>
      <c r="D136" s="126">
        <v>0.55000000000000004</v>
      </c>
      <c r="E136" s="127">
        <v>0.55000000000000004</v>
      </c>
    </row>
    <row r="137" spans="2:5" x14ac:dyDescent="0.2">
      <c r="B137" s="125" t="s">
        <v>136</v>
      </c>
      <c r="C137" s="126">
        <v>1</v>
      </c>
      <c r="D137" s="126">
        <v>1</v>
      </c>
      <c r="E137" s="127">
        <v>1</v>
      </c>
    </row>
    <row r="138" spans="2:5" x14ac:dyDescent="0.2">
      <c r="B138" s="125" t="s">
        <v>137</v>
      </c>
      <c r="C138" s="126">
        <v>10.25</v>
      </c>
      <c r="D138" s="126">
        <v>10.25</v>
      </c>
      <c r="E138" s="127">
        <v>10.25</v>
      </c>
    </row>
    <row r="139" spans="2:5" x14ac:dyDescent="0.2">
      <c r="B139" s="125" t="s">
        <v>138</v>
      </c>
      <c r="C139" s="126">
        <v>11</v>
      </c>
      <c r="D139" s="126">
        <v>11</v>
      </c>
      <c r="E139" s="127">
        <v>11</v>
      </c>
    </row>
    <row r="140" spans="2:5" x14ac:dyDescent="0.2">
      <c r="B140" s="125" t="s">
        <v>139</v>
      </c>
      <c r="C140" s="126">
        <v>17.899999999999999</v>
      </c>
      <c r="D140" s="126">
        <v>17.899999999999999</v>
      </c>
      <c r="E140" s="127">
        <v>17.899999999999999</v>
      </c>
    </row>
    <row r="141" spans="2:5" x14ac:dyDescent="0.2">
      <c r="B141" s="125" t="s">
        <v>140</v>
      </c>
      <c r="C141" s="126">
        <v>0</v>
      </c>
      <c r="D141" s="126">
        <v>0</v>
      </c>
      <c r="E141" s="127">
        <v>0</v>
      </c>
    </row>
    <row r="142" spans="2:5" x14ac:dyDescent="0.2">
      <c r="B142" s="125" t="s">
        <v>141</v>
      </c>
      <c r="C142" s="126">
        <v>0.4</v>
      </c>
      <c r="D142" s="126">
        <v>0.4</v>
      </c>
      <c r="E142" s="127">
        <v>0.4</v>
      </c>
    </row>
    <row r="143" spans="2:5" x14ac:dyDescent="0.2">
      <c r="B143" s="125" t="s">
        <v>409</v>
      </c>
      <c r="C143" s="126">
        <v>0.5</v>
      </c>
      <c r="D143" s="126">
        <v>0.5</v>
      </c>
      <c r="E143" s="127">
        <v>0.5</v>
      </c>
    </row>
    <row r="144" spans="2:5" x14ac:dyDescent="0.2">
      <c r="B144" s="125" t="s">
        <v>142</v>
      </c>
      <c r="C144" s="126">
        <v>1.1499999999999999</v>
      </c>
      <c r="D144" s="126">
        <v>1.1499999999999999</v>
      </c>
      <c r="E144" s="127">
        <v>4.5</v>
      </c>
    </row>
    <row r="145" spans="2:159" x14ac:dyDescent="0.2">
      <c r="B145" s="125" t="s">
        <v>143</v>
      </c>
      <c r="C145" s="126">
        <v>0</v>
      </c>
      <c r="D145" s="126">
        <v>0</v>
      </c>
      <c r="E145" s="127">
        <v>7.24</v>
      </c>
    </row>
    <row r="146" spans="2:159" x14ac:dyDescent="0.2">
      <c r="B146" s="125" t="s">
        <v>144</v>
      </c>
      <c r="C146" s="126">
        <v>0.57999999999999996</v>
      </c>
      <c r="D146" s="126">
        <v>0.57999999999999996</v>
      </c>
      <c r="E146" s="127">
        <v>0.57999999999999996</v>
      </c>
    </row>
    <row r="147" spans="2:159" x14ac:dyDescent="0.2">
      <c r="B147" s="125" t="s">
        <v>145</v>
      </c>
      <c r="C147" s="126">
        <v>6.5</v>
      </c>
      <c r="D147" s="126">
        <v>6.5</v>
      </c>
      <c r="E147" s="127">
        <v>6.5</v>
      </c>
    </row>
    <row r="148" spans="2:159" x14ac:dyDescent="0.2">
      <c r="B148" s="125"/>
      <c r="C148" s="126"/>
      <c r="D148" s="126"/>
      <c r="E148" s="127"/>
    </row>
    <row r="149" spans="2:159" x14ac:dyDescent="0.2">
      <c r="B149" s="125" t="s">
        <v>146</v>
      </c>
      <c r="C149" s="126">
        <v>0.81330623548228165</v>
      </c>
      <c r="D149" s="126">
        <v>0.82710433776497605</v>
      </c>
      <c r="E149" s="127">
        <v>0.96163662467695099</v>
      </c>
    </row>
    <row r="150" spans="2:159" x14ac:dyDescent="0.2">
      <c r="B150" s="125" t="s">
        <v>147</v>
      </c>
      <c r="C150" s="126">
        <v>11.780401261577248</v>
      </c>
      <c r="D150" s="126">
        <v>11.934403414276876</v>
      </c>
      <c r="E150" s="127">
        <v>13.965433216533302</v>
      </c>
    </row>
    <row r="151" spans="2:159" x14ac:dyDescent="0.2">
      <c r="B151" s="125"/>
      <c r="C151" s="128"/>
      <c r="D151" s="128"/>
      <c r="E151" s="129"/>
    </row>
    <row r="152" spans="2:159" ht="15.75" x14ac:dyDescent="0.2">
      <c r="B152" s="107" t="s">
        <v>340</v>
      </c>
      <c r="C152" s="120">
        <v>17.317189854518553</v>
      </c>
      <c r="D152" s="120">
        <v>17.543573018987004</v>
      </c>
      <c r="E152" s="121">
        <v>20.529186828303956</v>
      </c>
    </row>
    <row r="153" spans="2:159" x14ac:dyDescent="0.2">
      <c r="B153" s="125" t="s">
        <v>148</v>
      </c>
      <c r="C153" s="128">
        <v>12.651430329724384</v>
      </c>
      <c r="D153" s="128">
        <v>12.866067476344073</v>
      </c>
      <c r="E153" s="129">
        <v>14.958791939419239</v>
      </c>
    </row>
    <row r="154" spans="2:159" x14ac:dyDescent="0.2">
      <c r="B154" s="125" t="s">
        <v>149</v>
      </c>
      <c r="C154" s="128">
        <v>4.6657595247941677</v>
      </c>
      <c r="D154" s="128">
        <v>4.6775055426429306</v>
      </c>
      <c r="E154" s="129">
        <v>5.570394888884719</v>
      </c>
    </row>
    <row r="155" spans="2:159" hidden="1" x14ac:dyDescent="0.2">
      <c r="B155" s="125"/>
      <c r="C155" s="128"/>
      <c r="D155" s="128"/>
      <c r="E155" s="129"/>
    </row>
    <row r="156" spans="2:159" x14ac:dyDescent="0.2">
      <c r="B156" s="125"/>
      <c r="C156" s="128"/>
      <c r="D156" s="128"/>
      <c r="E156" s="129"/>
    </row>
    <row r="157" spans="2:159" s="130" customFormat="1" ht="15.75" x14ac:dyDescent="0.2">
      <c r="B157" s="131" t="s">
        <v>150</v>
      </c>
      <c r="C157" s="132">
        <v>264.70561634764073</v>
      </c>
      <c r="D157" s="132">
        <v>268.16604471880129</v>
      </c>
      <c r="E157" s="133">
        <v>313.80328437550338</v>
      </c>
      <c r="F157" s="276"/>
      <c r="G157" s="276"/>
      <c r="H157" s="276"/>
      <c r="I157" s="276"/>
      <c r="J157" s="276"/>
      <c r="K157" s="276"/>
      <c r="M157" s="277"/>
      <c r="N157" s="276"/>
      <c r="O157" s="276"/>
      <c r="P157" s="276"/>
      <c r="Q157" s="276"/>
      <c r="R157" s="276"/>
      <c r="S157" s="276"/>
      <c r="T157" s="276"/>
      <c r="V157" s="277"/>
      <c r="W157" s="276"/>
      <c r="X157" s="276"/>
      <c r="Y157" s="276"/>
      <c r="Z157" s="276"/>
      <c r="AA157" s="276"/>
      <c r="AB157" s="276"/>
      <c r="AC157" s="276"/>
      <c r="AE157" s="277"/>
      <c r="AF157" s="276"/>
      <c r="AG157" s="276"/>
      <c r="AH157" s="276"/>
      <c r="AI157" s="276"/>
      <c r="AJ157" s="276"/>
      <c r="AK157" s="276"/>
      <c r="AL157" s="276"/>
      <c r="AN157" s="277"/>
      <c r="AO157" s="276"/>
      <c r="AP157" s="276"/>
      <c r="AQ157" s="276"/>
      <c r="AR157" s="276"/>
      <c r="AS157" s="276"/>
      <c r="AT157" s="276"/>
      <c r="AU157" s="276"/>
      <c r="AW157" s="277"/>
      <c r="AX157" s="276"/>
      <c r="AY157" s="276"/>
      <c r="AZ157" s="276"/>
      <c r="BA157" s="276"/>
      <c r="BB157" s="276"/>
      <c r="BC157" s="276"/>
      <c r="BD157" s="276"/>
      <c r="BF157" s="277"/>
      <c r="BG157" s="276"/>
      <c r="BH157" s="276"/>
      <c r="BI157" s="276"/>
      <c r="BJ157" s="276"/>
      <c r="BK157" s="276"/>
      <c r="BL157" s="276"/>
      <c r="BM157" s="276"/>
      <c r="BO157" s="277"/>
      <c r="BP157" s="276"/>
      <c r="BQ157" s="276"/>
      <c r="BR157" s="276"/>
      <c r="BS157" s="276"/>
      <c r="BT157" s="276"/>
      <c r="BU157" s="276"/>
      <c r="BV157" s="276"/>
      <c r="BX157" s="277"/>
      <c r="BY157" s="276"/>
      <c r="BZ157" s="276"/>
      <c r="CA157" s="276"/>
      <c r="CB157" s="276"/>
      <c r="CC157" s="276"/>
      <c r="CD157" s="276"/>
      <c r="CE157" s="276"/>
      <c r="CG157" s="277"/>
      <c r="CH157" s="276"/>
      <c r="CI157" s="276"/>
      <c r="CJ157" s="276"/>
      <c r="CK157" s="276"/>
      <c r="CL157" s="276"/>
      <c r="CM157" s="276"/>
      <c r="CN157" s="276"/>
      <c r="CP157" s="277"/>
      <c r="CQ157" s="276"/>
      <c r="CR157" s="276"/>
      <c r="CS157" s="276"/>
      <c r="CT157" s="276"/>
      <c r="CU157" s="276"/>
      <c r="CV157" s="276"/>
      <c r="CW157" s="276"/>
      <c r="CY157" s="277"/>
      <c r="CZ157" s="276"/>
      <c r="DA157" s="276"/>
      <c r="DB157" s="276"/>
      <c r="DC157" s="276"/>
      <c r="DD157" s="276"/>
      <c r="DE157" s="276"/>
      <c r="DF157" s="276"/>
      <c r="DH157" s="277"/>
      <c r="DI157" s="276"/>
      <c r="DJ157" s="276"/>
      <c r="DK157" s="276"/>
      <c r="DL157" s="276"/>
      <c r="DM157" s="276"/>
      <c r="DN157" s="276"/>
      <c r="DO157" s="276"/>
      <c r="DQ157" s="277"/>
      <c r="DR157" s="276"/>
      <c r="DS157" s="276"/>
      <c r="DT157" s="276"/>
      <c r="DU157" s="276"/>
      <c r="DV157" s="276"/>
      <c r="DW157" s="276"/>
      <c r="DX157" s="276"/>
      <c r="DZ157" s="277"/>
      <c r="EA157" s="276"/>
      <c r="EB157" s="276"/>
      <c r="EC157" s="276"/>
      <c r="ED157" s="276"/>
      <c r="EE157" s="276"/>
      <c r="EF157" s="276"/>
      <c r="EG157" s="276"/>
      <c r="EI157" s="277"/>
      <c r="EJ157" s="276"/>
      <c r="EK157" s="276"/>
      <c r="EL157" s="276"/>
      <c r="EM157" s="276"/>
      <c r="EN157" s="276"/>
      <c r="EO157" s="276"/>
      <c r="EP157" s="276"/>
      <c r="ER157" s="277"/>
      <c r="ES157" s="276"/>
      <c r="ET157" s="276"/>
      <c r="EU157" s="276"/>
      <c r="EV157" s="276"/>
      <c r="EW157" s="276"/>
      <c r="EX157" s="276"/>
      <c r="EY157" s="276"/>
      <c r="FA157" s="277"/>
      <c r="FB157" s="276"/>
      <c r="FC157" s="276"/>
    </row>
    <row r="158" spans="2:159" x14ac:dyDescent="0.2">
      <c r="B158" s="85"/>
      <c r="C158" s="134"/>
      <c r="D158" s="134"/>
      <c r="E158" s="135"/>
    </row>
    <row r="159" spans="2:159" ht="15.75" x14ac:dyDescent="0.2">
      <c r="B159" s="131" t="s">
        <v>151</v>
      </c>
      <c r="C159" s="132">
        <v>550</v>
      </c>
      <c r="D159" s="132">
        <v>560</v>
      </c>
      <c r="E159" s="133">
        <v>650</v>
      </c>
    </row>
    <row r="160" spans="2:159" s="130" customFormat="1" ht="15.75" x14ac:dyDescent="0.2">
      <c r="B160" s="131" t="s">
        <v>152</v>
      </c>
      <c r="C160" s="132">
        <v>810</v>
      </c>
      <c r="D160" s="132">
        <v>820</v>
      </c>
      <c r="E160" s="133">
        <v>950</v>
      </c>
      <c r="F160" s="276"/>
      <c r="G160" s="276"/>
      <c r="H160" s="276"/>
      <c r="I160" s="276"/>
      <c r="J160" s="276"/>
      <c r="K160" s="276"/>
      <c r="M160" s="277"/>
      <c r="N160" s="276"/>
      <c r="O160" s="276"/>
      <c r="P160" s="276"/>
      <c r="Q160" s="276"/>
      <c r="R160" s="276"/>
      <c r="S160" s="276"/>
      <c r="T160" s="276"/>
      <c r="V160" s="277"/>
      <c r="W160" s="276"/>
      <c r="X160" s="276"/>
      <c r="Y160" s="276"/>
      <c r="Z160" s="276"/>
      <c r="AA160" s="276"/>
      <c r="AB160" s="276"/>
      <c r="AC160" s="276"/>
      <c r="AE160" s="277"/>
      <c r="AF160" s="276"/>
      <c r="AG160" s="276"/>
      <c r="AH160" s="276"/>
      <c r="AI160" s="276"/>
      <c r="AJ160" s="276"/>
      <c r="AK160" s="276"/>
      <c r="AL160" s="276"/>
      <c r="AN160" s="277"/>
      <c r="AO160" s="276"/>
      <c r="AP160" s="276"/>
      <c r="AQ160" s="276"/>
      <c r="AR160" s="276"/>
      <c r="AS160" s="276"/>
      <c r="AT160" s="276"/>
      <c r="AU160" s="276"/>
      <c r="AW160" s="277"/>
      <c r="AX160" s="276"/>
      <c r="AY160" s="276"/>
      <c r="AZ160" s="276"/>
      <c r="BA160" s="276"/>
      <c r="BB160" s="276"/>
      <c r="BC160" s="276"/>
      <c r="BD160" s="276"/>
      <c r="BF160" s="277"/>
      <c r="BG160" s="276"/>
      <c r="BH160" s="276"/>
      <c r="BI160" s="276"/>
      <c r="BJ160" s="276"/>
      <c r="BK160" s="276"/>
      <c r="BL160" s="276"/>
      <c r="BM160" s="276"/>
      <c r="BO160" s="277"/>
      <c r="BP160" s="276"/>
      <c r="BQ160" s="276"/>
      <c r="BR160" s="276"/>
      <c r="BS160" s="276"/>
      <c r="BT160" s="276"/>
      <c r="BU160" s="276"/>
      <c r="BV160" s="276"/>
      <c r="BX160" s="277"/>
      <c r="BY160" s="276"/>
      <c r="BZ160" s="276"/>
      <c r="CA160" s="276"/>
      <c r="CB160" s="276"/>
      <c r="CC160" s="276"/>
      <c r="CD160" s="276"/>
      <c r="CE160" s="276"/>
      <c r="CG160" s="277"/>
      <c r="CH160" s="276"/>
      <c r="CI160" s="276"/>
      <c r="CJ160" s="276"/>
      <c r="CK160" s="276"/>
      <c r="CL160" s="276"/>
      <c r="CM160" s="276"/>
      <c r="CN160" s="276"/>
      <c r="CP160" s="277"/>
      <c r="CQ160" s="276"/>
      <c r="CR160" s="276"/>
      <c r="CS160" s="276"/>
      <c r="CT160" s="276"/>
      <c r="CU160" s="276"/>
      <c r="CV160" s="276"/>
      <c r="CW160" s="276"/>
      <c r="CY160" s="277"/>
      <c r="CZ160" s="276"/>
      <c r="DA160" s="276"/>
      <c r="DB160" s="276"/>
      <c r="DC160" s="276"/>
      <c r="DD160" s="276"/>
      <c r="DE160" s="276"/>
      <c r="DF160" s="276"/>
      <c r="DH160" s="277"/>
      <c r="DI160" s="276"/>
      <c r="DJ160" s="276"/>
      <c r="DK160" s="276"/>
      <c r="DL160" s="276"/>
      <c r="DM160" s="276"/>
      <c r="DN160" s="276"/>
      <c r="DO160" s="276"/>
      <c r="DQ160" s="277"/>
      <c r="DR160" s="276"/>
      <c r="DS160" s="276"/>
      <c r="DT160" s="276"/>
      <c r="DU160" s="276"/>
      <c r="DV160" s="276"/>
      <c r="DW160" s="276"/>
      <c r="DX160" s="276"/>
      <c r="DZ160" s="277"/>
      <c r="EA160" s="276"/>
      <c r="EB160" s="276"/>
      <c r="EC160" s="276"/>
      <c r="ED160" s="276"/>
      <c r="EE160" s="276"/>
      <c r="EF160" s="276"/>
      <c r="EG160" s="276"/>
      <c r="EI160" s="277"/>
      <c r="EJ160" s="276"/>
      <c r="EK160" s="276"/>
      <c r="EL160" s="276"/>
      <c r="EM160" s="276"/>
      <c r="EN160" s="276"/>
      <c r="EO160" s="276"/>
      <c r="EP160" s="276"/>
      <c r="ER160" s="277"/>
      <c r="ES160" s="276"/>
      <c r="ET160" s="276"/>
      <c r="EU160" s="276"/>
      <c r="EV160" s="276"/>
      <c r="EW160" s="276"/>
      <c r="EX160" s="276"/>
      <c r="EY160" s="276"/>
      <c r="FA160" s="277"/>
      <c r="FB160" s="276"/>
      <c r="FC160" s="276"/>
    </row>
    <row r="161" spans="2:159" x14ac:dyDescent="0.2">
      <c r="B161" s="85"/>
      <c r="C161" s="126"/>
      <c r="D161" s="126"/>
      <c r="E161" s="127"/>
      <c r="F161" s="278"/>
      <c r="G161" s="278"/>
      <c r="H161" s="278"/>
      <c r="I161" s="278"/>
      <c r="J161" s="278"/>
      <c r="K161" s="278"/>
      <c r="M161" s="279"/>
      <c r="N161" s="278"/>
      <c r="O161" s="278"/>
      <c r="P161" s="278"/>
      <c r="Q161" s="278"/>
      <c r="R161" s="278"/>
      <c r="S161" s="278"/>
      <c r="T161" s="278"/>
      <c r="V161" s="279"/>
      <c r="W161" s="278"/>
      <c r="X161" s="278"/>
      <c r="Y161" s="278"/>
      <c r="Z161" s="278"/>
      <c r="AA161" s="278"/>
      <c r="AB161" s="278"/>
      <c r="AC161" s="278"/>
      <c r="AE161" s="279"/>
      <c r="AF161" s="278"/>
      <c r="AG161" s="278"/>
      <c r="AH161" s="278"/>
      <c r="AI161" s="278"/>
      <c r="AJ161" s="278"/>
      <c r="AK161" s="278"/>
      <c r="AL161" s="278"/>
      <c r="AN161" s="279"/>
      <c r="AO161" s="278"/>
      <c r="AP161" s="278"/>
      <c r="AQ161" s="278"/>
      <c r="AR161" s="278"/>
      <c r="AS161" s="278"/>
      <c r="AT161" s="278"/>
      <c r="AU161" s="278"/>
      <c r="AW161" s="279"/>
      <c r="AX161" s="278"/>
      <c r="AY161" s="278"/>
      <c r="AZ161" s="278"/>
      <c r="BA161" s="278"/>
      <c r="BB161" s="278"/>
      <c r="BC161" s="278"/>
      <c r="BD161" s="278"/>
      <c r="BF161" s="279"/>
      <c r="BG161" s="278"/>
      <c r="BH161" s="278"/>
      <c r="BI161" s="278"/>
      <c r="BJ161" s="278"/>
      <c r="BK161" s="278"/>
      <c r="BL161" s="278"/>
      <c r="BM161" s="278"/>
      <c r="BO161" s="279"/>
      <c r="BP161" s="278"/>
      <c r="BQ161" s="278"/>
      <c r="BR161" s="278"/>
      <c r="BS161" s="278"/>
      <c r="BT161" s="278"/>
      <c r="BU161" s="278"/>
      <c r="BV161" s="278"/>
      <c r="BX161" s="279"/>
      <c r="BY161" s="278"/>
      <c r="BZ161" s="278"/>
      <c r="CA161" s="278"/>
      <c r="CB161" s="278"/>
      <c r="CC161" s="278"/>
      <c r="CD161" s="278"/>
      <c r="CE161" s="278"/>
      <c r="CG161" s="279"/>
      <c r="CH161" s="278"/>
      <c r="CI161" s="278"/>
      <c r="CJ161" s="278"/>
      <c r="CK161" s="278"/>
      <c r="CL161" s="278"/>
      <c r="CM161" s="278"/>
      <c r="CN161" s="278"/>
      <c r="CP161" s="279"/>
      <c r="CQ161" s="278"/>
      <c r="CR161" s="278"/>
      <c r="CS161" s="278"/>
      <c r="CT161" s="278"/>
      <c r="CU161" s="278"/>
      <c r="CV161" s="278"/>
      <c r="CW161" s="278"/>
      <c r="CY161" s="279"/>
      <c r="CZ161" s="278"/>
      <c r="DA161" s="278"/>
      <c r="DB161" s="278"/>
      <c r="DC161" s="278"/>
      <c r="DD161" s="278"/>
      <c r="DE161" s="278"/>
      <c r="DF161" s="278"/>
      <c r="DH161" s="279"/>
      <c r="DI161" s="278"/>
      <c r="DJ161" s="278"/>
      <c r="DK161" s="278"/>
      <c r="DL161" s="278"/>
      <c r="DM161" s="278"/>
      <c r="DN161" s="278"/>
      <c r="DO161" s="278"/>
      <c r="DQ161" s="279"/>
      <c r="DR161" s="278"/>
      <c r="DS161" s="278"/>
      <c r="DT161" s="278"/>
      <c r="DU161" s="278"/>
      <c r="DV161" s="278"/>
      <c r="DW161" s="278"/>
      <c r="DX161" s="278"/>
      <c r="DZ161" s="279"/>
      <c r="EA161" s="278"/>
      <c r="EB161" s="278"/>
      <c r="EC161" s="278"/>
      <c r="ED161" s="278"/>
      <c r="EE161" s="278"/>
      <c r="EF161" s="278"/>
      <c r="EG161" s="278"/>
      <c r="EI161" s="279"/>
      <c r="EJ161" s="278"/>
      <c r="EK161" s="278"/>
      <c r="EL161" s="278"/>
      <c r="EM161" s="278"/>
      <c r="EN161" s="278"/>
      <c r="EO161" s="278"/>
      <c r="EP161" s="278"/>
      <c r="ER161" s="279"/>
      <c r="ES161" s="278"/>
      <c r="ET161" s="278"/>
      <c r="EU161" s="278"/>
      <c r="EV161" s="278"/>
      <c r="EW161" s="278"/>
      <c r="EX161" s="278"/>
      <c r="EY161" s="278"/>
      <c r="FA161" s="279"/>
      <c r="FB161" s="278"/>
      <c r="FC161" s="278"/>
    </row>
    <row r="162" spans="2:159" ht="15" hidden="1" customHeight="1" x14ac:dyDescent="0.2">
      <c r="B162" s="85"/>
      <c r="C162" s="126"/>
      <c r="D162" s="126"/>
      <c r="E162" s="127"/>
      <c r="F162" s="278"/>
      <c r="G162" s="278"/>
      <c r="H162" s="278"/>
      <c r="I162" s="278"/>
      <c r="J162" s="278"/>
      <c r="K162" s="278"/>
      <c r="M162" s="279"/>
      <c r="N162" s="278"/>
      <c r="O162" s="278"/>
      <c r="P162" s="278"/>
      <c r="Q162" s="278"/>
      <c r="R162" s="278"/>
      <c r="S162" s="278"/>
      <c r="T162" s="278"/>
      <c r="V162" s="279"/>
      <c r="W162" s="278"/>
      <c r="X162" s="278"/>
      <c r="Y162" s="278"/>
      <c r="Z162" s="278"/>
      <c r="AA162" s="278"/>
      <c r="AB162" s="278"/>
      <c r="AC162" s="278"/>
      <c r="AE162" s="279"/>
      <c r="AF162" s="278"/>
      <c r="AG162" s="278"/>
      <c r="AH162" s="278"/>
      <c r="AI162" s="278"/>
      <c r="AJ162" s="278"/>
      <c r="AK162" s="278"/>
      <c r="AL162" s="278"/>
      <c r="AN162" s="279"/>
      <c r="AO162" s="278"/>
      <c r="AP162" s="278"/>
      <c r="AQ162" s="278"/>
      <c r="AR162" s="278"/>
      <c r="AS162" s="278"/>
      <c r="AT162" s="278"/>
      <c r="AU162" s="278"/>
      <c r="AW162" s="279"/>
      <c r="AX162" s="278"/>
      <c r="AY162" s="278"/>
      <c r="AZ162" s="278"/>
      <c r="BA162" s="278"/>
      <c r="BB162" s="278"/>
      <c r="BC162" s="278"/>
      <c r="BD162" s="278"/>
      <c r="BF162" s="279"/>
      <c r="BG162" s="278"/>
      <c r="BH162" s="278"/>
      <c r="BI162" s="278"/>
      <c r="BJ162" s="278"/>
      <c r="BK162" s="278"/>
      <c r="BL162" s="278"/>
      <c r="BM162" s="278"/>
      <c r="BO162" s="279"/>
      <c r="BP162" s="278"/>
      <c r="BQ162" s="278"/>
      <c r="BR162" s="278"/>
      <c r="BS162" s="278"/>
      <c r="BT162" s="278"/>
      <c r="BU162" s="278"/>
      <c r="BV162" s="278"/>
      <c r="BX162" s="279"/>
      <c r="BY162" s="278"/>
      <c r="BZ162" s="278"/>
      <c r="CA162" s="278"/>
      <c r="CB162" s="278"/>
      <c r="CC162" s="278"/>
      <c r="CD162" s="278"/>
      <c r="CE162" s="278"/>
      <c r="CG162" s="279"/>
      <c r="CH162" s="278"/>
      <c r="CI162" s="278"/>
      <c r="CJ162" s="278"/>
      <c r="CK162" s="278"/>
      <c r="CL162" s="278"/>
      <c r="CM162" s="278"/>
      <c r="CN162" s="278"/>
      <c r="CP162" s="279"/>
      <c r="CQ162" s="278"/>
      <c r="CR162" s="278"/>
      <c r="CS162" s="278"/>
      <c r="CT162" s="278"/>
      <c r="CU162" s="278"/>
      <c r="CV162" s="278"/>
      <c r="CW162" s="278"/>
      <c r="CY162" s="279"/>
      <c r="CZ162" s="278"/>
      <c r="DA162" s="278"/>
      <c r="DB162" s="278"/>
      <c r="DC162" s="278"/>
      <c r="DD162" s="278"/>
      <c r="DE162" s="278"/>
      <c r="DF162" s="278"/>
      <c r="DH162" s="279"/>
      <c r="DI162" s="278"/>
      <c r="DJ162" s="278"/>
      <c r="DK162" s="278"/>
      <c r="DL162" s="278"/>
      <c r="DM162" s="278"/>
      <c r="DN162" s="278"/>
      <c r="DO162" s="278"/>
      <c r="DQ162" s="279"/>
      <c r="DR162" s="278"/>
      <c r="DS162" s="278"/>
      <c r="DT162" s="278"/>
      <c r="DU162" s="278"/>
      <c r="DV162" s="278"/>
      <c r="DW162" s="278"/>
      <c r="DX162" s="278"/>
      <c r="DZ162" s="279"/>
      <c r="EA162" s="278"/>
      <c r="EB162" s="278"/>
      <c r="EC162" s="278"/>
      <c r="ED162" s="278"/>
      <c r="EE162" s="278"/>
      <c r="EF162" s="278"/>
      <c r="EG162" s="278"/>
      <c r="EI162" s="279"/>
      <c r="EJ162" s="278"/>
      <c r="EK162" s="278"/>
      <c r="EL162" s="278"/>
      <c r="EM162" s="278"/>
      <c r="EN162" s="278"/>
      <c r="EO162" s="278"/>
      <c r="EP162" s="278"/>
      <c r="ER162" s="279"/>
      <c r="ES162" s="278"/>
      <c r="ET162" s="278"/>
      <c r="EU162" s="278"/>
      <c r="EV162" s="278"/>
      <c r="EW162" s="278"/>
      <c r="EX162" s="278"/>
      <c r="EY162" s="278"/>
      <c r="FA162" s="279"/>
      <c r="FB162" s="278"/>
      <c r="FC162" s="278"/>
    </row>
    <row r="163" spans="2:159" ht="15" hidden="1" customHeight="1" x14ac:dyDescent="0.2">
      <c r="B163" s="85"/>
      <c r="C163" s="126"/>
      <c r="D163" s="126"/>
      <c r="E163" s="127"/>
      <c r="F163" s="278"/>
      <c r="G163" s="278"/>
      <c r="H163" s="278"/>
      <c r="I163" s="278"/>
      <c r="J163" s="278"/>
      <c r="K163" s="278"/>
      <c r="M163" s="279"/>
      <c r="N163" s="278"/>
      <c r="O163" s="278"/>
      <c r="P163" s="278"/>
      <c r="Q163" s="278"/>
      <c r="R163" s="278"/>
      <c r="S163" s="278"/>
      <c r="T163" s="278"/>
      <c r="V163" s="279"/>
      <c r="W163" s="278"/>
      <c r="X163" s="278"/>
      <c r="Y163" s="278"/>
      <c r="Z163" s="278"/>
      <c r="AA163" s="278"/>
      <c r="AB163" s="278"/>
      <c r="AC163" s="278"/>
      <c r="AE163" s="279"/>
      <c r="AF163" s="278"/>
      <c r="AG163" s="278"/>
      <c r="AH163" s="278"/>
      <c r="AI163" s="278"/>
      <c r="AJ163" s="278"/>
      <c r="AK163" s="278"/>
      <c r="AL163" s="278"/>
      <c r="AN163" s="279"/>
      <c r="AO163" s="278"/>
      <c r="AP163" s="278"/>
      <c r="AQ163" s="278"/>
      <c r="AR163" s="278"/>
      <c r="AS163" s="278"/>
      <c r="AT163" s="278"/>
      <c r="AU163" s="278"/>
      <c r="AW163" s="279"/>
      <c r="AX163" s="278"/>
      <c r="AY163" s="278"/>
      <c r="AZ163" s="278"/>
      <c r="BA163" s="278"/>
      <c r="BB163" s="278"/>
      <c r="BC163" s="278"/>
      <c r="BD163" s="278"/>
      <c r="BF163" s="279"/>
      <c r="BG163" s="278"/>
      <c r="BH163" s="278"/>
      <c r="BI163" s="278"/>
      <c r="BJ163" s="278"/>
      <c r="BK163" s="278"/>
      <c r="BL163" s="278"/>
      <c r="BM163" s="278"/>
      <c r="BO163" s="279"/>
      <c r="BP163" s="278"/>
      <c r="BQ163" s="278"/>
      <c r="BR163" s="278"/>
      <c r="BS163" s="278"/>
      <c r="BT163" s="278"/>
      <c r="BU163" s="278"/>
      <c r="BV163" s="278"/>
      <c r="BX163" s="279"/>
      <c r="BY163" s="278"/>
      <c r="BZ163" s="278"/>
      <c r="CA163" s="278"/>
      <c r="CB163" s="278"/>
      <c r="CC163" s="278"/>
      <c r="CD163" s="278"/>
      <c r="CE163" s="278"/>
      <c r="CG163" s="279"/>
      <c r="CH163" s="278"/>
      <c r="CI163" s="278"/>
      <c r="CJ163" s="278"/>
      <c r="CK163" s="278"/>
      <c r="CL163" s="278"/>
      <c r="CM163" s="278"/>
      <c r="CN163" s="278"/>
      <c r="CP163" s="279"/>
      <c r="CQ163" s="278"/>
      <c r="CR163" s="278"/>
      <c r="CS163" s="278"/>
      <c r="CT163" s="278"/>
      <c r="CU163" s="278"/>
      <c r="CV163" s="278"/>
      <c r="CW163" s="278"/>
      <c r="CY163" s="279"/>
      <c r="CZ163" s="278"/>
      <c r="DA163" s="278"/>
      <c r="DB163" s="278"/>
      <c r="DC163" s="278"/>
      <c r="DD163" s="278"/>
      <c r="DE163" s="278"/>
      <c r="DF163" s="278"/>
      <c r="DH163" s="279"/>
      <c r="DI163" s="278"/>
      <c r="DJ163" s="278"/>
      <c r="DK163" s="278"/>
      <c r="DL163" s="278"/>
      <c r="DM163" s="278"/>
      <c r="DN163" s="278"/>
      <c r="DO163" s="278"/>
      <c r="DQ163" s="279"/>
      <c r="DR163" s="278"/>
      <c r="DS163" s="278"/>
      <c r="DT163" s="278"/>
      <c r="DU163" s="278"/>
      <c r="DV163" s="278"/>
      <c r="DW163" s="278"/>
      <c r="DX163" s="278"/>
      <c r="DZ163" s="279"/>
      <c r="EA163" s="278"/>
      <c r="EB163" s="278"/>
      <c r="EC163" s="278"/>
      <c r="ED163" s="278"/>
      <c r="EE163" s="278"/>
      <c r="EF163" s="278"/>
      <c r="EG163" s="278"/>
      <c r="EI163" s="279"/>
      <c r="EJ163" s="278"/>
      <c r="EK163" s="278"/>
      <c r="EL163" s="278"/>
      <c r="EM163" s="278"/>
      <c r="EN163" s="278"/>
      <c r="EO163" s="278"/>
      <c r="EP163" s="278"/>
      <c r="ER163" s="279"/>
      <c r="ES163" s="278"/>
      <c r="ET163" s="278"/>
      <c r="EU163" s="278"/>
      <c r="EV163" s="278"/>
      <c r="EW163" s="278"/>
      <c r="EX163" s="278"/>
      <c r="EY163" s="278"/>
      <c r="FA163" s="279"/>
      <c r="FB163" s="278"/>
      <c r="FC163" s="278"/>
    </row>
    <row r="164" spans="2:159" ht="15" hidden="1" customHeight="1" x14ac:dyDescent="0.2">
      <c r="B164" s="85"/>
      <c r="C164" s="126"/>
      <c r="D164" s="126"/>
      <c r="E164" s="127"/>
      <c r="F164" s="278"/>
      <c r="G164" s="278"/>
      <c r="H164" s="278"/>
      <c r="I164" s="278"/>
      <c r="J164" s="278"/>
      <c r="K164" s="278"/>
      <c r="M164" s="279"/>
      <c r="N164" s="278"/>
      <c r="O164" s="278"/>
      <c r="P164" s="278"/>
      <c r="Q164" s="278"/>
      <c r="R164" s="278"/>
      <c r="S164" s="278"/>
      <c r="T164" s="278"/>
      <c r="V164" s="279"/>
      <c r="W164" s="278"/>
      <c r="X164" s="278"/>
      <c r="Y164" s="278"/>
      <c r="Z164" s="278"/>
      <c r="AA164" s="278"/>
      <c r="AB164" s="278"/>
      <c r="AC164" s="278"/>
      <c r="AE164" s="279"/>
      <c r="AF164" s="278"/>
      <c r="AG164" s="278"/>
      <c r="AH164" s="278"/>
      <c r="AI164" s="278"/>
      <c r="AJ164" s="278"/>
      <c r="AK164" s="278"/>
      <c r="AL164" s="278"/>
      <c r="AN164" s="279"/>
      <c r="AO164" s="278"/>
      <c r="AP164" s="278"/>
      <c r="AQ164" s="278"/>
      <c r="AR164" s="278"/>
      <c r="AS164" s="278"/>
      <c r="AT164" s="278"/>
      <c r="AU164" s="278"/>
      <c r="AW164" s="279"/>
      <c r="AX164" s="278"/>
      <c r="AY164" s="278"/>
      <c r="AZ164" s="278"/>
      <c r="BA164" s="278"/>
      <c r="BB164" s="278"/>
      <c r="BC164" s="278"/>
      <c r="BD164" s="278"/>
      <c r="BF164" s="279"/>
      <c r="BG164" s="278"/>
      <c r="BH164" s="278"/>
      <c r="BI164" s="278"/>
      <c r="BJ164" s="278"/>
      <c r="BK164" s="278"/>
      <c r="BL164" s="278"/>
      <c r="BM164" s="278"/>
      <c r="BO164" s="279"/>
      <c r="BP164" s="278"/>
      <c r="BQ164" s="278"/>
      <c r="BR164" s="278"/>
      <c r="BS164" s="278"/>
      <c r="BT164" s="278"/>
      <c r="BU164" s="278"/>
      <c r="BV164" s="278"/>
      <c r="BX164" s="279"/>
      <c r="BY164" s="278"/>
      <c r="BZ164" s="278"/>
      <c r="CA164" s="278"/>
      <c r="CB164" s="278"/>
      <c r="CC164" s="278"/>
      <c r="CD164" s="278"/>
      <c r="CE164" s="278"/>
      <c r="CG164" s="279"/>
      <c r="CH164" s="278"/>
      <c r="CI164" s="278"/>
      <c r="CJ164" s="278"/>
      <c r="CK164" s="278"/>
      <c r="CL164" s="278"/>
      <c r="CM164" s="278"/>
      <c r="CN164" s="278"/>
      <c r="CP164" s="279"/>
      <c r="CQ164" s="278"/>
      <c r="CR164" s="278"/>
      <c r="CS164" s="278"/>
      <c r="CT164" s="278"/>
      <c r="CU164" s="278"/>
      <c r="CV164" s="278"/>
      <c r="CW164" s="278"/>
      <c r="CY164" s="279"/>
      <c r="CZ164" s="278"/>
      <c r="DA164" s="278"/>
      <c r="DB164" s="278"/>
      <c r="DC164" s="278"/>
      <c r="DD164" s="278"/>
      <c r="DE164" s="278"/>
      <c r="DF164" s="278"/>
      <c r="DH164" s="279"/>
      <c r="DI164" s="278"/>
      <c r="DJ164" s="278"/>
      <c r="DK164" s="278"/>
      <c r="DL164" s="278"/>
      <c r="DM164" s="278"/>
      <c r="DN164" s="278"/>
      <c r="DO164" s="278"/>
      <c r="DQ164" s="279"/>
      <c r="DR164" s="278"/>
      <c r="DS164" s="278"/>
      <c r="DT164" s="278"/>
      <c r="DU164" s="278"/>
      <c r="DV164" s="278"/>
      <c r="DW164" s="278"/>
      <c r="DX164" s="278"/>
      <c r="DZ164" s="279"/>
      <c r="EA164" s="278"/>
      <c r="EB164" s="278"/>
      <c r="EC164" s="278"/>
      <c r="ED164" s="278"/>
      <c r="EE164" s="278"/>
      <c r="EF164" s="278"/>
      <c r="EG164" s="278"/>
      <c r="EI164" s="279"/>
      <c r="EJ164" s="278"/>
      <c r="EK164" s="278"/>
      <c r="EL164" s="278"/>
      <c r="EM164" s="278"/>
      <c r="EN164" s="278"/>
      <c r="EO164" s="278"/>
      <c r="EP164" s="278"/>
      <c r="ER164" s="279"/>
      <c r="ES164" s="278"/>
      <c r="ET164" s="278"/>
      <c r="EU164" s="278"/>
      <c r="EV164" s="278"/>
      <c r="EW164" s="278"/>
      <c r="EX164" s="278"/>
      <c r="EY164" s="278"/>
      <c r="FA164" s="279"/>
      <c r="FB164" s="278"/>
      <c r="FC164" s="278"/>
    </row>
    <row r="165" spans="2:159" ht="15.75" x14ac:dyDescent="0.2">
      <c r="B165" s="107" t="s">
        <v>153</v>
      </c>
      <c r="C165" s="126"/>
      <c r="D165" s="126"/>
      <c r="E165" s="127"/>
      <c r="F165" s="278"/>
      <c r="G165" s="278"/>
      <c r="H165" s="278"/>
      <c r="I165" s="278"/>
      <c r="J165" s="278"/>
      <c r="K165" s="278"/>
      <c r="M165" s="279"/>
      <c r="N165" s="278"/>
      <c r="O165" s="278"/>
      <c r="P165" s="278"/>
      <c r="Q165" s="278"/>
      <c r="R165" s="278"/>
      <c r="S165" s="278"/>
      <c r="T165" s="278"/>
      <c r="V165" s="279"/>
      <c r="W165" s="278"/>
      <c r="X165" s="278"/>
      <c r="Y165" s="278"/>
      <c r="Z165" s="278"/>
      <c r="AA165" s="278"/>
      <c r="AB165" s="278"/>
      <c r="AC165" s="278"/>
      <c r="AE165" s="279"/>
      <c r="AF165" s="278"/>
      <c r="AG165" s="278"/>
      <c r="AH165" s="278"/>
      <c r="AI165" s="278"/>
      <c r="AJ165" s="278"/>
      <c r="AK165" s="278"/>
      <c r="AL165" s="278"/>
      <c r="AN165" s="279"/>
      <c r="AO165" s="278"/>
      <c r="AP165" s="278"/>
      <c r="AQ165" s="278"/>
      <c r="AR165" s="278"/>
      <c r="AS165" s="278"/>
      <c r="AT165" s="278"/>
      <c r="AU165" s="278"/>
      <c r="AW165" s="279"/>
      <c r="AX165" s="278"/>
      <c r="AY165" s="278"/>
      <c r="AZ165" s="278"/>
      <c r="BA165" s="278"/>
      <c r="BB165" s="278"/>
      <c r="BC165" s="278"/>
      <c r="BD165" s="278"/>
      <c r="BF165" s="279"/>
      <c r="BG165" s="278"/>
      <c r="BH165" s="278"/>
      <c r="BI165" s="278"/>
      <c r="BJ165" s="278"/>
      <c r="BK165" s="278"/>
      <c r="BL165" s="278"/>
      <c r="BM165" s="278"/>
      <c r="BO165" s="279"/>
      <c r="BP165" s="278"/>
      <c r="BQ165" s="278"/>
      <c r="BR165" s="278"/>
      <c r="BS165" s="278"/>
      <c r="BT165" s="278"/>
      <c r="BU165" s="278"/>
      <c r="BV165" s="278"/>
      <c r="BX165" s="279"/>
      <c r="BY165" s="278"/>
      <c r="BZ165" s="278"/>
      <c r="CA165" s="278"/>
      <c r="CB165" s="278"/>
      <c r="CC165" s="278"/>
      <c r="CD165" s="278"/>
      <c r="CE165" s="278"/>
      <c r="CG165" s="279"/>
      <c r="CH165" s="278"/>
      <c r="CI165" s="278"/>
      <c r="CJ165" s="278"/>
      <c r="CK165" s="278"/>
      <c r="CL165" s="278"/>
      <c r="CM165" s="278"/>
      <c r="CN165" s="278"/>
      <c r="CP165" s="279"/>
      <c r="CQ165" s="278"/>
      <c r="CR165" s="278"/>
      <c r="CS165" s="278"/>
      <c r="CT165" s="278"/>
      <c r="CU165" s="278"/>
      <c r="CV165" s="278"/>
      <c r="CW165" s="278"/>
      <c r="CY165" s="279"/>
      <c r="CZ165" s="278"/>
      <c r="DA165" s="278"/>
      <c r="DB165" s="278"/>
      <c r="DC165" s="278"/>
      <c r="DD165" s="278"/>
      <c r="DE165" s="278"/>
      <c r="DF165" s="278"/>
      <c r="DH165" s="279"/>
      <c r="DI165" s="278"/>
      <c r="DJ165" s="278"/>
      <c r="DK165" s="278"/>
      <c r="DL165" s="278"/>
      <c r="DM165" s="278"/>
      <c r="DN165" s="278"/>
      <c r="DO165" s="278"/>
      <c r="DQ165" s="279"/>
      <c r="DR165" s="278"/>
      <c r="DS165" s="278"/>
      <c r="DT165" s="278"/>
      <c r="DU165" s="278"/>
      <c r="DV165" s="278"/>
      <c r="DW165" s="278"/>
      <c r="DX165" s="278"/>
      <c r="DZ165" s="279"/>
      <c r="EA165" s="278"/>
      <c r="EB165" s="278"/>
      <c r="EC165" s="278"/>
      <c r="ED165" s="278"/>
      <c r="EE165" s="278"/>
      <c r="EF165" s="278"/>
      <c r="EG165" s="278"/>
      <c r="EI165" s="279"/>
      <c r="EJ165" s="278"/>
      <c r="EK165" s="278"/>
      <c r="EL165" s="278"/>
      <c r="EM165" s="278"/>
      <c r="EN165" s="278"/>
      <c r="EO165" s="278"/>
      <c r="EP165" s="278"/>
      <c r="ER165" s="279"/>
      <c r="ES165" s="278"/>
      <c r="ET165" s="278"/>
      <c r="EU165" s="278"/>
      <c r="EV165" s="278"/>
      <c r="EW165" s="278"/>
      <c r="EX165" s="278"/>
      <c r="EY165" s="278"/>
      <c r="FA165" s="279"/>
      <c r="FB165" s="278"/>
      <c r="FC165" s="278"/>
    </row>
    <row r="166" spans="2:159" x14ac:dyDescent="0.2">
      <c r="B166" s="78" t="s">
        <v>154</v>
      </c>
      <c r="C166" s="138">
        <v>0.9</v>
      </c>
      <c r="D166" s="138">
        <v>1</v>
      </c>
      <c r="E166" s="139">
        <v>1.3</v>
      </c>
    </row>
    <row r="167" spans="2:159" x14ac:dyDescent="0.2">
      <c r="B167" s="78" t="s">
        <v>155</v>
      </c>
      <c r="C167" s="138">
        <v>1.5</v>
      </c>
      <c r="D167" s="138">
        <v>1.5</v>
      </c>
      <c r="E167" s="139">
        <v>1.5</v>
      </c>
    </row>
    <row r="168" spans="2:159" x14ac:dyDescent="0.2">
      <c r="B168" s="78" t="s">
        <v>156</v>
      </c>
      <c r="C168" s="126">
        <v>0.33</v>
      </c>
      <c r="D168" s="126">
        <v>0.33</v>
      </c>
      <c r="E168" s="127">
        <v>0.33</v>
      </c>
    </row>
    <row r="169" spans="2:159" x14ac:dyDescent="0.2">
      <c r="B169" s="78" t="s">
        <v>157</v>
      </c>
      <c r="C169" s="126">
        <v>1.0844083139763756</v>
      </c>
      <c r="D169" s="126">
        <v>1.1028057836866347</v>
      </c>
      <c r="E169" s="127">
        <v>1.2821821662359347</v>
      </c>
    </row>
    <row r="170" spans="2:159" x14ac:dyDescent="0.2">
      <c r="B170" s="78"/>
      <c r="C170" s="138"/>
      <c r="D170" s="126"/>
      <c r="E170" s="127"/>
    </row>
    <row r="171" spans="2:159" ht="15.75" x14ac:dyDescent="0.2">
      <c r="B171" s="107" t="s">
        <v>342</v>
      </c>
      <c r="C171" s="126"/>
      <c r="D171" s="126"/>
      <c r="E171" s="127"/>
      <c r="F171" s="278"/>
      <c r="G171" s="278"/>
      <c r="H171" s="278"/>
      <c r="I171" s="278"/>
      <c r="J171" s="278"/>
      <c r="K171" s="278"/>
      <c r="M171" s="279"/>
      <c r="N171" s="278"/>
      <c r="O171" s="278"/>
      <c r="P171" s="278"/>
      <c r="Q171" s="278"/>
      <c r="R171" s="278"/>
      <c r="S171" s="278"/>
      <c r="T171" s="278"/>
      <c r="V171" s="279"/>
      <c r="W171" s="278"/>
      <c r="X171" s="278"/>
      <c r="Y171" s="278"/>
      <c r="Z171" s="278"/>
      <c r="AA171" s="278"/>
      <c r="AB171" s="278"/>
      <c r="AC171" s="278"/>
      <c r="AE171" s="279"/>
      <c r="AF171" s="278"/>
      <c r="AG171" s="278"/>
      <c r="AH171" s="278"/>
      <c r="AI171" s="278"/>
      <c r="AJ171" s="278"/>
      <c r="AK171" s="278"/>
      <c r="AL171" s="278"/>
      <c r="AN171" s="279"/>
      <c r="AO171" s="278"/>
      <c r="AP171" s="278"/>
      <c r="AQ171" s="278"/>
      <c r="AR171" s="278"/>
      <c r="AS171" s="278"/>
      <c r="AT171" s="278"/>
      <c r="AU171" s="278"/>
      <c r="AW171" s="279"/>
      <c r="AX171" s="278"/>
      <c r="AY171" s="278"/>
      <c r="AZ171" s="278"/>
      <c r="BA171" s="278"/>
      <c r="BB171" s="278"/>
      <c r="BC171" s="278"/>
      <c r="BD171" s="278"/>
      <c r="BF171" s="279"/>
      <c r="BG171" s="278"/>
      <c r="BH171" s="278"/>
      <c r="BI171" s="278"/>
      <c r="BJ171" s="278"/>
      <c r="BK171" s="278"/>
      <c r="BL171" s="278"/>
      <c r="BM171" s="278"/>
      <c r="BO171" s="279"/>
      <c r="BP171" s="278"/>
      <c r="BQ171" s="278"/>
      <c r="BR171" s="278"/>
      <c r="BS171" s="278"/>
      <c r="BT171" s="278"/>
      <c r="BU171" s="278"/>
      <c r="BV171" s="278"/>
      <c r="BX171" s="279"/>
      <c r="BY171" s="278"/>
      <c r="BZ171" s="278"/>
      <c r="CA171" s="278"/>
      <c r="CB171" s="278"/>
      <c r="CC171" s="278"/>
      <c r="CD171" s="278"/>
      <c r="CE171" s="278"/>
      <c r="CG171" s="279"/>
      <c r="CH171" s="278"/>
      <c r="CI171" s="278"/>
      <c r="CJ171" s="278"/>
      <c r="CK171" s="278"/>
      <c r="CL171" s="278"/>
      <c r="CM171" s="278"/>
      <c r="CN171" s="278"/>
      <c r="CP171" s="279"/>
      <c r="CQ171" s="278"/>
      <c r="CR171" s="278"/>
      <c r="CS171" s="278"/>
      <c r="CT171" s="278"/>
      <c r="CU171" s="278"/>
      <c r="CV171" s="278"/>
      <c r="CW171" s="278"/>
      <c r="CY171" s="279"/>
      <c r="CZ171" s="278"/>
      <c r="DA171" s="278"/>
      <c r="DB171" s="278"/>
      <c r="DC171" s="278"/>
      <c r="DD171" s="278"/>
      <c r="DE171" s="278"/>
      <c r="DF171" s="278"/>
      <c r="DH171" s="279"/>
      <c r="DI171" s="278"/>
      <c r="DJ171" s="278"/>
      <c r="DK171" s="278"/>
      <c r="DL171" s="278"/>
      <c r="DM171" s="278"/>
      <c r="DN171" s="278"/>
      <c r="DO171" s="278"/>
      <c r="DQ171" s="279"/>
      <c r="DR171" s="278"/>
      <c r="DS171" s="278"/>
      <c r="DT171" s="278"/>
      <c r="DU171" s="278"/>
      <c r="DV171" s="278"/>
      <c r="DW171" s="278"/>
      <c r="DX171" s="278"/>
      <c r="DZ171" s="279"/>
      <c r="EA171" s="278"/>
      <c r="EB171" s="278"/>
      <c r="EC171" s="278"/>
      <c r="ED171" s="278"/>
      <c r="EE171" s="278"/>
      <c r="EF171" s="278"/>
      <c r="EG171" s="278"/>
      <c r="EI171" s="279"/>
      <c r="EJ171" s="278"/>
      <c r="EK171" s="278"/>
      <c r="EL171" s="278"/>
      <c r="EM171" s="278"/>
      <c r="EN171" s="278"/>
      <c r="EO171" s="278"/>
      <c r="EP171" s="278"/>
      <c r="ER171" s="279"/>
      <c r="ES171" s="278"/>
      <c r="ET171" s="278"/>
      <c r="EU171" s="278"/>
      <c r="EV171" s="278"/>
      <c r="EW171" s="278"/>
      <c r="EX171" s="278"/>
      <c r="EY171" s="278"/>
      <c r="FA171" s="279"/>
      <c r="FB171" s="278"/>
      <c r="FC171" s="278"/>
    </row>
    <row r="172" spans="2:159" x14ac:dyDescent="0.2">
      <c r="B172" s="78" t="s">
        <v>154</v>
      </c>
      <c r="C172" s="138">
        <v>0.9</v>
      </c>
      <c r="D172" s="138">
        <v>1</v>
      </c>
      <c r="E172" s="139">
        <v>1.3</v>
      </c>
    </row>
    <row r="173" spans="2:159" x14ac:dyDescent="0.2">
      <c r="B173" s="78" t="s">
        <v>155</v>
      </c>
      <c r="C173" s="138">
        <v>1.5</v>
      </c>
      <c r="D173" s="138">
        <v>1.5</v>
      </c>
      <c r="E173" s="139">
        <v>1.5</v>
      </c>
    </row>
    <row r="174" spans="2:159" x14ac:dyDescent="0.2">
      <c r="B174" s="78" t="s">
        <v>200</v>
      </c>
      <c r="C174" s="126">
        <v>0.33</v>
      </c>
      <c r="D174" s="126">
        <v>0.33</v>
      </c>
      <c r="E174" s="127">
        <v>0.33</v>
      </c>
    </row>
    <row r="175" spans="2:159" x14ac:dyDescent="0.2">
      <c r="B175" s="78" t="s">
        <v>157</v>
      </c>
      <c r="C175" s="126">
        <v>1.0844083139763756</v>
      </c>
      <c r="D175" s="126">
        <v>1.1028057836866347</v>
      </c>
      <c r="E175" s="127">
        <v>1.2821821662359347</v>
      </c>
    </row>
    <row r="176" spans="2:159" x14ac:dyDescent="0.2">
      <c r="B176" s="78"/>
      <c r="C176" s="138"/>
      <c r="D176" s="126"/>
      <c r="E176" s="127"/>
    </row>
    <row r="177" spans="2:5" ht="15.75" x14ac:dyDescent="0.2">
      <c r="B177" s="140" t="s">
        <v>158</v>
      </c>
      <c r="C177" s="126"/>
      <c r="D177" s="126"/>
      <c r="E177" s="127"/>
    </row>
    <row r="178" spans="2:5" x14ac:dyDescent="0.2">
      <c r="B178" s="141" t="s">
        <v>159</v>
      </c>
      <c r="C178" s="123">
        <v>600</v>
      </c>
      <c r="D178" s="123">
        <v>600</v>
      </c>
      <c r="E178" s="124">
        <v>600</v>
      </c>
    </row>
    <row r="179" spans="2:5" x14ac:dyDescent="0.2">
      <c r="B179" s="141" t="s">
        <v>160</v>
      </c>
      <c r="C179" s="123">
        <v>26600</v>
      </c>
      <c r="D179" s="123">
        <v>26600</v>
      </c>
      <c r="E179" s="124">
        <v>26600</v>
      </c>
    </row>
    <row r="180" spans="2:5" x14ac:dyDescent="0.2">
      <c r="B180" s="141" t="s">
        <v>161</v>
      </c>
      <c r="C180" s="138">
        <v>1.6</v>
      </c>
      <c r="D180" s="138">
        <v>1.6</v>
      </c>
      <c r="E180" s="139">
        <v>1.6</v>
      </c>
    </row>
    <row r="181" spans="2:5" x14ac:dyDescent="0.2">
      <c r="B181" s="141"/>
      <c r="C181" s="123"/>
      <c r="D181" s="123"/>
      <c r="E181" s="124"/>
    </row>
    <row r="182" spans="2:5" x14ac:dyDescent="0.2">
      <c r="B182" s="85"/>
      <c r="C182" s="123"/>
      <c r="D182" s="123"/>
      <c r="E182" s="124"/>
    </row>
    <row r="183" spans="2:5" ht="15.75" x14ac:dyDescent="0.2">
      <c r="B183" s="107" t="s">
        <v>162</v>
      </c>
      <c r="C183" s="123"/>
      <c r="D183" s="123"/>
      <c r="E183" s="124"/>
    </row>
    <row r="184" spans="2:5" x14ac:dyDescent="0.2">
      <c r="B184" s="96" t="s">
        <v>163</v>
      </c>
      <c r="C184" s="142">
        <f>SUM(C185:C187)</f>
        <v>0.93</v>
      </c>
      <c r="D184" s="142">
        <f>SUM(D185:D187)</f>
        <v>0.93</v>
      </c>
      <c r="E184" s="143">
        <f>SUM(E185:E187)</f>
        <v>0.93</v>
      </c>
    </row>
    <row r="185" spans="2:5" x14ac:dyDescent="0.2">
      <c r="B185" s="144" t="s">
        <v>164</v>
      </c>
      <c r="C185" s="142">
        <v>0.03</v>
      </c>
      <c r="D185" s="142">
        <v>0.03</v>
      </c>
      <c r="E185" s="143">
        <v>0.03</v>
      </c>
    </row>
    <row r="186" spans="2:5" x14ac:dyDescent="0.2">
      <c r="B186" s="144" t="s">
        <v>165</v>
      </c>
      <c r="C186" s="142">
        <v>0</v>
      </c>
      <c r="D186" s="142">
        <v>0</v>
      </c>
      <c r="E186" s="143">
        <v>0</v>
      </c>
    </row>
    <row r="187" spans="2:5" x14ac:dyDescent="0.2">
      <c r="B187" s="144" t="s">
        <v>166</v>
      </c>
      <c r="C187" s="142">
        <v>0.9</v>
      </c>
      <c r="D187" s="142">
        <v>0.9</v>
      </c>
      <c r="E187" s="143">
        <v>0.9</v>
      </c>
    </row>
    <row r="188" spans="2:5" x14ac:dyDescent="0.2">
      <c r="B188" s="96"/>
      <c r="C188" s="145"/>
      <c r="D188" s="145"/>
      <c r="E188" s="146"/>
    </row>
    <row r="189" spans="2:5" ht="15.75" x14ac:dyDescent="0.2">
      <c r="B189" s="107" t="s">
        <v>167</v>
      </c>
      <c r="C189" s="123"/>
      <c r="D189" s="123"/>
      <c r="E189" s="124"/>
    </row>
    <row r="190" spans="2:5" x14ac:dyDescent="0.2">
      <c r="B190" s="96" t="s">
        <v>163</v>
      </c>
      <c r="C190" s="142">
        <f>SUM(C191:C193)</f>
        <v>10.210000000000001</v>
      </c>
      <c r="D190" s="142">
        <f>SUM(D191:D193)</f>
        <v>10.210000000000001</v>
      </c>
      <c r="E190" s="143">
        <f>SUM(E191:E193)</f>
        <v>10.210000000000001</v>
      </c>
    </row>
    <row r="191" spans="2:5" x14ac:dyDescent="0.2">
      <c r="B191" s="144" t="s">
        <v>164</v>
      </c>
      <c r="C191" s="138">
        <v>9.31</v>
      </c>
      <c r="D191" s="142">
        <v>9.31</v>
      </c>
      <c r="E191" s="143">
        <v>9.31</v>
      </c>
    </row>
    <row r="192" spans="2:5" x14ac:dyDescent="0.2">
      <c r="B192" s="144" t="s">
        <v>165</v>
      </c>
      <c r="C192" s="138">
        <v>0</v>
      </c>
      <c r="D192" s="142">
        <v>0</v>
      </c>
      <c r="E192" s="143">
        <v>0</v>
      </c>
    </row>
    <row r="193" spans="2:5" x14ac:dyDescent="0.2">
      <c r="B193" s="144" t="s">
        <v>166</v>
      </c>
      <c r="C193" s="138">
        <v>0.9</v>
      </c>
      <c r="D193" s="142">
        <v>0.9</v>
      </c>
      <c r="E193" s="143">
        <v>0.9</v>
      </c>
    </row>
    <row r="194" spans="2:5" x14ac:dyDescent="0.2">
      <c r="B194" s="96"/>
      <c r="C194" s="145"/>
      <c r="D194" s="145"/>
      <c r="E194" s="146"/>
    </row>
    <row r="195" spans="2:5" ht="15" customHeight="1" x14ac:dyDescent="0.2">
      <c r="B195" s="147" t="s">
        <v>410</v>
      </c>
      <c r="C195" s="104"/>
      <c r="D195" s="104"/>
      <c r="E195" s="105"/>
    </row>
    <row r="196" spans="2:5" ht="15" customHeight="1" x14ac:dyDescent="0.2">
      <c r="B196" s="141" t="s">
        <v>168</v>
      </c>
      <c r="C196" s="148">
        <v>25.4</v>
      </c>
      <c r="D196" s="148">
        <v>25.4</v>
      </c>
      <c r="E196" s="149">
        <v>-25.4</v>
      </c>
    </row>
    <row r="197" spans="2:5" ht="15" customHeight="1" x14ac:dyDescent="0.2">
      <c r="B197" s="141" t="s">
        <v>169</v>
      </c>
      <c r="C197" s="148">
        <v>12.5</v>
      </c>
      <c r="D197" s="148">
        <v>12.5</v>
      </c>
      <c r="E197" s="149">
        <v>-12.5</v>
      </c>
    </row>
    <row r="198" spans="2:5" ht="15" customHeight="1" x14ac:dyDescent="0.2">
      <c r="B198" s="141"/>
      <c r="C198" s="148"/>
      <c r="D198" s="148"/>
      <c r="E198" s="149"/>
    </row>
    <row r="199" spans="2:5" ht="15" customHeight="1" x14ac:dyDescent="0.2">
      <c r="B199" s="147" t="s">
        <v>411</v>
      </c>
      <c r="C199" s="148"/>
      <c r="D199" s="148"/>
      <c r="E199" s="149"/>
    </row>
    <row r="200" spans="2:5" ht="15" customHeight="1" x14ac:dyDescent="0.2">
      <c r="B200" s="141" t="s">
        <v>168</v>
      </c>
      <c r="C200" s="148" t="s">
        <v>201</v>
      </c>
      <c r="D200" s="148" t="s">
        <v>201</v>
      </c>
      <c r="E200" s="149" t="s">
        <v>201</v>
      </c>
    </row>
    <row r="201" spans="2:5" ht="15" customHeight="1" x14ac:dyDescent="0.2">
      <c r="B201" s="141" t="s">
        <v>169</v>
      </c>
      <c r="C201" s="148" t="s">
        <v>201</v>
      </c>
      <c r="D201" s="148" t="s">
        <v>201</v>
      </c>
      <c r="E201" s="149" t="s">
        <v>201</v>
      </c>
    </row>
    <row r="202" spans="2:5" ht="15.75" thickBot="1" x14ac:dyDescent="0.25">
      <c r="B202" s="150"/>
      <c r="C202" s="111"/>
      <c r="D202" s="111"/>
      <c r="E202" s="112"/>
    </row>
    <row r="203" spans="2:5" ht="17.25" thickTop="1" thickBot="1" x14ac:dyDescent="0.25">
      <c r="B203" s="95" t="s">
        <v>170</v>
      </c>
      <c r="C203" s="153"/>
      <c r="D203" s="153"/>
      <c r="E203" s="154"/>
    </row>
    <row r="204" spans="2:5" ht="15.75" thickTop="1" x14ac:dyDescent="0.2">
      <c r="B204" s="141"/>
      <c r="C204" s="97"/>
      <c r="D204" s="97"/>
      <c r="E204" s="98"/>
    </row>
    <row r="205" spans="2:5" x14ac:dyDescent="0.2">
      <c r="B205" s="141" t="s">
        <v>171</v>
      </c>
      <c r="C205" s="155"/>
      <c r="D205" s="155"/>
      <c r="E205" s="156"/>
    </row>
    <row r="206" spans="2:5" ht="15.75" x14ac:dyDescent="0.2">
      <c r="B206" s="157" t="s">
        <v>172</v>
      </c>
      <c r="C206" s="158">
        <v>188.6</v>
      </c>
      <c r="D206" s="158">
        <v>188.6</v>
      </c>
      <c r="E206" s="159">
        <v>188.6</v>
      </c>
    </row>
    <row r="207" spans="2:5" ht="15.75" x14ac:dyDescent="0.2">
      <c r="B207" s="125" t="s">
        <v>173</v>
      </c>
      <c r="C207" s="160">
        <v>6.4</v>
      </c>
      <c r="D207" s="160">
        <v>6.4</v>
      </c>
      <c r="E207" s="161">
        <v>6.4</v>
      </c>
    </row>
    <row r="208" spans="2:5" x14ac:dyDescent="0.2">
      <c r="B208" s="157" t="s">
        <v>174</v>
      </c>
      <c r="C208" s="158">
        <v>68.900000000000006</v>
      </c>
      <c r="D208" s="158">
        <v>68.900000000000006</v>
      </c>
      <c r="E208" s="159">
        <v>68.900000000000006</v>
      </c>
    </row>
    <row r="209" spans="2:5" ht="15.75" x14ac:dyDescent="0.2">
      <c r="B209" s="157" t="s">
        <v>175</v>
      </c>
      <c r="C209" s="158">
        <v>381600</v>
      </c>
      <c r="D209" s="158">
        <v>384000</v>
      </c>
      <c r="E209" s="159">
        <v>385200</v>
      </c>
    </row>
    <row r="210" spans="2:5" x14ac:dyDescent="0.2">
      <c r="B210" s="157"/>
      <c r="C210" s="162"/>
      <c r="D210" s="162"/>
      <c r="E210" s="163"/>
    </row>
    <row r="211" spans="2:5" x14ac:dyDescent="0.2">
      <c r="B211" s="141" t="s">
        <v>176</v>
      </c>
      <c r="C211" s="162"/>
      <c r="D211" s="162"/>
      <c r="E211" s="163"/>
    </row>
    <row r="212" spans="2:5" ht="15.75" x14ac:dyDescent="0.2">
      <c r="B212" s="157" t="s">
        <v>172</v>
      </c>
      <c r="C212" s="158">
        <v>26.4</v>
      </c>
      <c r="D212" s="158">
        <v>26.4</v>
      </c>
      <c r="E212" s="159">
        <v>26.4</v>
      </c>
    </row>
    <row r="213" spans="2:5" ht="15.75" x14ac:dyDescent="0.2">
      <c r="B213" s="157" t="s">
        <v>173</v>
      </c>
      <c r="C213" s="160">
        <v>6.4</v>
      </c>
      <c r="D213" s="160">
        <v>6.4</v>
      </c>
      <c r="E213" s="161">
        <v>6.4</v>
      </c>
    </row>
    <row r="214" spans="2:5" x14ac:dyDescent="0.2">
      <c r="B214" s="157" t="s">
        <v>174</v>
      </c>
      <c r="C214" s="158">
        <v>16.100000000000001</v>
      </c>
      <c r="D214" s="158">
        <v>16.100000000000001</v>
      </c>
      <c r="E214" s="159">
        <v>16.100000000000001</v>
      </c>
    </row>
    <row r="215" spans="2:5" ht="15.75" x14ac:dyDescent="0.2">
      <c r="B215" s="157" t="s">
        <v>175</v>
      </c>
      <c r="C215" s="158">
        <v>381600</v>
      </c>
      <c r="D215" s="158">
        <v>384000</v>
      </c>
      <c r="E215" s="159">
        <v>385200</v>
      </c>
    </row>
    <row r="216" spans="2:5" ht="15.75" thickBot="1" x14ac:dyDescent="0.25">
      <c r="B216" s="141"/>
      <c r="C216" s="164"/>
      <c r="D216" s="164"/>
      <c r="E216" s="165"/>
    </row>
    <row r="217" spans="2:5" ht="17.25" thickTop="1" thickBot="1" x14ac:dyDescent="0.25">
      <c r="B217" s="95" t="s">
        <v>177</v>
      </c>
      <c r="C217" s="166"/>
      <c r="D217" s="166"/>
      <c r="E217" s="167"/>
    </row>
    <row r="218" spans="2:5" ht="15.75" thickTop="1" x14ac:dyDescent="0.2">
      <c r="B218" s="141"/>
      <c r="C218" s="168"/>
      <c r="D218" s="168"/>
      <c r="E218" s="169"/>
    </row>
    <row r="219" spans="2:5" ht="15.75" x14ac:dyDescent="0.2">
      <c r="B219" s="141" t="s">
        <v>171</v>
      </c>
      <c r="C219" s="170"/>
      <c r="D219" s="171"/>
      <c r="E219" s="172"/>
    </row>
    <row r="220" spans="2:5" ht="15.75" x14ac:dyDescent="0.2">
      <c r="B220" s="157" t="s">
        <v>172</v>
      </c>
      <c r="C220" s="158">
        <v>640</v>
      </c>
      <c r="D220" s="158">
        <v>640</v>
      </c>
      <c r="E220" s="159">
        <v>640</v>
      </c>
    </row>
    <row r="221" spans="2:5" ht="15.75" x14ac:dyDescent="0.2">
      <c r="B221" s="125" t="s">
        <v>173</v>
      </c>
      <c r="C221" s="160">
        <v>4.8</v>
      </c>
      <c r="D221" s="160">
        <v>4.9000000000000004</v>
      </c>
      <c r="E221" s="161">
        <v>4.9000000000000004</v>
      </c>
    </row>
    <row r="222" spans="2:5" ht="18.600000000000001" customHeight="1" x14ac:dyDescent="0.2">
      <c r="B222" s="157" t="s">
        <v>174</v>
      </c>
      <c r="C222" s="158">
        <v>109.4</v>
      </c>
      <c r="D222" s="158">
        <v>109.4</v>
      </c>
      <c r="E222" s="159">
        <v>109.4</v>
      </c>
    </row>
    <row r="223" spans="2:5" ht="15.75" x14ac:dyDescent="0.2">
      <c r="B223" s="157" t="s">
        <v>175</v>
      </c>
      <c r="C223" s="158">
        <v>508800</v>
      </c>
      <c r="D223" s="158">
        <v>512000</v>
      </c>
      <c r="E223" s="159">
        <v>513600</v>
      </c>
    </row>
    <row r="224" spans="2:5" x14ac:dyDescent="0.2">
      <c r="B224" s="157"/>
      <c r="C224" s="158"/>
      <c r="D224" s="158"/>
      <c r="E224" s="159"/>
    </row>
    <row r="225" spans="2:5" x14ac:dyDescent="0.2">
      <c r="B225" s="141" t="s">
        <v>176</v>
      </c>
      <c r="C225" s="162"/>
      <c r="D225" s="162"/>
      <c r="E225" s="163"/>
    </row>
    <row r="226" spans="2:5" ht="15.75" x14ac:dyDescent="0.2">
      <c r="B226" s="157" t="s">
        <v>172</v>
      </c>
      <c r="C226" s="158">
        <v>96</v>
      </c>
      <c r="D226" s="158">
        <v>96</v>
      </c>
      <c r="E226" s="159">
        <v>96</v>
      </c>
    </row>
    <row r="227" spans="2:5" ht="15.75" x14ac:dyDescent="0.2">
      <c r="B227" s="157" t="s">
        <v>173</v>
      </c>
      <c r="C227" s="160">
        <v>4.8</v>
      </c>
      <c r="D227" s="160">
        <v>4.9000000000000004</v>
      </c>
      <c r="E227" s="161">
        <v>4.9000000000000004</v>
      </c>
    </row>
    <row r="228" spans="2:5" x14ac:dyDescent="0.2">
      <c r="B228" s="157" t="s">
        <v>174</v>
      </c>
      <c r="C228" s="158">
        <v>18.600000000000001</v>
      </c>
      <c r="D228" s="158">
        <v>18.600000000000001</v>
      </c>
      <c r="E228" s="159">
        <v>18.600000000000001</v>
      </c>
    </row>
    <row r="229" spans="2:5" ht="15.75" x14ac:dyDescent="0.2">
      <c r="B229" s="157" t="s">
        <v>175</v>
      </c>
      <c r="C229" s="158">
        <v>508800</v>
      </c>
      <c r="D229" s="158">
        <v>512000</v>
      </c>
      <c r="E229" s="159">
        <v>513600</v>
      </c>
    </row>
    <row r="230" spans="2:5" ht="15.75" thickBot="1" x14ac:dyDescent="0.25">
      <c r="B230" s="173"/>
      <c r="C230" s="174"/>
      <c r="D230" s="174"/>
      <c r="E230" s="175"/>
    </row>
    <row r="231" spans="2:5" ht="16.5" thickTop="1" x14ac:dyDescent="0.2">
      <c r="B231" s="176" t="s">
        <v>178</v>
      </c>
      <c r="C231" s="177"/>
      <c r="D231" s="177"/>
      <c r="E231" s="178"/>
    </row>
    <row r="232" spans="2:5" s="179" customFormat="1" x14ac:dyDescent="0.2">
      <c r="B232" s="78" t="s">
        <v>412</v>
      </c>
      <c r="C232" s="180"/>
      <c r="D232" s="180"/>
      <c r="E232" s="181"/>
    </row>
    <row r="233" spans="2:5" s="179" customFormat="1" x14ac:dyDescent="0.2">
      <c r="B233" s="78" t="s">
        <v>179</v>
      </c>
      <c r="C233" s="180"/>
      <c r="D233" s="180"/>
      <c r="E233" s="181"/>
    </row>
    <row r="234" spans="2:5" s="179" customFormat="1" ht="15" customHeight="1" x14ac:dyDescent="0.2">
      <c r="B234" s="182" t="s">
        <v>180</v>
      </c>
      <c r="C234" s="183"/>
      <c r="D234" s="183"/>
      <c r="E234" s="184"/>
    </row>
    <row r="235" spans="2:5" s="179" customFormat="1" ht="15" customHeight="1" x14ac:dyDescent="0.2">
      <c r="B235" s="182" t="s">
        <v>181</v>
      </c>
      <c r="C235" s="183"/>
      <c r="D235" s="183"/>
      <c r="E235" s="184"/>
    </row>
    <row r="236" spans="2:5" s="179" customFormat="1" ht="15" hidden="1" customHeight="1" x14ac:dyDescent="0.2">
      <c r="B236" s="185"/>
      <c r="C236" s="183"/>
      <c r="D236" s="183"/>
      <c r="E236" s="184"/>
    </row>
    <row r="237" spans="2:5" s="179" customFormat="1" x14ac:dyDescent="0.2">
      <c r="B237" s="78" t="s">
        <v>182</v>
      </c>
      <c r="C237" s="180"/>
      <c r="D237" s="180"/>
      <c r="E237" s="181"/>
    </row>
    <row r="238" spans="2:5" s="179" customFormat="1" x14ac:dyDescent="0.2">
      <c r="B238" s="78" t="s">
        <v>183</v>
      </c>
      <c r="C238" s="180"/>
      <c r="D238" s="180"/>
      <c r="E238" s="181"/>
    </row>
    <row r="239" spans="2:5" s="179" customFormat="1" x14ac:dyDescent="0.2">
      <c r="B239" s="78" t="s">
        <v>184</v>
      </c>
      <c r="C239" s="180"/>
      <c r="D239" s="180"/>
      <c r="E239" s="181"/>
    </row>
    <row r="240" spans="2:5" s="179" customFormat="1" ht="15" customHeight="1" x14ac:dyDescent="0.2">
      <c r="B240" s="182" t="s">
        <v>185</v>
      </c>
      <c r="C240" s="183"/>
      <c r="D240" s="183"/>
      <c r="E240" s="184"/>
    </row>
    <row r="241" spans="2:5" s="179" customFormat="1" x14ac:dyDescent="0.2">
      <c r="B241" s="78" t="s">
        <v>186</v>
      </c>
      <c r="C241" s="183"/>
      <c r="D241" s="183"/>
      <c r="E241" s="184"/>
    </row>
    <row r="242" spans="2:5" s="179" customFormat="1" x14ac:dyDescent="0.2">
      <c r="B242" s="78" t="s">
        <v>187</v>
      </c>
      <c r="C242" s="180"/>
      <c r="D242" s="180"/>
      <c r="E242" s="181"/>
    </row>
    <row r="243" spans="2:5" s="179" customFormat="1" x14ac:dyDescent="0.2">
      <c r="B243" s="78" t="s">
        <v>413</v>
      </c>
      <c r="C243" s="180"/>
      <c r="D243" s="180"/>
      <c r="E243" s="181"/>
    </row>
    <row r="244" spans="2:5" s="179" customFormat="1" x14ac:dyDescent="0.2">
      <c r="B244" s="78" t="s">
        <v>188</v>
      </c>
      <c r="C244" s="180"/>
      <c r="D244" s="180"/>
      <c r="E244" s="181"/>
    </row>
    <row r="245" spans="2:5" s="179" customFormat="1" x14ac:dyDescent="0.2">
      <c r="B245" s="78" t="s">
        <v>189</v>
      </c>
      <c r="C245" s="180"/>
      <c r="D245" s="180"/>
      <c r="E245" s="181"/>
    </row>
    <row r="246" spans="2:5" ht="15.75" thickBot="1" x14ac:dyDescent="0.25">
      <c r="B246" s="110"/>
      <c r="C246" s="186"/>
      <c r="D246" s="186"/>
      <c r="E246" s="187"/>
    </row>
    <row r="247" spans="2:5" ht="15.75" thickTop="1" x14ac:dyDescent="0.2"/>
  </sheetData>
  <mergeCells count="4">
    <mergeCell ref="B2:E2"/>
    <mergeCell ref="B3:E3"/>
    <mergeCell ref="B4:E4"/>
    <mergeCell ref="B5:E5"/>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I268"/>
  <sheetViews>
    <sheetView zoomScale="70" zoomScaleNormal="70" workbookViewId="0"/>
  </sheetViews>
  <sheetFormatPr defaultColWidth="10.6640625" defaultRowHeight="15" x14ac:dyDescent="0.2"/>
  <cols>
    <col min="1" max="1" width="9" style="179" customWidth="1"/>
    <col min="2" max="2" width="64.33203125" style="179" customWidth="1"/>
    <col min="3" max="3" width="33.6640625" style="269" customWidth="1"/>
    <col min="4" max="6" width="34.1640625" style="269" customWidth="1"/>
    <col min="7" max="8" width="36.5" style="269" customWidth="1"/>
    <col min="9" max="16384" width="10.6640625" style="179"/>
  </cols>
  <sheetData>
    <row r="1" spans="2:8" ht="16.5" thickBot="1" x14ac:dyDescent="0.25">
      <c r="B1" s="202"/>
      <c r="C1" s="203"/>
      <c r="D1" s="203"/>
      <c r="E1" s="203"/>
      <c r="F1" s="203"/>
      <c r="G1" s="203"/>
      <c r="H1" s="203"/>
    </row>
    <row r="2" spans="2:8" ht="16.5" thickTop="1" x14ac:dyDescent="0.2">
      <c r="B2" s="325" t="s">
        <v>74</v>
      </c>
      <c r="C2" s="326"/>
      <c r="D2" s="326"/>
      <c r="E2" s="326"/>
      <c r="F2" s="326"/>
      <c r="G2" s="326"/>
      <c r="H2" s="327"/>
    </row>
    <row r="3" spans="2:8" ht="15.75" x14ac:dyDescent="0.2">
      <c r="B3" s="319" t="s">
        <v>203</v>
      </c>
      <c r="C3" s="320"/>
      <c r="D3" s="320"/>
      <c r="E3" s="320"/>
      <c r="F3" s="320"/>
      <c r="G3" s="320"/>
      <c r="H3" s="321"/>
    </row>
    <row r="4" spans="2:8" ht="15.75" x14ac:dyDescent="0.2">
      <c r="B4" s="322" t="s">
        <v>76</v>
      </c>
      <c r="C4" s="323"/>
      <c r="D4" s="323"/>
      <c r="E4" s="323"/>
      <c r="F4" s="323"/>
      <c r="G4" s="323"/>
      <c r="H4" s="324"/>
    </row>
    <row r="5" spans="2:8" ht="16.5" thickBot="1" x14ac:dyDescent="0.25">
      <c r="B5" s="316" t="s">
        <v>439</v>
      </c>
      <c r="C5" s="317"/>
      <c r="D5" s="317"/>
      <c r="E5" s="317"/>
      <c r="F5" s="317"/>
      <c r="G5" s="317"/>
      <c r="H5" s="318"/>
    </row>
    <row r="6" spans="2:8" ht="46.9" customHeight="1" thickTop="1" thickBot="1" x14ac:dyDescent="0.25">
      <c r="B6" s="204" t="s">
        <v>204</v>
      </c>
      <c r="C6" s="205" t="s">
        <v>63</v>
      </c>
      <c r="D6" s="66" t="s">
        <v>62</v>
      </c>
      <c r="E6" s="66" t="s">
        <v>60</v>
      </c>
      <c r="F6" s="66" t="s">
        <v>61</v>
      </c>
      <c r="G6" s="205" t="s">
        <v>59</v>
      </c>
      <c r="H6" s="206" t="s">
        <v>58</v>
      </c>
    </row>
    <row r="7" spans="2:8" ht="15.6" customHeight="1" thickTop="1" thickBot="1" x14ac:dyDescent="0.25">
      <c r="B7" s="204" t="s">
        <v>78</v>
      </c>
      <c r="C7" s="207" t="s">
        <v>205</v>
      </c>
      <c r="D7" s="207" t="s">
        <v>205</v>
      </c>
      <c r="E7" s="207" t="s">
        <v>205</v>
      </c>
      <c r="F7" s="207" t="s">
        <v>205</v>
      </c>
      <c r="G7" s="207" t="s">
        <v>205</v>
      </c>
      <c r="H7" s="208" t="s">
        <v>205</v>
      </c>
    </row>
    <row r="8" spans="2:8" ht="15.75" thickTop="1" x14ac:dyDescent="0.2">
      <c r="B8" s="75" t="s">
        <v>79</v>
      </c>
      <c r="C8" s="209">
        <v>1</v>
      </c>
      <c r="D8" s="209">
        <v>1</v>
      </c>
      <c r="E8" s="209">
        <v>1</v>
      </c>
      <c r="F8" s="209">
        <v>1</v>
      </c>
      <c r="G8" s="209">
        <v>1</v>
      </c>
      <c r="H8" s="210">
        <v>1</v>
      </c>
    </row>
    <row r="9" spans="2:8" x14ac:dyDescent="0.2">
      <c r="B9" s="75" t="s">
        <v>206</v>
      </c>
      <c r="C9" s="211">
        <v>1</v>
      </c>
      <c r="D9" s="211">
        <v>1</v>
      </c>
      <c r="E9" s="211">
        <v>1</v>
      </c>
      <c r="F9" s="211">
        <v>1</v>
      </c>
      <c r="G9" s="211">
        <v>1</v>
      </c>
      <c r="H9" s="212">
        <v>1</v>
      </c>
    </row>
    <row r="10" spans="2:8" x14ac:dyDescent="0.2">
      <c r="B10" s="75" t="s">
        <v>80</v>
      </c>
      <c r="C10" s="211" t="s">
        <v>81</v>
      </c>
      <c r="D10" s="211" t="s">
        <v>81</v>
      </c>
      <c r="E10" s="211" t="s">
        <v>81</v>
      </c>
      <c r="F10" s="211" t="s">
        <v>81</v>
      </c>
      <c r="G10" s="211" t="s">
        <v>81</v>
      </c>
      <c r="H10" s="212" t="s">
        <v>81</v>
      </c>
    </row>
    <row r="11" spans="2:8" x14ac:dyDescent="0.2">
      <c r="B11" s="85" t="s">
        <v>207</v>
      </c>
      <c r="C11" s="211" t="s">
        <v>208</v>
      </c>
      <c r="D11" s="211" t="s">
        <v>208</v>
      </c>
      <c r="E11" s="211" t="s">
        <v>208</v>
      </c>
      <c r="F11" s="211" t="s">
        <v>208</v>
      </c>
      <c r="G11" s="211" t="s">
        <v>208</v>
      </c>
      <c r="H11" s="212" t="s">
        <v>208</v>
      </c>
    </row>
    <row r="12" spans="2:8" x14ac:dyDescent="0.2">
      <c r="B12" s="85" t="s">
        <v>209</v>
      </c>
      <c r="C12" s="213">
        <v>2330</v>
      </c>
      <c r="D12" s="213">
        <v>2330</v>
      </c>
      <c r="E12" s="213">
        <v>2330</v>
      </c>
      <c r="F12" s="213">
        <v>2330</v>
      </c>
      <c r="G12" s="213">
        <v>2330</v>
      </c>
      <c r="H12" s="214">
        <v>2330</v>
      </c>
    </row>
    <row r="13" spans="2:8" x14ac:dyDescent="0.2">
      <c r="B13" s="85" t="s">
        <v>210</v>
      </c>
      <c r="C13" s="215" t="s">
        <v>211</v>
      </c>
      <c r="D13" s="215" t="s">
        <v>211</v>
      </c>
      <c r="E13" s="215" t="s">
        <v>211</v>
      </c>
      <c r="F13" s="215" t="s">
        <v>211</v>
      </c>
      <c r="G13" s="215" t="s">
        <v>211</v>
      </c>
      <c r="H13" s="216" t="s">
        <v>211</v>
      </c>
    </row>
    <row r="14" spans="2:8" hidden="1" x14ac:dyDescent="0.2">
      <c r="B14" s="85"/>
      <c r="C14" s="217"/>
      <c r="D14" s="217"/>
      <c r="E14" s="217"/>
      <c r="F14" s="217"/>
      <c r="G14" s="217"/>
      <c r="H14" s="218"/>
    </row>
    <row r="15" spans="2:8" x14ac:dyDescent="0.2">
      <c r="B15" s="78" t="s">
        <v>212</v>
      </c>
      <c r="C15" s="219">
        <v>180</v>
      </c>
      <c r="D15" s="219">
        <v>180</v>
      </c>
      <c r="E15" s="219">
        <v>180</v>
      </c>
      <c r="F15" s="219">
        <v>180</v>
      </c>
      <c r="G15" s="219">
        <v>180</v>
      </c>
      <c r="H15" s="220">
        <v>180</v>
      </c>
    </row>
    <row r="16" spans="2:8" x14ac:dyDescent="0.2">
      <c r="B16" s="78" t="s">
        <v>213</v>
      </c>
      <c r="C16" s="219">
        <v>120</v>
      </c>
      <c r="D16" s="219">
        <v>120</v>
      </c>
      <c r="E16" s="219">
        <v>120</v>
      </c>
      <c r="F16" s="219">
        <v>120</v>
      </c>
      <c r="G16" s="219">
        <v>120</v>
      </c>
      <c r="H16" s="220">
        <v>120</v>
      </c>
    </row>
    <row r="17" spans="2:8" x14ac:dyDescent="0.2">
      <c r="B17" s="78" t="s">
        <v>214</v>
      </c>
      <c r="C17" s="219">
        <v>80</v>
      </c>
      <c r="D17" s="219">
        <v>80</v>
      </c>
      <c r="E17" s="219">
        <v>80</v>
      </c>
      <c r="F17" s="219">
        <v>80</v>
      </c>
      <c r="G17" s="219">
        <v>80</v>
      </c>
      <c r="H17" s="220">
        <v>80</v>
      </c>
    </row>
    <row r="18" spans="2:8" x14ac:dyDescent="0.2">
      <c r="B18" s="78" t="s">
        <v>215</v>
      </c>
      <c r="C18" s="219">
        <v>60</v>
      </c>
      <c r="D18" s="219">
        <v>60</v>
      </c>
      <c r="E18" s="219">
        <v>60</v>
      </c>
      <c r="F18" s="219">
        <v>60</v>
      </c>
      <c r="G18" s="219">
        <v>60</v>
      </c>
      <c r="H18" s="220">
        <v>60</v>
      </c>
    </row>
    <row r="19" spans="2:8" hidden="1" x14ac:dyDescent="0.2">
      <c r="B19" s="78"/>
      <c r="C19" s="221"/>
      <c r="D19" s="221"/>
      <c r="E19" s="221"/>
      <c r="F19" s="221"/>
      <c r="G19" s="221"/>
      <c r="H19" s="222"/>
    </row>
    <row r="20" spans="2:8" hidden="1" x14ac:dyDescent="0.2">
      <c r="B20" s="78"/>
      <c r="C20" s="219"/>
      <c r="D20" s="219"/>
      <c r="E20" s="219"/>
      <c r="F20" s="219"/>
      <c r="G20" s="219"/>
      <c r="H20" s="220"/>
    </row>
    <row r="21" spans="2:8" hidden="1" x14ac:dyDescent="0.2">
      <c r="B21" s="78"/>
      <c r="C21" s="223"/>
      <c r="D21" s="223"/>
      <c r="E21" s="223"/>
      <c r="F21" s="223"/>
      <c r="G21" s="223"/>
      <c r="H21" s="224"/>
    </row>
    <row r="22" spans="2:8" x14ac:dyDescent="0.2">
      <c r="B22" s="85" t="s">
        <v>87</v>
      </c>
      <c r="C22" s="83">
        <v>2.92E-2</v>
      </c>
      <c r="D22" s="83">
        <v>2.92E-2</v>
      </c>
      <c r="E22" s="83">
        <v>2.92E-2</v>
      </c>
      <c r="F22" s="83">
        <v>2.92E-2</v>
      </c>
      <c r="G22" s="83">
        <v>2.92E-2</v>
      </c>
      <c r="H22" s="84">
        <v>2.92E-2</v>
      </c>
    </row>
    <row r="23" spans="2:8" hidden="1" x14ac:dyDescent="0.2">
      <c r="B23" s="85"/>
      <c r="C23" s="223"/>
      <c r="D23" s="223"/>
      <c r="E23" s="223"/>
      <c r="F23" s="223"/>
      <c r="G23" s="223"/>
      <c r="H23" s="224"/>
    </row>
    <row r="24" spans="2:8" x14ac:dyDescent="0.2">
      <c r="B24" s="85" t="s">
        <v>88</v>
      </c>
      <c r="C24" s="86">
        <v>30</v>
      </c>
      <c r="D24" s="86">
        <v>30</v>
      </c>
      <c r="E24" s="86">
        <v>30</v>
      </c>
      <c r="F24" s="86">
        <v>30</v>
      </c>
      <c r="G24" s="86">
        <v>27</v>
      </c>
      <c r="H24" s="87">
        <v>30</v>
      </c>
    </row>
    <row r="25" spans="2:8" ht="30" x14ac:dyDescent="0.2">
      <c r="B25" s="78" t="s">
        <v>89</v>
      </c>
      <c r="C25" s="88" t="s">
        <v>408</v>
      </c>
      <c r="D25" s="88" t="s">
        <v>408</v>
      </c>
      <c r="E25" s="88" t="s">
        <v>90</v>
      </c>
      <c r="F25" s="88" t="s">
        <v>90</v>
      </c>
      <c r="G25" s="88" t="s">
        <v>90</v>
      </c>
      <c r="H25" s="89" t="s">
        <v>90</v>
      </c>
    </row>
    <row r="26" spans="2:8" s="61" customFormat="1" ht="15" customHeight="1" x14ac:dyDescent="0.2">
      <c r="B26" s="78" t="s">
        <v>91</v>
      </c>
      <c r="C26" s="88" t="s">
        <v>92</v>
      </c>
      <c r="D26" s="88" t="s">
        <v>92</v>
      </c>
      <c r="E26" s="88" t="s">
        <v>92</v>
      </c>
      <c r="F26" s="88" t="s">
        <v>92</v>
      </c>
      <c r="G26" s="88" t="s">
        <v>92</v>
      </c>
      <c r="H26" s="89" t="s">
        <v>92</v>
      </c>
    </row>
    <row r="27" spans="2:8" ht="15" customHeight="1" x14ac:dyDescent="0.2">
      <c r="B27" s="75" t="s">
        <v>93</v>
      </c>
      <c r="C27" s="225" t="s">
        <v>216</v>
      </c>
      <c r="D27" s="225" t="s">
        <v>216</v>
      </c>
      <c r="E27" s="225" t="s">
        <v>216</v>
      </c>
      <c r="F27" s="225" t="s">
        <v>216</v>
      </c>
      <c r="G27" s="225" t="s">
        <v>216</v>
      </c>
      <c r="H27" s="226" t="s">
        <v>216</v>
      </c>
    </row>
    <row r="28" spans="2:8" ht="19.5" x14ac:dyDescent="0.2">
      <c r="B28" s="75" t="s">
        <v>217</v>
      </c>
      <c r="C28" s="227" t="s">
        <v>218</v>
      </c>
      <c r="D28" s="227" t="s">
        <v>218</v>
      </c>
      <c r="E28" s="227" t="s">
        <v>218</v>
      </c>
      <c r="F28" s="227" t="s">
        <v>218</v>
      </c>
      <c r="G28" s="227" t="s">
        <v>218</v>
      </c>
      <c r="H28" s="228" t="s">
        <v>218</v>
      </c>
    </row>
    <row r="29" spans="2:8" ht="15" customHeight="1" x14ac:dyDescent="0.2">
      <c r="B29" s="75" t="s">
        <v>97</v>
      </c>
      <c r="C29" s="225" t="s">
        <v>219</v>
      </c>
      <c r="D29" s="225" t="s">
        <v>219</v>
      </c>
      <c r="E29" s="225" t="s">
        <v>219</v>
      </c>
      <c r="F29" s="225" t="s">
        <v>219</v>
      </c>
      <c r="G29" s="225" t="s">
        <v>219</v>
      </c>
      <c r="H29" s="226" t="s">
        <v>219</v>
      </c>
    </row>
    <row r="30" spans="2:8" ht="15" customHeight="1" x14ac:dyDescent="0.2">
      <c r="B30" s="75" t="s">
        <v>99</v>
      </c>
      <c r="C30" s="225" t="s">
        <v>100</v>
      </c>
      <c r="D30" s="225" t="s">
        <v>100</v>
      </c>
      <c r="E30" s="225" t="s">
        <v>100</v>
      </c>
      <c r="F30" s="225" t="s">
        <v>100</v>
      </c>
      <c r="G30" s="225" t="s">
        <v>100</v>
      </c>
      <c r="H30" s="226" t="s">
        <v>100</v>
      </c>
    </row>
    <row r="31" spans="2:8" s="61" customFormat="1" x14ac:dyDescent="0.2">
      <c r="B31" s="75" t="s">
        <v>101</v>
      </c>
      <c r="C31" s="92">
        <v>345</v>
      </c>
      <c r="D31" s="92">
        <v>345</v>
      </c>
      <c r="E31" s="92">
        <v>345</v>
      </c>
      <c r="F31" s="92">
        <v>345</v>
      </c>
      <c r="G31" s="92">
        <v>345</v>
      </c>
      <c r="H31" s="93">
        <v>345</v>
      </c>
    </row>
    <row r="32" spans="2:8" ht="15" customHeight="1" x14ac:dyDescent="0.2">
      <c r="B32" s="75" t="s">
        <v>102</v>
      </c>
      <c r="C32" s="225" t="s">
        <v>103</v>
      </c>
      <c r="D32" s="225" t="s">
        <v>103</v>
      </c>
      <c r="E32" s="225" t="s">
        <v>103</v>
      </c>
      <c r="F32" s="225" t="s">
        <v>103</v>
      </c>
      <c r="G32" s="225" t="s">
        <v>103</v>
      </c>
      <c r="H32" s="226" t="s">
        <v>103</v>
      </c>
    </row>
    <row r="33" spans="2:8" ht="14.45" customHeight="1" x14ac:dyDescent="0.2">
      <c r="B33" s="75" t="s">
        <v>104</v>
      </c>
      <c r="C33" s="229">
        <v>4</v>
      </c>
      <c r="D33" s="229">
        <v>4</v>
      </c>
      <c r="E33" s="229">
        <v>4</v>
      </c>
      <c r="F33" s="229">
        <v>4</v>
      </c>
      <c r="G33" s="229">
        <v>4</v>
      </c>
      <c r="H33" s="230">
        <v>4</v>
      </c>
    </row>
    <row r="34" spans="2:8" ht="14.45" customHeight="1" thickBot="1" x14ac:dyDescent="0.25">
      <c r="B34" s="75"/>
      <c r="C34" s="225"/>
      <c r="D34" s="225"/>
      <c r="E34" s="225"/>
      <c r="F34" s="225"/>
      <c r="G34" s="225"/>
      <c r="H34" s="226"/>
    </row>
    <row r="35" spans="2:8" ht="17.25" thickTop="1" thickBot="1" x14ac:dyDescent="0.25">
      <c r="B35" s="231" t="s">
        <v>220</v>
      </c>
      <c r="C35" s="232"/>
      <c r="D35" s="232"/>
      <c r="E35" s="232"/>
      <c r="F35" s="232"/>
      <c r="G35" s="232"/>
      <c r="H35" s="233"/>
    </row>
    <row r="36" spans="2:8" ht="15.75" thickTop="1" x14ac:dyDescent="0.2">
      <c r="B36" s="78"/>
      <c r="C36" s="234"/>
      <c r="D36" s="234"/>
      <c r="E36" s="234"/>
      <c r="F36" s="234"/>
      <c r="G36" s="234"/>
      <c r="H36" s="235"/>
    </row>
    <row r="37" spans="2:8" x14ac:dyDescent="0.2">
      <c r="B37" s="78" t="s">
        <v>221</v>
      </c>
      <c r="C37" s="108"/>
      <c r="D37" s="108"/>
      <c r="E37" s="108"/>
      <c r="F37" s="108"/>
      <c r="G37" s="108"/>
      <c r="H37" s="109"/>
    </row>
    <row r="38" spans="2:8" x14ac:dyDescent="0.2">
      <c r="B38" s="78" t="s">
        <v>65</v>
      </c>
      <c r="C38" s="108">
        <v>495100</v>
      </c>
      <c r="D38" s="108">
        <v>498500</v>
      </c>
      <c r="E38" s="108">
        <v>500600</v>
      </c>
      <c r="F38" s="108">
        <v>500600</v>
      </c>
      <c r="G38" s="108">
        <v>502200</v>
      </c>
      <c r="H38" s="109">
        <v>502500</v>
      </c>
    </row>
    <row r="39" spans="2:8" x14ac:dyDescent="0.2">
      <c r="B39" s="78" t="s">
        <v>69</v>
      </c>
      <c r="C39" s="108">
        <v>6410</v>
      </c>
      <c r="D39" s="108">
        <v>6400</v>
      </c>
      <c r="E39" s="108">
        <v>6400</v>
      </c>
      <c r="F39" s="108">
        <v>6400</v>
      </c>
      <c r="G39" s="108">
        <v>6410</v>
      </c>
      <c r="H39" s="109">
        <v>6410</v>
      </c>
    </row>
    <row r="40" spans="2:8" x14ac:dyDescent="0.2">
      <c r="B40" s="78" t="s">
        <v>109</v>
      </c>
      <c r="C40" s="108">
        <v>3170</v>
      </c>
      <c r="D40" s="108">
        <v>3190</v>
      </c>
      <c r="E40" s="108">
        <v>3200</v>
      </c>
      <c r="F40" s="108">
        <v>3200</v>
      </c>
      <c r="G40" s="108">
        <v>3220</v>
      </c>
      <c r="H40" s="109">
        <v>3220</v>
      </c>
    </row>
    <row r="41" spans="2:8" x14ac:dyDescent="0.2">
      <c r="B41" s="78"/>
      <c r="C41" s="108"/>
      <c r="D41" s="108"/>
      <c r="E41" s="108"/>
      <c r="F41" s="108"/>
      <c r="G41" s="108"/>
      <c r="H41" s="109"/>
    </row>
    <row r="42" spans="2:8" x14ac:dyDescent="0.2">
      <c r="B42" s="78" t="s">
        <v>222</v>
      </c>
      <c r="C42" s="108"/>
      <c r="D42" s="108"/>
      <c r="E42" s="108"/>
      <c r="F42" s="108"/>
      <c r="G42" s="108"/>
      <c r="H42" s="109"/>
    </row>
    <row r="43" spans="2:8" x14ac:dyDescent="0.2">
      <c r="B43" s="78" t="s">
        <v>223</v>
      </c>
      <c r="C43" s="108">
        <v>103800</v>
      </c>
      <c r="D43" s="108">
        <v>104200</v>
      </c>
      <c r="E43" s="108">
        <v>103200</v>
      </c>
      <c r="F43" s="108">
        <v>103200</v>
      </c>
      <c r="G43" s="108">
        <v>102900</v>
      </c>
      <c r="H43" s="109">
        <v>107700</v>
      </c>
    </row>
    <row r="44" spans="2:8" x14ac:dyDescent="0.2">
      <c r="B44" s="78" t="s">
        <v>224</v>
      </c>
      <c r="C44" s="108">
        <v>8530</v>
      </c>
      <c r="D44" s="108">
        <v>8540</v>
      </c>
      <c r="E44" s="108">
        <v>8550</v>
      </c>
      <c r="F44" s="108">
        <v>8550</v>
      </c>
      <c r="G44" s="108">
        <v>8600</v>
      </c>
      <c r="H44" s="109">
        <v>8530</v>
      </c>
    </row>
    <row r="45" spans="2:8" x14ac:dyDescent="0.2">
      <c r="B45" s="78" t="s">
        <v>225</v>
      </c>
      <c r="C45" s="108">
        <v>890</v>
      </c>
      <c r="D45" s="108">
        <v>890</v>
      </c>
      <c r="E45" s="108">
        <v>880</v>
      </c>
      <c r="F45" s="108">
        <v>880</v>
      </c>
      <c r="G45" s="108">
        <v>880</v>
      </c>
      <c r="H45" s="109">
        <v>920</v>
      </c>
    </row>
    <row r="46" spans="2:8" x14ac:dyDescent="0.2">
      <c r="B46" s="78"/>
      <c r="C46" s="108"/>
      <c r="D46" s="108"/>
      <c r="E46" s="108"/>
      <c r="F46" s="108"/>
      <c r="G46" s="108"/>
      <c r="H46" s="109"/>
    </row>
    <row r="47" spans="2:8" x14ac:dyDescent="0.2">
      <c r="B47" s="85" t="s">
        <v>226</v>
      </c>
      <c r="C47" s="108"/>
      <c r="D47" s="108"/>
      <c r="E47" s="108"/>
      <c r="F47" s="108"/>
      <c r="G47" s="108"/>
      <c r="H47" s="109"/>
    </row>
    <row r="48" spans="2:8" x14ac:dyDescent="0.2">
      <c r="B48" s="78" t="s">
        <v>65</v>
      </c>
      <c r="C48" s="108">
        <v>221500</v>
      </c>
      <c r="D48" s="108">
        <v>223400</v>
      </c>
      <c r="E48" s="108">
        <v>224400</v>
      </c>
      <c r="F48" s="108">
        <v>224400</v>
      </c>
      <c r="G48" s="108">
        <v>225300</v>
      </c>
      <c r="H48" s="109">
        <v>224900</v>
      </c>
    </row>
    <row r="49" spans="2:8" x14ac:dyDescent="0.2">
      <c r="B49" s="78" t="s">
        <v>69</v>
      </c>
      <c r="C49" s="108">
        <v>7340</v>
      </c>
      <c r="D49" s="108">
        <v>7320</v>
      </c>
      <c r="E49" s="108">
        <v>7320</v>
      </c>
      <c r="F49" s="108">
        <v>7320</v>
      </c>
      <c r="G49" s="108">
        <v>7320</v>
      </c>
      <c r="H49" s="109">
        <v>7340</v>
      </c>
    </row>
    <row r="50" spans="2:8" x14ac:dyDescent="0.2">
      <c r="B50" s="78" t="s">
        <v>109</v>
      </c>
      <c r="C50" s="108">
        <v>1630</v>
      </c>
      <c r="D50" s="108">
        <v>1640</v>
      </c>
      <c r="E50" s="108">
        <v>1640</v>
      </c>
      <c r="F50" s="108">
        <v>1640</v>
      </c>
      <c r="G50" s="108">
        <v>1650</v>
      </c>
      <c r="H50" s="109">
        <v>1650</v>
      </c>
    </row>
    <row r="51" spans="2:8" x14ac:dyDescent="0.2">
      <c r="B51" s="78"/>
      <c r="C51" s="108"/>
      <c r="D51" s="108"/>
      <c r="E51" s="108"/>
      <c r="F51" s="108"/>
      <c r="G51" s="108"/>
      <c r="H51" s="109"/>
    </row>
    <row r="52" spans="2:8" x14ac:dyDescent="0.2">
      <c r="B52" s="78" t="s">
        <v>227</v>
      </c>
      <c r="C52" s="134"/>
      <c r="D52" s="134"/>
      <c r="E52" s="134"/>
      <c r="F52" s="134"/>
      <c r="G52" s="134"/>
      <c r="H52" s="135"/>
    </row>
    <row r="53" spans="2:8" x14ac:dyDescent="0.2">
      <c r="B53" s="78" t="s">
        <v>65</v>
      </c>
      <c r="C53" s="108">
        <v>530000</v>
      </c>
      <c r="D53" s="108">
        <v>532500</v>
      </c>
      <c r="E53" s="108">
        <v>536300</v>
      </c>
      <c r="F53" s="108">
        <v>536300</v>
      </c>
      <c r="G53" s="108">
        <v>544900</v>
      </c>
      <c r="H53" s="109">
        <v>542600</v>
      </c>
    </row>
    <row r="54" spans="2:8" x14ac:dyDescent="0.2">
      <c r="B54" s="78" t="s">
        <v>69</v>
      </c>
      <c r="C54" s="108">
        <v>6390</v>
      </c>
      <c r="D54" s="108">
        <v>6390</v>
      </c>
      <c r="E54" s="108">
        <v>6390</v>
      </c>
      <c r="F54" s="108">
        <v>6390</v>
      </c>
      <c r="G54" s="108">
        <v>6380</v>
      </c>
      <c r="H54" s="109">
        <v>6380</v>
      </c>
    </row>
    <row r="55" spans="2:8" x14ac:dyDescent="0.2">
      <c r="B55" s="78" t="s">
        <v>109</v>
      </c>
      <c r="C55" s="108">
        <v>3390</v>
      </c>
      <c r="D55" s="108">
        <v>3400</v>
      </c>
      <c r="E55" s="108">
        <v>3430</v>
      </c>
      <c r="F55" s="108">
        <v>3430</v>
      </c>
      <c r="G55" s="108">
        <v>3480</v>
      </c>
      <c r="H55" s="109">
        <v>3460</v>
      </c>
    </row>
    <row r="56" spans="2:8" x14ac:dyDescent="0.2">
      <c r="B56" s="78"/>
      <c r="C56" s="108"/>
      <c r="D56" s="108"/>
      <c r="E56" s="108"/>
      <c r="F56" s="108"/>
      <c r="G56" s="108"/>
      <c r="H56" s="109"/>
    </row>
    <row r="57" spans="2:8" x14ac:dyDescent="0.2">
      <c r="B57" s="78" t="s">
        <v>228</v>
      </c>
      <c r="C57" s="134"/>
      <c r="D57" s="134"/>
      <c r="E57" s="134"/>
      <c r="F57" s="134"/>
      <c r="G57" s="134"/>
      <c r="H57" s="135"/>
    </row>
    <row r="58" spans="2:8" x14ac:dyDescent="0.2">
      <c r="B58" s="78" t="s">
        <v>223</v>
      </c>
      <c r="C58" s="108">
        <v>110400</v>
      </c>
      <c r="D58" s="108">
        <v>110900</v>
      </c>
      <c r="E58" s="108">
        <v>108800</v>
      </c>
      <c r="F58" s="108">
        <v>108800</v>
      </c>
      <c r="G58" s="108">
        <v>105600</v>
      </c>
      <c r="H58" s="109">
        <v>111900</v>
      </c>
    </row>
    <row r="59" spans="2:8" x14ac:dyDescent="0.2">
      <c r="B59" s="78" t="s">
        <v>224</v>
      </c>
      <c r="C59" s="108">
        <v>8740</v>
      </c>
      <c r="D59" s="108">
        <v>8740</v>
      </c>
      <c r="E59" s="108">
        <v>8740</v>
      </c>
      <c r="F59" s="108">
        <v>8740</v>
      </c>
      <c r="G59" s="108">
        <v>8700</v>
      </c>
      <c r="H59" s="109">
        <v>8730</v>
      </c>
    </row>
    <row r="60" spans="2:8" x14ac:dyDescent="0.2">
      <c r="B60" s="78" t="s">
        <v>225</v>
      </c>
      <c r="C60" s="108">
        <v>960</v>
      </c>
      <c r="D60" s="108">
        <v>970</v>
      </c>
      <c r="E60" s="108">
        <v>950</v>
      </c>
      <c r="F60" s="108">
        <v>950</v>
      </c>
      <c r="G60" s="108">
        <v>920</v>
      </c>
      <c r="H60" s="109">
        <v>980</v>
      </c>
    </row>
    <row r="61" spans="2:8" x14ac:dyDescent="0.2">
      <c r="B61" s="78"/>
      <c r="C61" s="108"/>
      <c r="D61" s="108"/>
      <c r="E61" s="108"/>
      <c r="F61" s="108"/>
      <c r="G61" s="108"/>
      <c r="H61" s="109"/>
    </row>
    <row r="62" spans="2:8" x14ac:dyDescent="0.2">
      <c r="B62" s="85" t="s">
        <v>229</v>
      </c>
      <c r="C62" s="108"/>
      <c r="D62" s="108"/>
      <c r="E62" s="108"/>
      <c r="F62" s="108"/>
      <c r="G62" s="108"/>
      <c r="H62" s="109"/>
    </row>
    <row r="63" spans="2:8" x14ac:dyDescent="0.2">
      <c r="B63" s="78" t="s">
        <v>65</v>
      </c>
      <c r="C63" s="108">
        <v>196100</v>
      </c>
      <c r="D63" s="108">
        <v>197100</v>
      </c>
      <c r="E63" s="108">
        <v>198400</v>
      </c>
      <c r="F63" s="108">
        <v>198400</v>
      </c>
      <c r="G63" s="108">
        <v>200400</v>
      </c>
      <c r="H63" s="109">
        <v>200000</v>
      </c>
    </row>
    <row r="64" spans="2:8" x14ac:dyDescent="0.2">
      <c r="B64" s="78" t="s">
        <v>69</v>
      </c>
      <c r="C64" s="108">
        <v>7650</v>
      </c>
      <c r="D64" s="108">
        <v>7650</v>
      </c>
      <c r="E64" s="108">
        <v>7630</v>
      </c>
      <c r="F64" s="108">
        <v>7630</v>
      </c>
      <c r="G64" s="108">
        <v>7590</v>
      </c>
      <c r="H64" s="109">
        <v>7620</v>
      </c>
    </row>
    <row r="65" spans="2:8" x14ac:dyDescent="0.2">
      <c r="B65" s="78" t="s">
        <v>109</v>
      </c>
      <c r="C65" s="108">
        <v>1500</v>
      </c>
      <c r="D65" s="108">
        <v>1510</v>
      </c>
      <c r="E65" s="108">
        <v>1510</v>
      </c>
      <c r="F65" s="108">
        <v>1510</v>
      </c>
      <c r="G65" s="108">
        <v>1520</v>
      </c>
      <c r="H65" s="109">
        <v>1520</v>
      </c>
    </row>
    <row r="66" spans="2:8" x14ac:dyDescent="0.2">
      <c r="B66" s="78"/>
      <c r="C66" s="108"/>
      <c r="D66" s="108"/>
      <c r="E66" s="108"/>
      <c r="F66" s="108"/>
      <c r="G66" s="108"/>
      <c r="H66" s="109"/>
    </row>
    <row r="67" spans="2:8" x14ac:dyDescent="0.2">
      <c r="B67" s="78" t="s">
        <v>230</v>
      </c>
      <c r="C67" s="108"/>
      <c r="D67" s="108"/>
      <c r="E67" s="108"/>
      <c r="F67" s="108"/>
      <c r="G67" s="108"/>
      <c r="H67" s="109"/>
    </row>
    <row r="68" spans="2:8" x14ac:dyDescent="0.2">
      <c r="B68" s="78" t="s">
        <v>65</v>
      </c>
      <c r="C68" s="108">
        <v>539200</v>
      </c>
      <c r="D68" s="108">
        <v>542100</v>
      </c>
      <c r="E68" s="108">
        <v>544800</v>
      </c>
      <c r="F68" s="108">
        <v>544800</v>
      </c>
      <c r="G68" s="108">
        <v>546700</v>
      </c>
      <c r="H68" s="109">
        <v>547800</v>
      </c>
    </row>
    <row r="69" spans="2:8" x14ac:dyDescent="0.2">
      <c r="B69" s="78" t="s">
        <v>69</v>
      </c>
      <c r="C69" s="108">
        <v>6360</v>
      </c>
      <c r="D69" s="108">
        <v>6360</v>
      </c>
      <c r="E69" s="108">
        <v>6350</v>
      </c>
      <c r="F69" s="108">
        <v>6350</v>
      </c>
      <c r="G69" s="108">
        <v>6350</v>
      </c>
      <c r="H69" s="109">
        <v>6340</v>
      </c>
    </row>
    <row r="70" spans="2:8" x14ac:dyDescent="0.2">
      <c r="B70" s="78" t="s">
        <v>109</v>
      </c>
      <c r="C70" s="108">
        <v>3430</v>
      </c>
      <c r="D70" s="108">
        <v>3450</v>
      </c>
      <c r="E70" s="108">
        <v>3460</v>
      </c>
      <c r="F70" s="108">
        <v>3460</v>
      </c>
      <c r="G70" s="108">
        <v>3470</v>
      </c>
      <c r="H70" s="109">
        <v>3470</v>
      </c>
    </row>
    <row r="71" spans="2:8" x14ac:dyDescent="0.2">
      <c r="B71" s="78"/>
      <c r="C71" s="108"/>
      <c r="D71" s="108"/>
      <c r="E71" s="108"/>
      <c r="F71" s="108"/>
      <c r="G71" s="108"/>
      <c r="H71" s="109"/>
    </row>
    <row r="72" spans="2:8" x14ac:dyDescent="0.2">
      <c r="B72" s="78" t="s">
        <v>231</v>
      </c>
      <c r="C72" s="134"/>
      <c r="D72" s="134"/>
      <c r="E72" s="134"/>
      <c r="F72" s="134"/>
      <c r="G72" s="134"/>
      <c r="H72" s="135"/>
    </row>
    <row r="73" spans="2:8" x14ac:dyDescent="0.2">
      <c r="B73" s="78" t="s">
        <v>223</v>
      </c>
      <c r="C73" s="108">
        <v>104100</v>
      </c>
      <c r="D73" s="108">
        <v>104200</v>
      </c>
      <c r="E73" s="108">
        <v>102700</v>
      </c>
      <c r="F73" s="108">
        <v>102700</v>
      </c>
      <c r="G73" s="108">
        <v>101600</v>
      </c>
      <c r="H73" s="109">
        <v>106700</v>
      </c>
    </row>
    <row r="74" spans="2:8" x14ac:dyDescent="0.2">
      <c r="B74" s="78" t="s">
        <v>224</v>
      </c>
      <c r="C74" s="108">
        <v>8720</v>
      </c>
      <c r="D74" s="108">
        <v>8720</v>
      </c>
      <c r="E74" s="108">
        <v>8730</v>
      </c>
      <c r="F74" s="108">
        <v>8730</v>
      </c>
      <c r="G74" s="108">
        <v>8710</v>
      </c>
      <c r="H74" s="109">
        <v>8730</v>
      </c>
    </row>
    <row r="75" spans="2:8" x14ac:dyDescent="0.2">
      <c r="B75" s="78" t="s">
        <v>225</v>
      </c>
      <c r="C75" s="108">
        <v>910</v>
      </c>
      <c r="D75" s="108">
        <v>910</v>
      </c>
      <c r="E75" s="108">
        <v>900</v>
      </c>
      <c r="F75" s="108">
        <v>900</v>
      </c>
      <c r="G75" s="108">
        <v>880</v>
      </c>
      <c r="H75" s="109">
        <v>930</v>
      </c>
    </row>
    <row r="76" spans="2:8" x14ac:dyDescent="0.2">
      <c r="B76" s="78"/>
      <c r="C76" s="108"/>
      <c r="D76" s="108"/>
      <c r="E76" s="108"/>
      <c r="F76" s="108"/>
      <c r="G76" s="108"/>
      <c r="H76" s="109"/>
    </row>
    <row r="77" spans="2:8" x14ac:dyDescent="0.2">
      <c r="B77" s="85" t="s">
        <v>232</v>
      </c>
      <c r="C77" s="108"/>
      <c r="D77" s="108"/>
      <c r="E77" s="108"/>
      <c r="F77" s="108"/>
      <c r="G77" s="108"/>
      <c r="H77" s="109"/>
    </row>
    <row r="78" spans="2:8" x14ac:dyDescent="0.2">
      <c r="B78" s="78" t="s">
        <v>65</v>
      </c>
      <c r="C78" s="108">
        <v>197000</v>
      </c>
      <c r="D78" s="108">
        <v>198000</v>
      </c>
      <c r="E78" s="108">
        <v>198700</v>
      </c>
      <c r="F78" s="108">
        <v>198700</v>
      </c>
      <c r="G78" s="108">
        <v>199300</v>
      </c>
      <c r="H78" s="109">
        <v>199500</v>
      </c>
    </row>
    <row r="79" spans="2:8" x14ac:dyDescent="0.2">
      <c r="B79" s="78" t="s">
        <v>69</v>
      </c>
      <c r="C79" s="108">
        <v>7570</v>
      </c>
      <c r="D79" s="108">
        <v>7560</v>
      </c>
      <c r="E79" s="108">
        <v>7550</v>
      </c>
      <c r="F79" s="108">
        <v>7550</v>
      </c>
      <c r="G79" s="108">
        <v>7530</v>
      </c>
      <c r="H79" s="109">
        <v>7540</v>
      </c>
    </row>
    <row r="80" spans="2:8" x14ac:dyDescent="0.2">
      <c r="B80" s="78" t="s">
        <v>109</v>
      </c>
      <c r="C80" s="108">
        <v>1490</v>
      </c>
      <c r="D80" s="108">
        <v>1500</v>
      </c>
      <c r="E80" s="108">
        <v>1500</v>
      </c>
      <c r="F80" s="108">
        <v>1500</v>
      </c>
      <c r="G80" s="108">
        <v>1500</v>
      </c>
      <c r="H80" s="109">
        <v>1500</v>
      </c>
    </row>
    <row r="81" spans="2:8" x14ac:dyDescent="0.2">
      <c r="B81" s="78"/>
      <c r="C81" s="236"/>
      <c r="D81" s="236"/>
      <c r="E81" s="236"/>
      <c r="F81" s="236"/>
      <c r="G81" s="236"/>
      <c r="H81" s="237"/>
    </row>
    <row r="82" spans="2:8" x14ac:dyDescent="0.2">
      <c r="B82" s="78" t="s">
        <v>233</v>
      </c>
      <c r="C82" s="108"/>
      <c r="D82" s="108"/>
      <c r="E82" s="108"/>
      <c r="F82" s="108"/>
      <c r="G82" s="108"/>
      <c r="H82" s="109"/>
    </row>
    <row r="83" spans="2:8" x14ac:dyDescent="0.2">
      <c r="B83" s="78" t="s">
        <v>65</v>
      </c>
      <c r="C83" s="108">
        <v>520400</v>
      </c>
      <c r="D83" s="108">
        <v>532900</v>
      </c>
      <c r="E83" s="108">
        <v>535000</v>
      </c>
      <c r="F83" s="108">
        <v>535000</v>
      </c>
      <c r="G83" s="108">
        <v>536800</v>
      </c>
      <c r="H83" s="109">
        <v>537600</v>
      </c>
    </row>
    <row r="84" spans="2:8" x14ac:dyDescent="0.2">
      <c r="B84" s="78" t="s">
        <v>69</v>
      </c>
      <c r="C84" s="108">
        <v>6300</v>
      </c>
      <c r="D84" s="108">
        <v>6300</v>
      </c>
      <c r="E84" s="108">
        <v>6300</v>
      </c>
      <c r="F84" s="108">
        <v>6300</v>
      </c>
      <c r="G84" s="108">
        <v>6310</v>
      </c>
      <c r="H84" s="109">
        <v>6300</v>
      </c>
    </row>
    <row r="85" spans="2:8" x14ac:dyDescent="0.2">
      <c r="B85" s="78" t="s">
        <v>109</v>
      </c>
      <c r="C85" s="108">
        <v>3280</v>
      </c>
      <c r="D85" s="108">
        <v>3360</v>
      </c>
      <c r="E85" s="108">
        <v>3370</v>
      </c>
      <c r="F85" s="108">
        <v>3370</v>
      </c>
      <c r="G85" s="108">
        <v>3390</v>
      </c>
      <c r="H85" s="109">
        <v>3390</v>
      </c>
    </row>
    <row r="86" spans="2:8" x14ac:dyDescent="0.2">
      <c r="B86" s="78"/>
      <c r="C86" s="108"/>
      <c r="D86" s="108"/>
      <c r="E86" s="108"/>
      <c r="F86" s="108"/>
      <c r="G86" s="108"/>
      <c r="H86" s="109"/>
    </row>
    <row r="87" spans="2:8" x14ac:dyDescent="0.2">
      <c r="B87" s="78" t="s">
        <v>234</v>
      </c>
      <c r="C87" s="134"/>
      <c r="D87" s="134"/>
      <c r="E87" s="134"/>
      <c r="F87" s="134"/>
      <c r="G87" s="134"/>
      <c r="H87" s="135"/>
    </row>
    <row r="88" spans="2:8" x14ac:dyDescent="0.2">
      <c r="B88" s="78" t="s">
        <v>235</v>
      </c>
      <c r="C88" s="108">
        <v>3900</v>
      </c>
      <c r="D88" s="108">
        <v>3900</v>
      </c>
      <c r="E88" s="108">
        <v>3900</v>
      </c>
      <c r="F88" s="108">
        <v>3900</v>
      </c>
      <c r="G88" s="108">
        <v>3900</v>
      </c>
      <c r="H88" s="109">
        <v>3900</v>
      </c>
    </row>
    <row r="89" spans="2:8" x14ac:dyDescent="0.2">
      <c r="B89" s="78" t="s">
        <v>236</v>
      </c>
      <c r="C89" s="108">
        <v>8590</v>
      </c>
      <c r="D89" s="108">
        <v>8580</v>
      </c>
      <c r="E89" s="108">
        <v>8590</v>
      </c>
      <c r="F89" s="108">
        <v>8590</v>
      </c>
      <c r="G89" s="108">
        <v>8600</v>
      </c>
      <c r="H89" s="109">
        <v>8580</v>
      </c>
    </row>
    <row r="90" spans="2:8" x14ac:dyDescent="0.2">
      <c r="B90" s="78"/>
      <c r="C90" s="108"/>
      <c r="D90" s="108"/>
      <c r="E90" s="108"/>
      <c r="F90" s="108"/>
      <c r="G90" s="108"/>
      <c r="H90" s="109"/>
    </row>
    <row r="91" spans="2:8" x14ac:dyDescent="0.2">
      <c r="B91" s="78" t="s">
        <v>237</v>
      </c>
      <c r="C91" s="134"/>
      <c r="D91" s="134"/>
      <c r="E91" s="134"/>
      <c r="F91" s="134"/>
      <c r="G91" s="134"/>
      <c r="H91" s="135"/>
    </row>
    <row r="92" spans="2:8" x14ac:dyDescent="0.2">
      <c r="B92" s="78" t="s">
        <v>223</v>
      </c>
      <c r="C92" s="108">
        <v>99900</v>
      </c>
      <c r="D92" s="108">
        <v>100400</v>
      </c>
      <c r="E92" s="108">
        <v>99400</v>
      </c>
      <c r="F92" s="108">
        <v>99400</v>
      </c>
      <c r="G92" s="108">
        <v>99800</v>
      </c>
      <c r="H92" s="109">
        <v>104400</v>
      </c>
    </row>
    <row r="93" spans="2:8" x14ac:dyDescent="0.2">
      <c r="B93" s="78" t="s">
        <v>224</v>
      </c>
      <c r="C93" s="108">
        <v>8850</v>
      </c>
      <c r="D93" s="108">
        <v>8830</v>
      </c>
      <c r="E93" s="108">
        <v>8830</v>
      </c>
      <c r="F93" s="108">
        <v>8830</v>
      </c>
      <c r="G93" s="108">
        <v>8810</v>
      </c>
      <c r="H93" s="109">
        <v>8860</v>
      </c>
    </row>
    <row r="94" spans="2:8" x14ac:dyDescent="0.2">
      <c r="B94" s="78" t="s">
        <v>225</v>
      </c>
      <c r="C94" s="108">
        <v>880</v>
      </c>
      <c r="D94" s="108">
        <v>890</v>
      </c>
      <c r="E94" s="108">
        <v>880</v>
      </c>
      <c r="F94" s="108">
        <v>880</v>
      </c>
      <c r="G94" s="108">
        <v>880</v>
      </c>
      <c r="H94" s="109">
        <v>920</v>
      </c>
    </row>
    <row r="95" spans="2:8" x14ac:dyDescent="0.2">
      <c r="B95" s="78"/>
      <c r="C95" s="108"/>
      <c r="D95" s="108"/>
      <c r="E95" s="108"/>
      <c r="F95" s="108"/>
      <c r="G95" s="108"/>
      <c r="H95" s="109"/>
    </row>
    <row r="96" spans="2:8" x14ac:dyDescent="0.2">
      <c r="B96" s="85" t="s">
        <v>238</v>
      </c>
      <c r="C96" s="108"/>
      <c r="D96" s="108"/>
      <c r="E96" s="108"/>
      <c r="F96" s="108"/>
      <c r="G96" s="108"/>
      <c r="H96" s="109"/>
    </row>
    <row r="97" spans="2:8" x14ac:dyDescent="0.2">
      <c r="B97" s="78" t="s">
        <v>65</v>
      </c>
      <c r="C97" s="108">
        <v>191500</v>
      </c>
      <c r="D97" s="108">
        <v>192600</v>
      </c>
      <c r="E97" s="108">
        <v>193400</v>
      </c>
      <c r="F97" s="108">
        <v>193400</v>
      </c>
      <c r="G97" s="108">
        <v>194500</v>
      </c>
      <c r="H97" s="109">
        <v>194300</v>
      </c>
    </row>
    <row r="98" spans="2:8" x14ac:dyDescent="0.2">
      <c r="B98" s="78" t="s">
        <v>69</v>
      </c>
      <c r="C98" s="108">
        <v>7540</v>
      </c>
      <c r="D98" s="108">
        <v>7540</v>
      </c>
      <c r="E98" s="108">
        <v>7530</v>
      </c>
      <c r="F98" s="108">
        <v>7530</v>
      </c>
      <c r="G98" s="108">
        <v>7530</v>
      </c>
      <c r="H98" s="109">
        <v>7540</v>
      </c>
    </row>
    <row r="99" spans="2:8" x14ac:dyDescent="0.2">
      <c r="B99" s="78" t="s">
        <v>109</v>
      </c>
      <c r="C99" s="108">
        <v>1440</v>
      </c>
      <c r="D99" s="108">
        <v>1450</v>
      </c>
      <c r="E99" s="108">
        <v>1460</v>
      </c>
      <c r="F99" s="108">
        <v>1460</v>
      </c>
      <c r="G99" s="108">
        <v>1460</v>
      </c>
      <c r="H99" s="109">
        <v>1470</v>
      </c>
    </row>
    <row r="100" spans="2:8" x14ac:dyDescent="0.2">
      <c r="B100" s="78"/>
      <c r="C100" s="108"/>
      <c r="D100" s="108"/>
      <c r="E100" s="108"/>
      <c r="F100" s="108"/>
      <c r="G100" s="108"/>
      <c r="H100" s="109"/>
    </row>
    <row r="101" spans="2:8" x14ac:dyDescent="0.2">
      <c r="B101" s="78" t="s">
        <v>239</v>
      </c>
      <c r="C101" s="108"/>
      <c r="D101" s="108"/>
      <c r="E101" s="108"/>
      <c r="F101" s="108"/>
      <c r="G101" s="108"/>
      <c r="H101" s="109"/>
    </row>
    <row r="102" spans="2:8" x14ac:dyDescent="0.2">
      <c r="B102" s="78" t="s">
        <v>65</v>
      </c>
      <c r="C102" s="108">
        <v>509900</v>
      </c>
      <c r="D102" s="108">
        <v>513300</v>
      </c>
      <c r="E102" s="108">
        <v>514700</v>
      </c>
      <c r="F102" s="108">
        <v>514700</v>
      </c>
      <c r="G102" s="108">
        <v>512300</v>
      </c>
      <c r="H102" s="109">
        <v>517900</v>
      </c>
    </row>
    <row r="103" spans="2:8" x14ac:dyDescent="0.2">
      <c r="B103" s="78" t="s">
        <v>69</v>
      </c>
      <c r="C103" s="108">
        <v>6370</v>
      </c>
      <c r="D103" s="108">
        <v>6360</v>
      </c>
      <c r="E103" s="108">
        <v>6360</v>
      </c>
      <c r="F103" s="108">
        <v>6360</v>
      </c>
      <c r="G103" s="108">
        <v>6370</v>
      </c>
      <c r="H103" s="109">
        <v>6370</v>
      </c>
    </row>
    <row r="104" spans="2:8" x14ac:dyDescent="0.2">
      <c r="B104" s="78" t="s">
        <v>109</v>
      </c>
      <c r="C104" s="108">
        <v>3250</v>
      </c>
      <c r="D104" s="108">
        <v>3260</v>
      </c>
      <c r="E104" s="108">
        <v>3270</v>
      </c>
      <c r="F104" s="108">
        <v>3270</v>
      </c>
      <c r="G104" s="108">
        <v>3260</v>
      </c>
      <c r="H104" s="109">
        <v>3300</v>
      </c>
    </row>
    <row r="105" spans="2:8" x14ac:dyDescent="0.2">
      <c r="B105" s="78"/>
      <c r="C105" s="108"/>
      <c r="D105" s="108"/>
      <c r="E105" s="108"/>
      <c r="F105" s="108"/>
      <c r="G105" s="108"/>
      <c r="H105" s="109"/>
    </row>
    <row r="106" spans="2:8" x14ac:dyDescent="0.2">
      <c r="B106" s="78" t="s">
        <v>240</v>
      </c>
      <c r="C106" s="134"/>
      <c r="D106" s="134"/>
      <c r="E106" s="134"/>
      <c r="F106" s="134"/>
      <c r="G106" s="134"/>
      <c r="H106" s="135"/>
    </row>
    <row r="107" spans="2:8" x14ac:dyDescent="0.2">
      <c r="B107" s="78" t="s">
        <v>223</v>
      </c>
      <c r="C107" s="108">
        <v>103100</v>
      </c>
      <c r="D107" s="108">
        <v>103000</v>
      </c>
      <c r="E107" s="108">
        <v>102200</v>
      </c>
      <c r="F107" s="108">
        <v>102200</v>
      </c>
      <c r="G107" s="108">
        <v>103600</v>
      </c>
      <c r="H107" s="109">
        <v>107200</v>
      </c>
    </row>
    <row r="108" spans="2:8" x14ac:dyDescent="0.2">
      <c r="B108" s="78" t="s">
        <v>224</v>
      </c>
      <c r="C108" s="108">
        <v>8580</v>
      </c>
      <c r="D108" s="108">
        <v>8610</v>
      </c>
      <c r="E108" s="108">
        <v>8590</v>
      </c>
      <c r="F108" s="108">
        <v>8590</v>
      </c>
      <c r="G108" s="108">
        <v>8600</v>
      </c>
      <c r="H108" s="109">
        <v>8590</v>
      </c>
    </row>
    <row r="109" spans="2:8" x14ac:dyDescent="0.2">
      <c r="B109" s="78" t="s">
        <v>225</v>
      </c>
      <c r="C109" s="108">
        <v>880</v>
      </c>
      <c r="D109" s="108">
        <v>890</v>
      </c>
      <c r="E109" s="108">
        <v>880</v>
      </c>
      <c r="F109" s="108">
        <v>880</v>
      </c>
      <c r="G109" s="108">
        <v>890</v>
      </c>
      <c r="H109" s="109">
        <v>920</v>
      </c>
    </row>
    <row r="110" spans="2:8" x14ac:dyDescent="0.2">
      <c r="B110" s="78"/>
      <c r="C110" s="108"/>
      <c r="D110" s="108"/>
      <c r="E110" s="108"/>
      <c r="F110" s="108"/>
      <c r="G110" s="108"/>
      <c r="H110" s="109"/>
    </row>
    <row r="111" spans="2:8" x14ac:dyDescent="0.2">
      <c r="B111" s="85" t="s">
        <v>241</v>
      </c>
      <c r="C111" s="108"/>
      <c r="D111" s="108"/>
      <c r="E111" s="108"/>
      <c r="F111" s="108"/>
      <c r="G111" s="108"/>
      <c r="H111" s="109"/>
    </row>
    <row r="112" spans="2:8" x14ac:dyDescent="0.2">
      <c r="B112" s="78" t="s">
        <v>65</v>
      </c>
      <c r="C112" s="108">
        <v>232100</v>
      </c>
      <c r="D112" s="108">
        <v>233400</v>
      </c>
      <c r="E112" s="108">
        <v>234000</v>
      </c>
      <c r="F112" s="108">
        <v>234000</v>
      </c>
      <c r="G112" s="108">
        <v>232300</v>
      </c>
      <c r="H112" s="109">
        <v>235700</v>
      </c>
    </row>
    <row r="113" spans="2:8" x14ac:dyDescent="0.2">
      <c r="B113" s="78" t="s">
        <v>69</v>
      </c>
      <c r="C113" s="108">
        <v>7130</v>
      </c>
      <c r="D113" s="108">
        <v>7130</v>
      </c>
      <c r="E113" s="108">
        <v>7130</v>
      </c>
      <c r="F113" s="108">
        <v>7130</v>
      </c>
      <c r="G113" s="108">
        <v>7180</v>
      </c>
      <c r="H113" s="109">
        <v>7130</v>
      </c>
    </row>
    <row r="114" spans="2:8" x14ac:dyDescent="0.2">
      <c r="B114" s="78" t="s">
        <v>109</v>
      </c>
      <c r="C114" s="108">
        <v>1650</v>
      </c>
      <c r="D114" s="108">
        <v>1660</v>
      </c>
      <c r="E114" s="108">
        <v>1670</v>
      </c>
      <c r="F114" s="108">
        <v>1670</v>
      </c>
      <c r="G114" s="108">
        <v>1670</v>
      </c>
      <c r="H114" s="109">
        <v>1680</v>
      </c>
    </row>
    <row r="115" spans="2:8" x14ac:dyDescent="0.2">
      <c r="B115" s="78"/>
      <c r="C115" s="236"/>
      <c r="D115" s="236"/>
      <c r="E115" s="236"/>
      <c r="F115" s="236"/>
      <c r="G115" s="236"/>
      <c r="H115" s="237"/>
    </row>
    <row r="116" spans="2:8" x14ac:dyDescent="0.2">
      <c r="B116" s="78" t="s">
        <v>242</v>
      </c>
      <c r="C116" s="134"/>
      <c r="D116" s="134"/>
      <c r="E116" s="134"/>
      <c r="F116" s="134"/>
      <c r="G116" s="134"/>
      <c r="H116" s="135"/>
    </row>
    <row r="117" spans="2:8" x14ac:dyDescent="0.2">
      <c r="B117" s="78" t="s">
        <v>65</v>
      </c>
      <c r="C117" s="108">
        <v>486000</v>
      </c>
      <c r="D117" s="108">
        <v>488300</v>
      </c>
      <c r="E117" s="108">
        <v>486500</v>
      </c>
      <c r="F117" s="108">
        <v>486500</v>
      </c>
      <c r="G117" s="108">
        <v>484700</v>
      </c>
      <c r="H117" s="109">
        <v>501600</v>
      </c>
    </row>
    <row r="118" spans="2:8" x14ac:dyDescent="0.2">
      <c r="B118" s="78" t="s">
        <v>69</v>
      </c>
      <c r="C118" s="108">
        <v>6410</v>
      </c>
      <c r="D118" s="108">
        <v>6410</v>
      </c>
      <c r="E118" s="108">
        <v>6410</v>
      </c>
      <c r="F118" s="108">
        <v>6410</v>
      </c>
      <c r="G118" s="108">
        <v>6440</v>
      </c>
      <c r="H118" s="109">
        <v>6400</v>
      </c>
    </row>
    <row r="119" spans="2:8" x14ac:dyDescent="0.2">
      <c r="B119" s="78" t="s">
        <v>109</v>
      </c>
      <c r="C119" s="108">
        <v>3120</v>
      </c>
      <c r="D119" s="108">
        <v>3130</v>
      </c>
      <c r="E119" s="108">
        <v>3120</v>
      </c>
      <c r="F119" s="108">
        <v>3120</v>
      </c>
      <c r="G119" s="108">
        <v>3120</v>
      </c>
      <c r="H119" s="109">
        <v>3210</v>
      </c>
    </row>
    <row r="120" spans="2:8" x14ac:dyDescent="0.2">
      <c r="B120" s="78"/>
      <c r="C120" s="108"/>
      <c r="D120" s="108"/>
      <c r="E120" s="108"/>
      <c r="F120" s="108"/>
      <c r="G120" s="108"/>
      <c r="H120" s="109"/>
    </row>
    <row r="121" spans="2:8" x14ac:dyDescent="0.2">
      <c r="B121" s="78" t="s">
        <v>243</v>
      </c>
      <c r="C121" s="134"/>
      <c r="D121" s="134"/>
      <c r="E121" s="134"/>
      <c r="F121" s="134"/>
      <c r="G121" s="134"/>
      <c r="H121" s="135"/>
    </row>
    <row r="122" spans="2:8" x14ac:dyDescent="0.2">
      <c r="B122" s="78" t="s">
        <v>235</v>
      </c>
      <c r="C122" s="108">
        <v>28200</v>
      </c>
      <c r="D122" s="108">
        <v>28200</v>
      </c>
      <c r="E122" s="108">
        <v>33000</v>
      </c>
      <c r="F122" s="108">
        <v>33000</v>
      </c>
      <c r="G122" s="108">
        <v>35300</v>
      </c>
      <c r="H122" s="109">
        <v>19100</v>
      </c>
    </row>
    <row r="123" spans="2:8" x14ac:dyDescent="0.2">
      <c r="B123" s="78" t="s">
        <v>244</v>
      </c>
      <c r="C123" s="108">
        <v>6590</v>
      </c>
      <c r="D123" s="108">
        <v>6640</v>
      </c>
      <c r="E123" s="108">
        <v>6400</v>
      </c>
      <c r="F123" s="108">
        <v>6400</v>
      </c>
      <c r="G123" s="108">
        <v>6600</v>
      </c>
      <c r="H123" s="109">
        <v>6420</v>
      </c>
    </row>
    <row r="124" spans="2:8" x14ac:dyDescent="0.2">
      <c r="B124" s="78"/>
      <c r="C124" s="108"/>
      <c r="D124" s="108"/>
      <c r="E124" s="108"/>
      <c r="F124" s="108"/>
      <c r="G124" s="108"/>
      <c r="H124" s="109"/>
    </row>
    <row r="125" spans="2:8" x14ac:dyDescent="0.2">
      <c r="B125" s="78" t="s">
        <v>245</v>
      </c>
      <c r="C125" s="108"/>
      <c r="D125" s="108"/>
      <c r="E125" s="108"/>
      <c r="F125" s="108"/>
      <c r="G125" s="108"/>
      <c r="H125" s="109"/>
    </row>
    <row r="126" spans="2:8" x14ac:dyDescent="0.2">
      <c r="B126" s="78" t="s">
        <v>235</v>
      </c>
      <c r="C126" s="108">
        <v>100400</v>
      </c>
      <c r="D126" s="108">
        <v>100300</v>
      </c>
      <c r="E126" s="108">
        <v>99700</v>
      </c>
      <c r="F126" s="108">
        <v>99700</v>
      </c>
      <c r="G126" s="108">
        <v>98900</v>
      </c>
      <c r="H126" s="109">
        <v>104600</v>
      </c>
    </row>
    <row r="127" spans="2:8" x14ac:dyDescent="0.2">
      <c r="B127" s="78" t="s">
        <v>244</v>
      </c>
      <c r="C127" s="108">
        <v>8660</v>
      </c>
      <c r="D127" s="108">
        <v>8650</v>
      </c>
      <c r="E127" s="108">
        <v>8640</v>
      </c>
      <c r="F127" s="108">
        <v>8640</v>
      </c>
      <c r="G127" s="108">
        <v>8770</v>
      </c>
      <c r="H127" s="109">
        <v>8590</v>
      </c>
    </row>
    <row r="128" spans="2:8" x14ac:dyDescent="0.2">
      <c r="B128" s="78" t="s">
        <v>225</v>
      </c>
      <c r="C128" s="108">
        <v>870</v>
      </c>
      <c r="D128" s="108">
        <v>870</v>
      </c>
      <c r="E128" s="108">
        <v>860</v>
      </c>
      <c r="F128" s="108">
        <v>860</v>
      </c>
      <c r="G128" s="108">
        <v>870</v>
      </c>
      <c r="H128" s="109">
        <v>900</v>
      </c>
    </row>
    <row r="129" spans="2:8" x14ac:dyDescent="0.2">
      <c r="B129" s="78"/>
      <c r="C129" s="108"/>
      <c r="D129" s="108"/>
      <c r="E129" s="108"/>
      <c r="F129" s="108"/>
      <c r="G129" s="108"/>
      <c r="H129" s="109"/>
    </row>
    <row r="130" spans="2:8" x14ac:dyDescent="0.2">
      <c r="B130" s="85" t="s">
        <v>246</v>
      </c>
      <c r="C130" s="108"/>
      <c r="D130" s="108"/>
      <c r="E130" s="108"/>
      <c r="F130" s="108"/>
      <c r="G130" s="108"/>
      <c r="H130" s="109"/>
    </row>
    <row r="131" spans="2:8" x14ac:dyDescent="0.2">
      <c r="B131" s="78" t="s">
        <v>65</v>
      </c>
      <c r="C131" s="108">
        <v>216900</v>
      </c>
      <c r="D131" s="108">
        <v>218300</v>
      </c>
      <c r="E131" s="108">
        <v>217400</v>
      </c>
      <c r="F131" s="108">
        <v>217400</v>
      </c>
      <c r="G131" s="108">
        <v>216500</v>
      </c>
      <c r="H131" s="109">
        <v>224300</v>
      </c>
    </row>
    <row r="132" spans="2:8" x14ac:dyDescent="0.2">
      <c r="B132" s="78" t="s">
        <v>69</v>
      </c>
      <c r="C132" s="108">
        <v>7370</v>
      </c>
      <c r="D132" s="108">
        <v>7350</v>
      </c>
      <c r="E132" s="108">
        <v>7370</v>
      </c>
      <c r="F132" s="108">
        <v>7370</v>
      </c>
      <c r="G132" s="108">
        <v>7400</v>
      </c>
      <c r="H132" s="109">
        <v>7330</v>
      </c>
    </row>
    <row r="133" spans="2:8" x14ac:dyDescent="0.2">
      <c r="B133" s="78" t="s">
        <v>109</v>
      </c>
      <c r="C133" s="108">
        <v>1600</v>
      </c>
      <c r="D133" s="108">
        <v>1600</v>
      </c>
      <c r="E133" s="108">
        <v>1600</v>
      </c>
      <c r="F133" s="108">
        <v>1600</v>
      </c>
      <c r="G133" s="108">
        <v>1600</v>
      </c>
      <c r="H133" s="109">
        <v>1640</v>
      </c>
    </row>
    <row r="134" spans="2:8" x14ac:dyDescent="0.2">
      <c r="B134" s="78"/>
      <c r="C134" s="238"/>
      <c r="D134" s="238"/>
      <c r="E134" s="238"/>
      <c r="F134" s="238"/>
      <c r="G134" s="238"/>
      <c r="H134" s="239"/>
    </row>
    <row r="135" spans="2:8" ht="15.75" x14ac:dyDescent="0.2">
      <c r="B135" s="107" t="s">
        <v>118</v>
      </c>
      <c r="C135" s="238"/>
      <c r="D135" s="238"/>
      <c r="E135" s="238"/>
      <c r="F135" s="238"/>
      <c r="G135" s="238"/>
      <c r="H135" s="239"/>
    </row>
    <row r="136" spans="2:8" x14ac:dyDescent="0.2">
      <c r="B136" s="85"/>
      <c r="C136" s="238"/>
      <c r="D136" s="238"/>
      <c r="E136" s="238"/>
      <c r="F136" s="238"/>
      <c r="G136" s="238"/>
      <c r="H136" s="239"/>
    </row>
    <row r="137" spans="2:8" x14ac:dyDescent="0.2">
      <c r="B137" s="78" t="s">
        <v>247</v>
      </c>
      <c r="C137" s="238">
        <v>3940</v>
      </c>
      <c r="D137" s="238">
        <v>3940</v>
      </c>
      <c r="E137" s="238">
        <v>3940</v>
      </c>
      <c r="F137" s="238">
        <v>3940</v>
      </c>
      <c r="G137" s="238">
        <v>3940</v>
      </c>
      <c r="H137" s="239">
        <v>3940</v>
      </c>
    </row>
    <row r="138" spans="2:8" hidden="1" x14ac:dyDescent="0.2">
      <c r="B138" s="78"/>
      <c r="C138" s="238"/>
      <c r="D138" s="238"/>
      <c r="E138" s="238"/>
      <c r="F138" s="238"/>
      <c r="G138" s="238"/>
      <c r="H138" s="239"/>
    </row>
    <row r="139" spans="2:8" ht="15.75" hidden="1" x14ac:dyDescent="0.2">
      <c r="B139" s="107"/>
      <c r="C139" s="238"/>
      <c r="D139" s="238"/>
      <c r="E139" s="238"/>
      <c r="F139" s="238"/>
      <c r="G139" s="238"/>
      <c r="H139" s="239"/>
    </row>
    <row r="140" spans="2:8" hidden="1" x14ac:dyDescent="0.2">
      <c r="B140" s="78"/>
      <c r="C140" s="238"/>
      <c r="D140" s="238"/>
      <c r="E140" s="238"/>
      <c r="F140" s="238"/>
      <c r="G140" s="238"/>
      <c r="H140" s="239"/>
    </row>
    <row r="141" spans="2:8" hidden="1" x14ac:dyDescent="0.2">
      <c r="B141" s="78"/>
      <c r="C141" s="238"/>
      <c r="D141" s="238"/>
      <c r="E141" s="238"/>
      <c r="F141" s="238"/>
      <c r="G141" s="238"/>
      <c r="H141" s="239"/>
    </row>
    <row r="142" spans="2:8" hidden="1" x14ac:dyDescent="0.2">
      <c r="B142" s="78"/>
      <c r="C142" s="238"/>
      <c r="D142" s="238"/>
      <c r="E142" s="238"/>
      <c r="F142" s="238"/>
      <c r="G142" s="238"/>
      <c r="H142" s="239"/>
    </row>
    <row r="143" spans="2:8" hidden="1" x14ac:dyDescent="0.2">
      <c r="B143" s="78"/>
      <c r="C143" s="238"/>
      <c r="D143" s="238"/>
      <c r="E143" s="238"/>
      <c r="F143" s="238"/>
      <c r="G143" s="238"/>
      <c r="H143" s="239"/>
    </row>
    <row r="144" spans="2:8" hidden="1" x14ac:dyDescent="0.2">
      <c r="B144" s="78"/>
      <c r="C144" s="238"/>
      <c r="D144" s="238"/>
      <c r="E144" s="238"/>
      <c r="F144" s="238"/>
      <c r="G144" s="238"/>
      <c r="H144" s="239"/>
    </row>
    <row r="145" spans="2:8" ht="15.75" hidden="1" x14ac:dyDescent="0.2">
      <c r="B145" s="107"/>
      <c r="C145" s="238"/>
      <c r="D145" s="238"/>
      <c r="E145" s="238"/>
      <c r="F145" s="238"/>
      <c r="G145" s="238"/>
      <c r="H145" s="239"/>
    </row>
    <row r="146" spans="2:8" hidden="1" x14ac:dyDescent="0.2">
      <c r="B146" s="78"/>
      <c r="C146" s="238"/>
      <c r="D146" s="238"/>
      <c r="E146" s="238"/>
      <c r="F146" s="238"/>
      <c r="G146" s="238"/>
      <c r="H146" s="239"/>
    </row>
    <row r="147" spans="2:8" ht="15.75" thickBot="1" x14ac:dyDescent="0.25">
      <c r="B147" s="240"/>
      <c r="C147" s="241"/>
      <c r="D147" s="241"/>
      <c r="E147" s="241"/>
      <c r="F147" s="241"/>
      <c r="G147" s="241"/>
      <c r="H147" s="242"/>
    </row>
    <row r="148" spans="2:8" ht="17.25" thickTop="1" thickBot="1" x14ac:dyDescent="0.25">
      <c r="B148" s="243" t="s">
        <v>121</v>
      </c>
      <c r="C148" s="244"/>
      <c r="D148" s="244"/>
      <c r="E148" s="244"/>
      <c r="F148" s="244"/>
      <c r="G148" s="244"/>
      <c r="H148" s="245"/>
    </row>
    <row r="149" spans="2:8" ht="15.75" thickTop="1" x14ac:dyDescent="0.2">
      <c r="B149" s="78"/>
      <c r="C149" s="134"/>
      <c r="D149" s="134"/>
      <c r="E149" s="134"/>
      <c r="F149" s="134"/>
      <c r="G149" s="134"/>
      <c r="H149" s="135"/>
    </row>
    <row r="150" spans="2:8" s="246" customFormat="1" ht="15.75" x14ac:dyDescent="0.2">
      <c r="B150" s="119" t="s">
        <v>122</v>
      </c>
      <c r="C150" s="120">
        <v>511.6</v>
      </c>
      <c r="D150" s="120">
        <v>524.15</v>
      </c>
      <c r="E150" s="120">
        <v>568.83000000000004</v>
      </c>
      <c r="F150" s="120">
        <v>611.36</v>
      </c>
      <c r="G150" s="120">
        <v>696.47</v>
      </c>
      <c r="H150" s="121">
        <v>690.37</v>
      </c>
    </row>
    <row r="151" spans="2:8" s="118" customFormat="1" ht="15.75" x14ac:dyDescent="0.2">
      <c r="B151" s="122" t="s">
        <v>123</v>
      </c>
      <c r="C151" s="123">
        <v>154.97544172512738</v>
      </c>
      <c r="D151" s="123">
        <v>166.40380472624918</v>
      </c>
      <c r="E151" s="123">
        <v>189.84058097082732</v>
      </c>
      <c r="F151" s="123">
        <v>228.41513471890713</v>
      </c>
      <c r="G151" s="123">
        <v>295.84979037123401</v>
      </c>
      <c r="H151" s="124">
        <v>291.02982283327344</v>
      </c>
    </row>
    <row r="152" spans="2:8" s="118" customFormat="1" ht="15.75" x14ac:dyDescent="0.2">
      <c r="B152" s="122" t="s">
        <v>124</v>
      </c>
      <c r="C152" s="123">
        <v>161.72390052251126</v>
      </c>
      <c r="D152" s="123">
        <v>162.33140100073487</v>
      </c>
      <c r="E152" s="123">
        <v>168.28562025120928</v>
      </c>
      <c r="F152" s="123">
        <v>169.24455255408651</v>
      </c>
      <c r="G152" s="123">
        <v>171.92939315416001</v>
      </c>
      <c r="H152" s="124">
        <v>170.67338156968921</v>
      </c>
    </row>
    <row r="153" spans="2:8" s="118" customFormat="1" ht="15.75" x14ac:dyDescent="0.2">
      <c r="B153" s="122" t="s">
        <v>125</v>
      </c>
      <c r="C153" s="123">
        <v>67</v>
      </c>
      <c r="D153" s="123">
        <v>67</v>
      </c>
      <c r="E153" s="123">
        <v>68.5</v>
      </c>
      <c r="F153" s="123">
        <v>68.5</v>
      </c>
      <c r="G153" s="123">
        <v>68.5</v>
      </c>
      <c r="H153" s="124">
        <v>68.5</v>
      </c>
    </row>
    <row r="154" spans="2:8" s="118" customFormat="1" ht="15.75" x14ac:dyDescent="0.2">
      <c r="B154" s="122" t="s">
        <v>126</v>
      </c>
      <c r="C154" s="123">
        <v>127.89978074921287</v>
      </c>
      <c r="D154" s="123">
        <v>128.41738463988224</v>
      </c>
      <c r="E154" s="123">
        <v>142.20873374067887</v>
      </c>
      <c r="F154" s="123">
        <v>145.19727964240784</v>
      </c>
      <c r="G154" s="123">
        <v>160.18728858550733</v>
      </c>
      <c r="H154" s="124">
        <v>160.16555133006167</v>
      </c>
    </row>
    <row r="155" spans="2:8" x14ac:dyDescent="0.2">
      <c r="B155" s="78"/>
      <c r="C155" s="81"/>
      <c r="D155" s="81"/>
      <c r="E155" s="81"/>
      <c r="F155" s="81"/>
      <c r="G155" s="81"/>
      <c r="H155" s="82"/>
    </row>
    <row r="156" spans="2:8" s="246" customFormat="1" ht="15.75" x14ac:dyDescent="0.2">
      <c r="B156" s="107" t="s">
        <v>127</v>
      </c>
      <c r="C156" s="120">
        <v>106.4</v>
      </c>
      <c r="D156" s="120">
        <v>107.09</v>
      </c>
      <c r="E156" s="120">
        <v>121.65</v>
      </c>
      <c r="F156" s="120">
        <v>125.03</v>
      </c>
      <c r="G156" s="120">
        <v>177.45000000000002</v>
      </c>
      <c r="H156" s="121">
        <v>131.34</v>
      </c>
    </row>
    <row r="157" spans="2:8" x14ac:dyDescent="0.2">
      <c r="B157" s="125" t="s">
        <v>128</v>
      </c>
      <c r="C157" s="126">
        <v>3.5</v>
      </c>
      <c r="D157" s="126">
        <v>3.5</v>
      </c>
      <c r="E157" s="126">
        <v>3.5</v>
      </c>
      <c r="F157" s="126">
        <v>3.5</v>
      </c>
      <c r="G157" s="126">
        <v>4.55</v>
      </c>
      <c r="H157" s="127">
        <v>3.85</v>
      </c>
    </row>
    <row r="158" spans="2:8" x14ac:dyDescent="0.2">
      <c r="B158" s="125" t="s">
        <v>129</v>
      </c>
      <c r="C158" s="126">
        <v>2.4</v>
      </c>
      <c r="D158" s="126">
        <v>2.4</v>
      </c>
      <c r="E158" s="126">
        <v>2.4</v>
      </c>
      <c r="F158" s="126">
        <v>2.4</v>
      </c>
      <c r="G158" s="126">
        <v>3.12</v>
      </c>
      <c r="H158" s="127">
        <v>2.64</v>
      </c>
    </row>
    <row r="159" spans="2:8" x14ac:dyDescent="0.2">
      <c r="B159" s="125" t="s">
        <v>130</v>
      </c>
      <c r="C159" s="126">
        <v>2.6</v>
      </c>
      <c r="D159" s="126">
        <v>2.6</v>
      </c>
      <c r="E159" s="126">
        <v>2.6</v>
      </c>
      <c r="F159" s="126">
        <v>2.6</v>
      </c>
      <c r="G159" s="126">
        <v>3.38</v>
      </c>
      <c r="H159" s="127">
        <v>2.86</v>
      </c>
    </row>
    <row r="160" spans="2:8" x14ac:dyDescent="0.2">
      <c r="B160" s="125" t="s">
        <v>131</v>
      </c>
      <c r="C160" s="126">
        <v>4.8</v>
      </c>
      <c r="D160" s="126">
        <v>4.8</v>
      </c>
      <c r="E160" s="126">
        <v>4.8</v>
      </c>
      <c r="F160" s="126">
        <v>4.8</v>
      </c>
      <c r="G160" s="126">
        <v>6.24</v>
      </c>
      <c r="H160" s="127">
        <v>5.28</v>
      </c>
    </row>
    <row r="161" spans="2:8" x14ac:dyDescent="0.2">
      <c r="B161" s="125" t="s">
        <v>132</v>
      </c>
      <c r="C161" s="126">
        <v>1</v>
      </c>
      <c r="D161" s="126">
        <v>1</v>
      </c>
      <c r="E161" s="126">
        <v>1</v>
      </c>
      <c r="F161" s="126">
        <v>1</v>
      </c>
      <c r="G161" s="126">
        <v>1.3</v>
      </c>
      <c r="H161" s="127">
        <v>1.1000000000000001</v>
      </c>
    </row>
    <row r="162" spans="2:8" x14ac:dyDescent="0.2">
      <c r="B162" s="125" t="s">
        <v>133</v>
      </c>
      <c r="C162" s="126">
        <v>0.54</v>
      </c>
      <c r="D162" s="126">
        <v>0.54</v>
      </c>
      <c r="E162" s="126">
        <v>0.54</v>
      </c>
      <c r="F162" s="126">
        <v>0.54</v>
      </c>
      <c r="G162" s="126">
        <v>0.7</v>
      </c>
      <c r="H162" s="127">
        <v>0.59</v>
      </c>
    </row>
    <row r="163" spans="2:8" x14ac:dyDescent="0.2">
      <c r="B163" s="125" t="s">
        <v>134</v>
      </c>
      <c r="C163" s="126">
        <v>0</v>
      </c>
      <c r="D163" s="126">
        <v>0</v>
      </c>
      <c r="E163" s="126">
        <v>0</v>
      </c>
      <c r="F163" s="126">
        <v>0</v>
      </c>
      <c r="G163" s="126">
        <v>0</v>
      </c>
      <c r="H163" s="127">
        <v>0</v>
      </c>
    </row>
    <row r="164" spans="2:8" x14ac:dyDescent="0.2">
      <c r="B164" s="125" t="s">
        <v>135</v>
      </c>
      <c r="C164" s="126">
        <v>1.54</v>
      </c>
      <c r="D164" s="126">
        <v>1.54</v>
      </c>
      <c r="E164" s="126">
        <v>1.54</v>
      </c>
      <c r="F164" s="126">
        <v>1.54</v>
      </c>
      <c r="G164" s="126">
        <v>2</v>
      </c>
      <c r="H164" s="127">
        <v>1.69</v>
      </c>
    </row>
    <row r="165" spans="2:8" x14ac:dyDescent="0.2">
      <c r="B165" s="125" t="s">
        <v>136</v>
      </c>
      <c r="C165" s="126">
        <v>1</v>
      </c>
      <c r="D165" s="126">
        <v>1</v>
      </c>
      <c r="E165" s="126">
        <v>1</v>
      </c>
      <c r="F165" s="126">
        <v>1</v>
      </c>
      <c r="G165" s="126">
        <v>1.3</v>
      </c>
      <c r="H165" s="127">
        <v>1.1000000000000001</v>
      </c>
    </row>
    <row r="166" spans="2:8" x14ac:dyDescent="0.2">
      <c r="B166" s="125" t="s">
        <v>137</v>
      </c>
      <c r="C166" s="126">
        <v>18.940000000000001</v>
      </c>
      <c r="D166" s="126">
        <v>18.940000000000001</v>
      </c>
      <c r="E166" s="126">
        <v>18.940000000000001</v>
      </c>
      <c r="F166" s="126">
        <v>18.940000000000001</v>
      </c>
      <c r="G166" s="126">
        <v>54.63</v>
      </c>
      <c r="H166" s="127">
        <v>18.940000000000001</v>
      </c>
    </row>
    <row r="167" spans="2:8" x14ac:dyDescent="0.2">
      <c r="B167" s="125" t="s">
        <v>138</v>
      </c>
      <c r="C167" s="126">
        <v>11</v>
      </c>
      <c r="D167" s="126">
        <v>11</v>
      </c>
      <c r="E167" s="126">
        <v>11</v>
      </c>
      <c r="F167" s="126">
        <v>11</v>
      </c>
      <c r="G167" s="126">
        <v>13.01</v>
      </c>
      <c r="H167" s="127">
        <v>11</v>
      </c>
    </row>
    <row r="168" spans="2:8" x14ac:dyDescent="0.2">
      <c r="B168" s="125" t="s">
        <v>139</v>
      </c>
      <c r="C168" s="126">
        <v>17.899999999999999</v>
      </c>
      <c r="D168" s="126">
        <v>17.899999999999999</v>
      </c>
      <c r="E168" s="126">
        <v>17.899999999999999</v>
      </c>
      <c r="F168" s="126">
        <v>17.899999999999999</v>
      </c>
      <c r="G168" s="126">
        <v>20</v>
      </c>
      <c r="H168" s="127">
        <v>17.899999999999999</v>
      </c>
    </row>
    <row r="169" spans="2:8" x14ac:dyDescent="0.2">
      <c r="B169" s="125" t="s">
        <v>140</v>
      </c>
      <c r="C169" s="126">
        <v>0</v>
      </c>
      <c r="D169" s="126">
        <v>0</v>
      </c>
      <c r="E169" s="126">
        <v>0</v>
      </c>
      <c r="F169" s="126">
        <v>0</v>
      </c>
      <c r="G169" s="126">
        <v>0</v>
      </c>
      <c r="H169" s="127">
        <v>0</v>
      </c>
    </row>
    <row r="170" spans="2:8" x14ac:dyDescent="0.2">
      <c r="B170" s="125" t="s">
        <v>141</v>
      </c>
      <c r="C170" s="126">
        <v>0.2</v>
      </c>
      <c r="D170" s="126">
        <v>0.2</v>
      </c>
      <c r="E170" s="126">
        <v>0.2</v>
      </c>
      <c r="F170" s="126">
        <v>1.2</v>
      </c>
      <c r="G170" s="126">
        <v>1.2</v>
      </c>
      <c r="H170" s="127">
        <v>1.2</v>
      </c>
    </row>
    <row r="171" spans="2:8" x14ac:dyDescent="0.2">
      <c r="B171" s="125" t="s">
        <v>409</v>
      </c>
      <c r="C171" s="126">
        <v>0.5</v>
      </c>
      <c r="D171" s="126">
        <v>0.5</v>
      </c>
      <c r="E171" s="126">
        <v>0.5</v>
      </c>
      <c r="F171" s="126">
        <v>0.5</v>
      </c>
      <c r="G171" s="126">
        <v>0.65</v>
      </c>
      <c r="H171" s="127">
        <v>0.55000000000000004</v>
      </c>
    </row>
    <row r="172" spans="2:8" x14ac:dyDescent="0.2">
      <c r="B172" s="125" t="s">
        <v>142</v>
      </c>
      <c r="C172" s="126">
        <v>1.1499999999999999</v>
      </c>
      <c r="D172" s="126">
        <v>1.1499999999999999</v>
      </c>
      <c r="E172" s="126">
        <v>5.45</v>
      </c>
      <c r="F172" s="126">
        <v>5.45</v>
      </c>
      <c r="G172" s="126">
        <v>5.45</v>
      </c>
      <c r="H172" s="127">
        <v>5.45</v>
      </c>
    </row>
    <row r="173" spans="2:8" x14ac:dyDescent="0.2">
      <c r="B173" s="125" t="s">
        <v>143</v>
      </c>
      <c r="C173" s="126">
        <v>0</v>
      </c>
      <c r="D173" s="126">
        <v>0</v>
      </c>
      <c r="E173" s="126">
        <v>7.24</v>
      </c>
      <c r="F173" s="126">
        <v>7.24</v>
      </c>
      <c r="G173" s="126">
        <v>7.24</v>
      </c>
      <c r="H173" s="127">
        <v>7.24</v>
      </c>
    </row>
    <row r="174" spans="2:8" x14ac:dyDescent="0.2">
      <c r="B174" s="125" t="s">
        <v>144</v>
      </c>
      <c r="C174" s="126">
        <v>1.1000000000000001</v>
      </c>
      <c r="D174" s="126">
        <v>1.1000000000000001</v>
      </c>
      <c r="E174" s="126">
        <v>1.1000000000000001</v>
      </c>
      <c r="F174" s="126">
        <v>1.1000000000000001</v>
      </c>
      <c r="G174" s="126">
        <v>1.43</v>
      </c>
      <c r="H174" s="127">
        <v>1.21</v>
      </c>
    </row>
    <row r="175" spans="2:8" x14ac:dyDescent="0.2">
      <c r="B175" s="125" t="s">
        <v>145</v>
      </c>
      <c r="C175" s="126">
        <v>6.5</v>
      </c>
      <c r="D175" s="126">
        <v>6.5</v>
      </c>
      <c r="E175" s="126">
        <v>6.5</v>
      </c>
      <c r="F175" s="126">
        <v>6.5</v>
      </c>
      <c r="G175" s="126">
        <v>6.5</v>
      </c>
      <c r="H175" s="127">
        <v>6.5</v>
      </c>
    </row>
    <row r="176" spans="2:8" x14ac:dyDescent="0.2">
      <c r="B176" s="125"/>
      <c r="C176" s="126"/>
      <c r="D176" s="126"/>
      <c r="E176" s="126"/>
      <c r="F176" s="126"/>
      <c r="G176" s="126"/>
      <c r="H176" s="127"/>
    </row>
    <row r="177" spans="2:165" x14ac:dyDescent="0.2">
      <c r="B177" s="125" t="s">
        <v>146</v>
      </c>
      <c r="C177" s="126">
        <v>2.2999999999999998</v>
      </c>
      <c r="D177" s="126">
        <v>2.36</v>
      </c>
      <c r="E177" s="126">
        <v>2.56</v>
      </c>
      <c r="F177" s="126">
        <v>2.75</v>
      </c>
      <c r="G177" s="126">
        <v>3.13</v>
      </c>
      <c r="H177" s="127">
        <v>3.11</v>
      </c>
    </row>
    <row r="178" spans="2:165" x14ac:dyDescent="0.2">
      <c r="B178" s="125" t="s">
        <v>147</v>
      </c>
      <c r="C178" s="126">
        <v>29.43</v>
      </c>
      <c r="D178" s="126">
        <v>30.06</v>
      </c>
      <c r="E178" s="126">
        <v>32.880000000000003</v>
      </c>
      <c r="F178" s="126">
        <v>35.07</v>
      </c>
      <c r="G178" s="126">
        <v>41.62</v>
      </c>
      <c r="H178" s="127">
        <v>39.130000000000003</v>
      </c>
    </row>
    <row r="179" spans="2:165" x14ac:dyDescent="0.2">
      <c r="B179" s="125"/>
      <c r="C179" s="128"/>
      <c r="D179" s="128"/>
      <c r="E179" s="128"/>
      <c r="F179" s="128"/>
      <c r="G179" s="128"/>
      <c r="H179" s="129"/>
    </row>
    <row r="180" spans="2:165" ht="15.75" x14ac:dyDescent="0.2">
      <c r="B180" s="107" t="s">
        <v>340</v>
      </c>
      <c r="C180" s="120">
        <v>43.260000000000005</v>
      </c>
      <c r="D180" s="120">
        <v>44.186799999999998</v>
      </c>
      <c r="E180" s="120">
        <v>48.333600000000011</v>
      </c>
      <c r="F180" s="120">
        <v>51.547300000000007</v>
      </c>
      <c r="G180" s="120">
        <v>61.174400000000006</v>
      </c>
      <c r="H180" s="121">
        <v>57.519700000000007</v>
      </c>
    </row>
    <row r="181" spans="2:165" x14ac:dyDescent="0.2">
      <c r="B181" s="125" t="s">
        <v>148</v>
      </c>
      <c r="C181" s="128">
        <v>35.812000000000005</v>
      </c>
      <c r="D181" s="128">
        <v>36.6905</v>
      </c>
      <c r="E181" s="128">
        <v>39.818100000000008</v>
      </c>
      <c r="F181" s="128">
        <v>42.795200000000008</v>
      </c>
      <c r="G181" s="128">
        <v>48.752900000000004</v>
      </c>
      <c r="H181" s="129">
        <v>48.325900000000004</v>
      </c>
    </row>
    <row r="182" spans="2:165" x14ac:dyDescent="0.2">
      <c r="B182" s="125" t="s">
        <v>149</v>
      </c>
      <c r="C182" s="128">
        <v>7.4480000000000013</v>
      </c>
      <c r="D182" s="128">
        <v>7.4963000000000006</v>
      </c>
      <c r="E182" s="128">
        <v>8.5155000000000012</v>
      </c>
      <c r="F182" s="128">
        <v>8.7521000000000004</v>
      </c>
      <c r="G182" s="128">
        <v>12.421500000000002</v>
      </c>
      <c r="H182" s="129">
        <v>9.1938000000000013</v>
      </c>
    </row>
    <row r="183" spans="2:165" hidden="1" x14ac:dyDescent="0.2">
      <c r="B183" s="125"/>
      <c r="C183" s="128"/>
      <c r="D183" s="128"/>
      <c r="E183" s="128"/>
      <c r="F183" s="128"/>
      <c r="G183" s="128"/>
      <c r="H183" s="129"/>
    </row>
    <row r="184" spans="2:165" x14ac:dyDescent="0.2">
      <c r="B184" s="85"/>
      <c r="C184" s="128"/>
      <c r="D184" s="128"/>
      <c r="E184" s="128"/>
      <c r="F184" s="128"/>
      <c r="G184" s="128"/>
      <c r="H184" s="129"/>
    </row>
    <row r="185" spans="2:165" ht="15.75" x14ac:dyDescent="0.2">
      <c r="B185" s="107" t="s">
        <v>150</v>
      </c>
      <c r="C185" s="132">
        <v>661.26</v>
      </c>
      <c r="D185" s="132">
        <v>675.42679999999996</v>
      </c>
      <c r="E185" s="132">
        <v>738.81360000000006</v>
      </c>
      <c r="F185" s="132">
        <v>787.93730000000005</v>
      </c>
      <c r="G185" s="132">
        <v>935.09440000000006</v>
      </c>
      <c r="H185" s="133">
        <v>879.22970000000009</v>
      </c>
      <c r="I185" s="247"/>
      <c r="J185" s="248"/>
      <c r="K185" s="247"/>
      <c r="L185" s="247"/>
      <c r="M185" s="247"/>
      <c r="N185" s="247"/>
      <c r="O185" s="247"/>
      <c r="P185" s="247"/>
      <c r="Q185" s="247"/>
      <c r="S185" s="248"/>
      <c r="T185" s="247"/>
      <c r="U185" s="247"/>
      <c r="V185" s="247"/>
      <c r="W185" s="247"/>
      <c r="X185" s="247"/>
      <c r="Y185" s="247"/>
      <c r="Z185" s="247"/>
      <c r="AB185" s="248"/>
      <c r="AC185" s="247"/>
      <c r="AD185" s="247"/>
      <c r="AE185" s="247"/>
      <c r="AF185" s="247"/>
      <c r="AG185" s="247"/>
      <c r="AH185" s="247"/>
      <c r="AI185" s="247"/>
      <c r="AK185" s="248"/>
      <c r="AL185" s="247"/>
      <c r="AM185" s="247"/>
      <c r="AN185" s="247"/>
      <c r="AO185" s="247"/>
      <c r="AP185" s="247"/>
      <c r="AQ185" s="247"/>
      <c r="AR185" s="247"/>
      <c r="AT185" s="248"/>
      <c r="AU185" s="247"/>
      <c r="AV185" s="247"/>
      <c r="AW185" s="247"/>
      <c r="AX185" s="247"/>
      <c r="AY185" s="247"/>
      <c r="AZ185" s="247"/>
      <c r="BA185" s="247"/>
      <c r="BC185" s="248"/>
      <c r="BD185" s="247"/>
      <c r="BE185" s="247"/>
      <c r="BF185" s="247"/>
      <c r="BG185" s="247"/>
      <c r="BH185" s="247"/>
      <c r="BI185" s="247"/>
      <c r="BJ185" s="247"/>
      <c r="BL185" s="248"/>
      <c r="BM185" s="247"/>
      <c r="BN185" s="247"/>
      <c r="BO185" s="247"/>
      <c r="BP185" s="247"/>
      <c r="BQ185" s="247"/>
      <c r="BR185" s="247"/>
      <c r="BS185" s="247"/>
      <c r="BU185" s="248"/>
      <c r="BV185" s="247"/>
      <c r="BW185" s="247"/>
      <c r="BX185" s="247"/>
      <c r="BY185" s="247"/>
      <c r="BZ185" s="247"/>
      <c r="CA185" s="247"/>
      <c r="CB185" s="247"/>
      <c r="CD185" s="248"/>
      <c r="CE185" s="247"/>
      <c r="CF185" s="247"/>
      <c r="CG185" s="247"/>
      <c r="CH185" s="247"/>
      <c r="CI185" s="247"/>
      <c r="CJ185" s="247"/>
      <c r="CK185" s="247"/>
      <c r="CM185" s="248"/>
      <c r="CN185" s="247"/>
      <c r="CO185" s="247"/>
      <c r="CP185" s="247"/>
      <c r="CQ185" s="247"/>
      <c r="CR185" s="247"/>
      <c r="CS185" s="247"/>
      <c r="CT185" s="247"/>
      <c r="CV185" s="248"/>
      <c r="CW185" s="247"/>
      <c r="CX185" s="247"/>
      <c r="CY185" s="247"/>
      <c r="CZ185" s="247"/>
      <c r="DA185" s="247"/>
      <c r="DB185" s="247"/>
      <c r="DC185" s="247"/>
      <c r="DE185" s="248"/>
      <c r="DF185" s="247"/>
      <c r="DG185" s="247"/>
      <c r="DH185" s="247"/>
      <c r="DI185" s="247"/>
      <c r="DJ185" s="247"/>
      <c r="DK185" s="247"/>
      <c r="DL185" s="247"/>
      <c r="DN185" s="248"/>
      <c r="DO185" s="247"/>
      <c r="DP185" s="247"/>
      <c r="DQ185" s="247"/>
      <c r="DR185" s="247"/>
      <c r="DS185" s="247"/>
      <c r="DT185" s="247"/>
      <c r="DU185" s="247"/>
      <c r="DW185" s="248"/>
      <c r="DX185" s="247"/>
      <c r="DY185" s="247"/>
      <c r="DZ185" s="247"/>
      <c r="EA185" s="247"/>
      <c r="EB185" s="247"/>
      <c r="EC185" s="247"/>
      <c r="ED185" s="247"/>
      <c r="EF185" s="248"/>
      <c r="EG185" s="247"/>
      <c r="EH185" s="247"/>
      <c r="EI185" s="247"/>
      <c r="EJ185" s="247"/>
      <c r="EK185" s="247"/>
      <c r="EL185" s="247"/>
      <c r="EM185" s="247"/>
      <c r="EO185" s="248"/>
      <c r="EP185" s="247"/>
      <c r="EQ185" s="247"/>
      <c r="ER185" s="247"/>
      <c r="ES185" s="247"/>
      <c r="ET185" s="247"/>
      <c r="EU185" s="247"/>
      <c r="EV185" s="247"/>
      <c r="EX185" s="248"/>
      <c r="EY185" s="247"/>
      <c r="EZ185" s="247"/>
      <c r="FA185" s="247"/>
      <c r="FB185" s="247"/>
      <c r="FC185" s="247"/>
      <c r="FD185" s="247"/>
      <c r="FE185" s="247"/>
      <c r="FG185" s="248"/>
      <c r="FH185" s="247"/>
      <c r="FI185" s="247"/>
    </row>
    <row r="186" spans="2:165" x14ac:dyDescent="0.2">
      <c r="B186" s="85"/>
      <c r="C186" s="134"/>
      <c r="D186" s="134"/>
      <c r="E186" s="134"/>
      <c r="F186" s="134"/>
      <c r="G186" s="134"/>
      <c r="H186" s="135"/>
    </row>
    <row r="187" spans="2:165" ht="15.75" x14ac:dyDescent="0.2">
      <c r="B187" s="107" t="s">
        <v>352</v>
      </c>
      <c r="C187" s="132">
        <v>1030</v>
      </c>
      <c r="D187" s="132">
        <v>1050</v>
      </c>
      <c r="E187" s="132">
        <v>1140</v>
      </c>
      <c r="F187" s="132">
        <v>1220</v>
      </c>
      <c r="G187" s="132">
        <v>1390</v>
      </c>
      <c r="H187" s="133">
        <v>1370</v>
      </c>
    </row>
    <row r="188" spans="2:165" ht="15.75" x14ac:dyDescent="0.2">
      <c r="B188" s="107" t="s">
        <v>353</v>
      </c>
      <c r="C188" s="132">
        <v>1340</v>
      </c>
      <c r="D188" s="132">
        <v>1350</v>
      </c>
      <c r="E188" s="132">
        <v>1480</v>
      </c>
      <c r="F188" s="132">
        <v>1570</v>
      </c>
      <c r="G188" s="132">
        <v>1860</v>
      </c>
      <c r="H188" s="133">
        <v>1750</v>
      </c>
      <c r="I188" s="247"/>
      <c r="J188" s="248"/>
      <c r="K188" s="247"/>
      <c r="L188" s="247"/>
      <c r="M188" s="247"/>
      <c r="N188" s="247"/>
      <c r="O188" s="247"/>
      <c r="P188" s="247"/>
      <c r="Q188" s="247"/>
      <c r="S188" s="248"/>
      <c r="T188" s="247"/>
      <c r="U188" s="247"/>
      <c r="V188" s="247"/>
      <c r="W188" s="247"/>
      <c r="X188" s="247"/>
      <c r="Y188" s="247"/>
      <c r="Z188" s="247"/>
      <c r="AB188" s="248"/>
      <c r="AC188" s="247"/>
      <c r="AD188" s="247"/>
      <c r="AE188" s="247"/>
      <c r="AF188" s="247"/>
      <c r="AG188" s="247"/>
      <c r="AH188" s="247"/>
      <c r="AI188" s="247"/>
      <c r="AK188" s="248"/>
      <c r="AL188" s="247"/>
      <c r="AM188" s="247"/>
      <c r="AN188" s="247"/>
      <c r="AO188" s="247"/>
      <c r="AP188" s="247"/>
      <c r="AQ188" s="247"/>
      <c r="AR188" s="247"/>
      <c r="AT188" s="248"/>
      <c r="AU188" s="247"/>
      <c r="AV188" s="247"/>
      <c r="AW188" s="247"/>
      <c r="AX188" s="247"/>
      <c r="AY188" s="247"/>
      <c r="AZ188" s="247"/>
      <c r="BA188" s="247"/>
      <c r="BC188" s="248"/>
      <c r="BD188" s="247"/>
      <c r="BE188" s="247"/>
      <c r="BF188" s="247"/>
      <c r="BG188" s="247"/>
      <c r="BH188" s="247"/>
      <c r="BI188" s="247"/>
      <c r="BJ188" s="247"/>
      <c r="BL188" s="248"/>
      <c r="BM188" s="247"/>
      <c r="BN188" s="247"/>
      <c r="BO188" s="247"/>
      <c r="BP188" s="247"/>
      <c r="BQ188" s="247"/>
      <c r="BR188" s="247"/>
      <c r="BS188" s="247"/>
      <c r="BU188" s="248"/>
      <c r="BV188" s="247"/>
      <c r="BW188" s="247"/>
      <c r="BX188" s="247"/>
      <c r="BY188" s="247"/>
      <c r="BZ188" s="247"/>
      <c r="CA188" s="247"/>
      <c r="CB188" s="247"/>
      <c r="CD188" s="248"/>
      <c r="CE188" s="247"/>
      <c r="CF188" s="247"/>
      <c r="CG188" s="247"/>
      <c r="CH188" s="247"/>
      <c r="CI188" s="247"/>
      <c r="CJ188" s="247"/>
      <c r="CK188" s="247"/>
      <c r="CM188" s="248"/>
      <c r="CN188" s="247"/>
      <c r="CO188" s="247"/>
      <c r="CP188" s="247"/>
      <c r="CQ188" s="247"/>
      <c r="CR188" s="247"/>
      <c r="CS188" s="247"/>
      <c r="CT188" s="247"/>
      <c r="CV188" s="248"/>
      <c r="CW188" s="247"/>
      <c r="CX188" s="247"/>
      <c r="CY188" s="247"/>
      <c r="CZ188" s="247"/>
      <c r="DA188" s="247"/>
      <c r="DB188" s="247"/>
      <c r="DC188" s="247"/>
      <c r="DE188" s="248"/>
      <c r="DF188" s="247"/>
      <c r="DG188" s="247"/>
      <c r="DH188" s="247"/>
      <c r="DI188" s="247"/>
      <c r="DJ188" s="247"/>
      <c r="DK188" s="247"/>
      <c r="DL188" s="247"/>
      <c r="DN188" s="248"/>
      <c r="DO188" s="247"/>
      <c r="DP188" s="247"/>
      <c r="DQ188" s="247"/>
      <c r="DR188" s="247"/>
      <c r="DS188" s="247"/>
      <c r="DT188" s="247"/>
      <c r="DU188" s="247"/>
      <c r="DW188" s="248"/>
      <c r="DX188" s="247"/>
      <c r="DY188" s="247"/>
      <c r="DZ188" s="247"/>
      <c r="EA188" s="247"/>
      <c r="EB188" s="247"/>
      <c r="EC188" s="247"/>
      <c r="ED188" s="247"/>
      <c r="EF188" s="248"/>
      <c r="EG188" s="247"/>
      <c r="EH188" s="247"/>
      <c r="EI188" s="247"/>
      <c r="EJ188" s="247"/>
      <c r="EK188" s="247"/>
      <c r="EL188" s="247"/>
      <c r="EM188" s="247"/>
      <c r="EO188" s="248"/>
      <c r="EP188" s="247"/>
      <c r="EQ188" s="247"/>
      <c r="ER188" s="247"/>
      <c r="ES188" s="247"/>
      <c r="ET188" s="247"/>
      <c r="EU188" s="247"/>
      <c r="EV188" s="247"/>
      <c r="EX188" s="248"/>
      <c r="EY188" s="247"/>
      <c r="EZ188" s="247"/>
      <c r="FA188" s="247"/>
      <c r="FB188" s="247"/>
      <c r="FC188" s="247"/>
      <c r="FD188" s="247"/>
      <c r="FE188" s="247"/>
      <c r="FG188" s="248"/>
      <c r="FH188" s="247"/>
      <c r="FI188" s="247"/>
    </row>
    <row r="189" spans="2:165" ht="15.75" x14ac:dyDescent="0.2">
      <c r="B189" s="107"/>
      <c r="C189" s="249"/>
      <c r="D189" s="249"/>
      <c r="E189" s="249"/>
      <c r="F189" s="249"/>
      <c r="G189" s="249"/>
      <c r="H189" s="250"/>
      <c r="I189" s="247"/>
      <c r="J189" s="248"/>
      <c r="K189" s="247"/>
      <c r="L189" s="247"/>
      <c r="M189" s="247"/>
      <c r="N189" s="247"/>
      <c r="O189" s="247"/>
      <c r="P189" s="247"/>
      <c r="Q189" s="247"/>
      <c r="S189" s="248"/>
      <c r="T189" s="247"/>
      <c r="U189" s="247"/>
      <c r="V189" s="247"/>
      <c r="W189" s="247"/>
      <c r="X189" s="247"/>
      <c r="Y189" s="247"/>
      <c r="Z189" s="247"/>
      <c r="AB189" s="248"/>
      <c r="AC189" s="247"/>
      <c r="AD189" s="247"/>
      <c r="AE189" s="247"/>
      <c r="AF189" s="247"/>
      <c r="AG189" s="247"/>
      <c r="AH189" s="247"/>
      <c r="AI189" s="247"/>
      <c r="AK189" s="248"/>
      <c r="AL189" s="247"/>
      <c r="AM189" s="247"/>
      <c r="AN189" s="247"/>
      <c r="AO189" s="247"/>
      <c r="AP189" s="247"/>
      <c r="AQ189" s="247"/>
      <c r="AR189" s="247"/>
      <c r="AT189" s="248"/>
      <c r="AU189" s="247"/>
      <c r="AV189" s="247"/>
      <c r="AW189" s="247"/>
      <c r="AX189" s="247"/>
      <c r="AY189" s="247"/>
      <c r="AZ189" s="247"/>
      <c r="BA189" s="247"/>
      <c r="BC189" s="248"/>
      <c r="BD189" s="247"/>
      <c r="BE189" s="247"/>
      <c r="BF189" s="247"/>
      <c r="BG189" s="247"/>
      <c r="BH189" s="247"/>
      <c r="BI189" s="247"/>
      <c r="BJ189" s="247"/>
      <c r="BL189" s="248"/>
      <c r="BM189" s="247"/>
      <c r="BN189" s="247"/>
      <c r="BO189" s="247"/>
      <c r="BP189" s="247"/>
      <c r="BQ189" s="247"/>
      <c r="BR189" s="247"/>
      <c r="BS189" s="247"/>
      <c r="BU189" s="248"/>
      <c r="BV189" s="247"/>
      <c r="BW189" s="247"/>
      <c r="BX189" s="247"/>
      <c r="BY189" s="247"/>
      <c r="BZ189" s="247"/>
      <c r="CA189" s="247"/>
      <c r="CB189" s="247"/>
      <c r="CD189" s="248"/>
      <c r="CE189" s="247"/>
      <c r="CF189" s="247"/>
      <c r="CG189" s="247"/>
      <c r="CH189" s="247"/>
      <c r="CI189" s="247"/>
      <c r="CJ189" s="247"/>
      <c r="CK189" s="247"/>
      <c r="CM189" s="248"/>
      <c r="CN189" s="247"/>
      <c r="CO189" s="247"/>
      <c r="CP189" s="247"/>
      <c r="CQ189" s="247"/>
      <c r="CR189" s="247"/>
      <c r="CS189" s="247"/>
      <c r="CT189" s="247"/>
      <c r="CV189" s="248"/>
      <c r="CW189" s="247"/>
      <c r="CX189" s="247"/>
      <c r="CY189" s="247"/>
      <c r="CZ189" s="247"/>
      <c r="DA189" s="247"/>
      <c r="DB189" s="247"/>
      <c r="DC189" s="247"/>
      <c r="DE189" s="248"/>
      <c r="DF189" s="247"/>
      <c r="DG189" s="247"/>
      <c r="DH189" s="247"/>
      <c r="DI189" s="247"/>
      <c r="DJ189" s="247"/>
      <c r="DK189" s="247"/>
      <c r="DL189" s="247"/>
      <c r="DN189" s="248"/>
      <c r="DO189" s="247"/>
      <c r="DP189" s="247"/>
      <c r="DQ189" s="247"/>
      <c r="DR189" s="247"/>
      <c r="DS189" s="247"/>
      <c r="DT189" s="247"/>
      <c r="DU189" s="247"/>
      <c r="DW189" s="248"/>
      <c r="DX189" s="247"/>
      <c r="DY189" s="247"/>
      <c r="DZ189" s="247"/>
      <c r="EA189" s="247"/>
      <c r="EB189" s="247"/>
      <c r="EC189" s="247"/>
      <c r="ED189" s="247"/>
      <c r="EF189" s="248"/>
      <c r="EG189" s="247"/>
      <c r="EH189" s="247"/>
      <c r="EI189" s="247"/>
      <c r="EJ189" s="247"/>
      <c r="EK189" s="247"/>
      <c r="EL189" s="247"/>
      <c r="EM189" s="247"/>
      <c r="EO189" s="248"/>
      <c r="EP189" s="247"/>
      <c r="EQ189" s="247"/>
      <c r="ER189" s="247"/>
      <c r="ES189" s="247"/>
      <c r="ET189" s="247"/>
      <c r="EU189" s="247"/>
      <c r="EV189" s="247"/>
      <c r="EX189" s="248"/>
      <c r="EY189" s="247"/>
      <c r="EZ189" s="247"/>
      <c r="FA189" s="247"/>
      <c r="FB189" s="247"/>
      <c r="FC189" s="247"/>
      <c r="FD189" s="247"/>
      <c r="FE189" s="247"/>
      <c r="FG189" s="248"/>
      <c r="FH189" s="247"/>
      <c r="FI189" s="247"/>
    </row>
    <row r="190" spans="2:165" ht="15.75" x14ac:dyDescent="0.2">
      <c r="B190" s="107" t="s">
        <v>354</v>
      </c>
      <c r="C190" s="132">
        <v>850</v>
      </c>
      <c r="D190" s="132">
        <v>870</v>
      </c>
      <c r="E190" s="132">
        <v>940</v>
      </c>
      <c r="F190" s="132">
        <v>1010</v>
      </c>
      <c r="G190" s="132">
        <v>1150</v>
      </c>
      <c r="H190" s="133">
        <v>1130</v>
      </c>
    </row>
    <row r="191" spans="2:165" ht="15.75" x14ac:dyDescent="0.2">
      <c r="B191" s="107" t="s">
        <v>355</v>
      </c>
      <c r="C191" s="132">
        <v>1100</v>
      </c>
      <c r="D191" s="132">
        <v>1120</v>
      </c>
      <c r="E191" s="132">
        <v>1220</v>
      </c>
      <c r="F191" s="132">
        <v>1300</v>
      </c>
      <c r="G191" s="132">
        <v>1550</v>
      </c>
      <c r="H191" s="133">
        <v>1440</v>
      </c>
      <c r="I191" s="247"/>
      <c r="J191" s="248"/>
      <c r="K191" s="247"/>
      <c r="L191" s="247"/>
      <c r="M191" s="247"/>
      <c r="N191" s="247"/>
      <c r="O191" s="247"/>
      <c r="P191" s="247"/>
      <c r="Q191" s="247"/>
      <c r="S191" s="248"/>
      <c r="T191" s="247"/>
      <c r="U191" s="247"/>
      <c r="V191" s="247"/>
      <c r="W191" s="247"/>
      <c r="X191" s="247"/>
      <c r="Y191" s="247"/>
      <c r="Z191" s="247"/>
      <c r="AB191" s="248"/>
      <c r="AC191" s="247"/>
      <c r="AD191" s="247"/>
      <c r="AE191" s="247"/>
      <c r="AF191" s="247"/>
      <c r="AG191" s="247"/>
      <c r="AH191" s="247"/>
      <c r="AI191" s="247"/>
      <c r="AK191" s="248"/>
      <c r="AL191" s="247"/>
      <c r="AM191" s="247"/>
      <c r="AN191" s="247"/>
      <c r="AO191" s="247"/>
      <c r="AP191" s="247"/>
      <c r="AQ191" s="247"/>
      <c r="AR191" s="247"/>
      <c r="AT191" s="248"/>
      <c r="AU191" s="247"/>
      <c r="AV191" s="247"/>
      <c r="AW191" s="247"/>
      <c r="AX191" s="247"/>
      <c r="AY191" s="247"/>
      <c r="AZ191" s="247"/>
      <c r="BA191" s="247"/>
      <c r="BC191" s="248"/>
      <c r="BD191" s="247"/>
      <c r="BE191" s="247"/>
      <c r="BF191" s="247"/>
      <c r="BG191" s="247"/>
      <c r="BH191" s="247"/>
      <c r="BI191" s="247"/>
      <c r="BJ191" s="247"/>
      <c r="BL191" s="248"/>
      <c r="BM191" s="247"/>
      <c r="BN191" s="247"/>
      <c r="BO191" s="247"/>
      <c r="BP191" s="247"/>
      <c r="BQ191" s="247"/>
      <c r="BR191" s="247"/>
      <c r="BS191" s="247"/>
      <c r="BU191" s="248"/>
      <c r="BV191" s="247"/>
      <c r="BW191" s="247"/>
      <c r="BX191" s="247"/>
      <c r="BY191" s="247"/>
      <c r="BZ191" s="247"/>
      <c r="CA191" s="247"/>
      <c r="CB191" s="247"/>
      <c r="CD191" s="248"/>
      <c r="CE191" s="247"/>
      <c r="CF191" s="247"/>
      <c r="CG191" s="247"/>
      <c r="CH191" s="247"/>
      <c r="CI191" s="247"/>
      <c r="CJ191" s="247"/>
      <c r="CK191" s="247"/>
      <c r="CM191" s="248"/>
      <c r="CN191" s="247"/>
      <c r="CO191" s="247"/>
      <c r="CP191" s="247"/>
      <c r="CQ191" s="247"/>
      <c r="CR191" s="247"/>
      <c r="CS191" s="247"/>
      <c r="CT191" s="247"/>
      <c r="CV191" s="248"/>
      <c r="CW191" s="247"/>
      <c r="CX191" s="247"/>
      <c r="CY191" s="247"/>
      <c r="CZ191" s="247"/>
      <c r="DA191" s="247"/>
      <c r="DB191" s="247"/>
      <c r="DC191" s="247"/>
      <c r="DE191" s="248"/>
      <c r="DF191" s="247"/>
      <c r="DG191" s="247"/>
      <c r="DH191" s="247"/>
      <c r="DI191" s="247"/>
      <c r="DJ191" s="247"/>
      <c r="DK191" s="247"/>
      <c r="DL191" s="247"/>
      <c r="DN191" s="248"/>
      <c r="DO191" s="247"/>
      <c r="DP191" s="247"/>
      <c r="DQ191" s="247"/>
      <c r="DR191" s="247"/>
      <c r="DS191" s="247"/>
      <c r="DT191" s="247"/>
      <c r="DU191" s="247"/>
      <c r="DW191" s="248"/>
      <c r="DX191" s="247"/>
      <c r="DY191" s="247"/>
      <c r="DZ191" s="247"/>
      <c r="EA191" s="247"/>
      <c r="EB191" s="247"/>
      <c r="EC191" s="247"/>
      <c r="ED191" s="247"/>
      <c r="EF191" s="248"/>
      <c r="EG191" s="247"/>
      <c r="EH191" s="247"/>
      <c r="EI191" s="247"/>
      <c r="EJ191" s="247"/>
      <c r="EK191" s="247"/>
      <c r="EL191" s="247"/>
      <c r="EM191" s="247"/>
      <c r="EO191" s="248"/>
      <c r="EP191" s="247"/>
      <c r="EQ191" s="247"/>
      <c r="ER191" s="247"/>
      <c r="ES191" s="247"/>
      <c r="ET191" s="247"/>
      <c r="EU191" s="247"/>
      <c r="EV191" s="247"/>
      <c r="EX191" s="248"/>
      <c r="EY191" s="247"/>
      <c r="EZ191" s="247"/>
      <c r="FA191" s="247"/>
      <c r="FB191" s="247"/>
      <c r="FC191" s="247"/>
      <c r="FD191" s="247"/>
      <c r="FE191" s="247"/>
      <c r="FG191" s="248"/>
      <c r="FH191" s="247"/>
      <c r="FI191" s="247"/>
    </row>
    <row r="192" spans="2:165" x14ac:dyDescent="0.2">
      <c r="B192" s="85"/>
      <c r="C192" s="251"/>
      <c r="D192" s="251"/>
      <c r="E192" s="251"/>
      <c r="F192" s="251"/>
      <c r="G192" s="251"/>
      <c r="H192" s="252"/>
      <c r="I192" s="247"/>
      <c r="J192" s="248"/>
      <c r="K192" s="247"/>
      <c r="L192" s="247"/>
      <c r="M192" s="247"/>
      <c r="N192" s="247"/>
      <c r="O192" s="247"/>
      <c r="P192" s="247"/>
      <c r="Q192" s="247"/>
      <c r="S192" s="248"/>
      <c r="T192" s="247"/>
      <c r="U192" s="247"/>
      <c r="V192" s="247"/>
      <c r="W192" s="247"/>
      <c r="X192" s="247"/>
      <c r="Y192" s="247"/>
      <c r="Z192" s="247"/>
      <c r="AB192" s="248"/>
      <c r="AC192" s="247"/>
      <c r="AD192" s="247"/>
      <c r="AE192" s="247"/>
      <c r="AF192" s="247"/>
      <c r="AG192" s="247"/>
      <c r="AH192" s="247"/>
      <c r="AI192" s="247"/>
      <c r="AK192" s="248"/>
      <c r="AL192" s="247"/>
      <c r="AM192" s="247"/>
      <c r="AN192" s="247"/>
      <c r="AO192" s="247"/>
      <c r="AP192" s="247"/>
      <c r="AQ192" s="247"/>
      <c r="AR192" s="247"/>
      <c r="AT192" s="248"/>
      <c r="AU192" s="247"/>
      <c r="AV192" s="247"/>
      <c r="AW192" s="247"/>
      <c r="AX192" s="247"/>
      <c r="AY192" s="247"/>
      <c r="AZ192" s="247"/>
      <c r="BA192" s="247"/>
      <c r="BC192" s="248"/>
      <c r="BD192" s="247"/>
      <c r="BE192" s="247"/>
      <c r="BF192" s="247"/>
      <c r="BG192" s="247"/>
      <c r="BH192" s="247"/>
      <c r="BI192" s="247"/>
      <c r="BJ192" s="247"/>
      <c r="BL192" s="248"/>
      <c r="BM192" s="247"/>
      <c r="BN192" s="247"/>
      <c r="BO192" s="247"/>
      <c r="BP192" s="247"/>
      <c r="BQ192" s="247"/>
      <c r="BR192" s="247"/>
      <c r="BS192" s="247"/>
      <c r="BU192" s="248"/>
      <c r="BV192" s="247"/>
      <c r="BW192" s="247"/>
      <c r="BX192" s="247"/>
      <c r="BY192" s="247"/>
      <c r="BZ192" s="247"/>
      <c r="CA192" s="247"/>
      <c r="CB192" s="247"/>
      <c r="CD192" s="248"/>
      <c r="CE192" s="247"/>
      <c r="CF192" s="247"/>
      <c r="CG192" s="247"/>
      <c r="CH192" s="247"/>
      <c r="CI192" s="247"/>
      <c r="CJ192" s="247"/>
      <c r="CK192" s="247"/>
      <c r="CM192" s="248"/>
      <c r="CN192" s="247"/>
      <c r="CO192" s="247"/>
      <c r="CP192" s="247"/>
      <c r="CQ192" s="247"/>
      <c r="CR192" s="247"/>
      <c r="CS192" s="247"/>
      <c r="CT192" s="247"/>
      <c r="CV192" s="248"/>
      <c r="CW192" s="247"/>
      <c r="CX192" s="247"/>
      <c r="CY192" s="247"/>
      <c r="CZ192" s="247"/>
      <c r="DA192" s="247"/>
      <c r="DB192" s="247"/>
      <c r="DC192" s="247"/>
      <c r="DE192" s="248"/>
      <c r="DF192" s="247"/>
      <c r="DG192" s="247"/>
      <c r="DH192" s="247"/>
      <c r="DI192" s="247"/>
      <c r="DJ192" s="247"/>
      <c r="DK192" s="247"/>
      <c r="DL192" s="247"/>
      <c r="DN192" s="248"/>
      <c r="DO192" s="247"/>
      <c r="DP192" s="247"/>
      <c r="DQ192" s="247"/>
      <c r="DR192" s="247"/>
      <c r="DS192" s="247"/>
      <c r="DT192" s="247"/>
      <c r="DU192" s="247"/>
      <c r="DW192" s="248"/>
      <c r="DX192" s="247"/>
      <c r="DY192" s="247"/>
      <c r="DZ192" s="247"/>
      <c r="EA192" s="247"/>
      <c r="EB192" s="247"/>
      <c r="EC192" s="247"/>
      <c r="ED192" s="247"/>
      <c r="EF192" s="248"/>
      <c r="EG192" s="247"/>
      <c r="EH192" s="247"/>
      <c r="EI192" s="247"/>
      <c r="EJ192" s="247"/>
      <c r="EK192" s="247"/>
      <c r="EL192" s="247"/>
      <c r="EM192" s="247"/>
      <c r="EO192" s="248"/>
      <c r="EP192" s="247"/>
      <c r="EQ192" s="247"/>
      <c r="ER192" s="247"/>
      <c r="ES192" s="247"/>
      <c r="ET192" s="247"/>
      <c r="EU192" s="247"/>
      <c r="EV192" s="247"/>
      <c r="EX192" s="248"/>
      <c r="EY192" s="247"/>
      <c r="EZ192" s="247"/>
      <c r="FA192" s="247"/>
      <c r="FB192" s="247"/>
      <c r="FC192" s="247"/>
      <c r="FD192" s="247"/>
      <c r="FE192" s="247"/>
      <c r="FG192" s="248"/>
      <c r="FH192" s="247"/>
      <c r="FI192" s="247"/>
    </row>
    <row r="193" spans="2:165" ht="15.75" x14ac:dyDescent="0.2">
      <c r="B193" s="107" t="s">
        <v>248</v>
      </c>
      <c r="C193" s="251"/>
      <c r="D193" s="251"/>
      <c r="E193" s="251"/>
      <c r="F193" s="251"/>
      <c r="G193" s="251"/>
      <c r="H193" s="252"/>
      <c r="I193" s="247"/>
      <c r="J193" s="248"/>
      <c r="K193" s="247"/>
      <c r="L193" s="247"/>
      <c r="M193" s="247"/>
      <c r="N193" s="247"/>
      <c r="O193" s="247"/>
      <c r="P193" s="247"/>
      <c r="Q193" s="247"/>
      <c r="S193" s="248"/>
      <c r="T193" s="247"/>
      <c r="U193" s="247"/>
      <c r="V193" s="247"/>
      <c r="W193" s="247"/>
      <c r="X193" s="247"/>
      <c r="Y193" s="247"/>
      <c r="Z193" s="247"/>
      <c r="AB193" s="248"/>
      <c r="AC193" s="247"/>
      <c r="AD193" s="247"/>
      <c r="AE193" s="247"/>
      <c r="AF193" s="247"/>
      <c r="AG193" s="247"/>
      <c r="AH193" s="247"/>
      <c r="AI193" s="247"/>
      <c r="AK193" s="248"/>
      <c r="AL193" s="247"/>
      <c r="AM193" s="247"/>
      <c r="AN193" s="247"/>
      <c r="AO193" s="247"/>
      <c r="AP193" s="247"/>
      <c r="AQ193" s="247"/>
      <c r="AR193" s="247"/>
      <c r="AT193" s="248"/>
      <c r="AU193" s="247"/>
      <c r="AV193" s="247"/>
      <c r="AW193" s="247"/>
      <c r="AX193" s="247"/>
      <c r="AY193" s="247"/>
      <c r="AZ193" s="247"/>
      <c r="BA193" s="247"/>
      <c r="BC193" s="248"/>
      <c r="BD193" s="247"/>
      <c r="BE193" s="247"/>
      <c r="BF193" s="247"/>
      <c r="BG193" s="247"/>
      <c r="BH193" s="247"/>
      <c r="BI193" s="247"/>
      <c r="BJ193" s="247"/>
      <c r="BL193" s="248"/>
      <c r="BM193" s="247"/>
      <c r="BN193" s="247"/>
      <c r="BO193" s="247"/>
      <c r="BP193" s="247"/>
      <c r="BQ193" s="247"/>
      <c r="BR193" s="247"/>
      <c r="BS193" s="247"/>
      <c r="BU193" s="248"/>
      <c r="BV193" s="247"/>
      <c r="BW193" s="247"/>
      <c r="BX193" s="247"/>
      <c r="BY193" s="247"/>
      <c r="BZ193" s="247"/>
      <c r="CA193" s="247"/>
      <c r="CB193" s="247"/>
      <c r="CD193" s="248"/>
      <c r="CE193" s="247"/>
      <c r="CF193" s="247"/>
      <c r="CG193" s="247"/>
      <c r="CH193" s="247"/>
      <c r="CI193" s="247"/>
      <c r="CJ193" s="247"/>
      <c r="CK193" s="247"/>
      <c r="CM193" s="248"/>
      <c r="CN193" s="247"/>
      <c r="CO193" s="247"/>
      <c r="CP193" s="247"/>
      <c r="CQ193" s="247"/>
      <c r="CR193" s="247"/>
      <c r="CS193" s="247"/>
      <c r="CT193" s="247"/>
      <c r="CV193" s="248"/>
      <c r="CW193" s="247"/>
      <c r="CX193" s="247"/>
      <c r="CY193" s="247"/>
      <c r="CZ193" s="247"/>
      <c r="DA193" s="247"/>
      <c r="DB193" s="247"/>
      <c r="DC193" s="247"/>
      <c r="DE193" s="248"/>
      <c r="DF193" s="247"/>
      <c r="DG193" s="247"/>
      <c r="DH193" s="247"/>
      <c r="DI193" s="247"/>
      <c r="DJ193" s="247"/>
      <c r="DK193" s="247"/>
      <c r="DL193" s="247"/>
      <c r="DN193" s="248"/>
      <c r="DO193" s="247"/>
      <c r="DP193" s="247"/>
      <c r="DQ193" s="247"/>
      <c r="DR193" s="247"/>
      <c r="DS193" s="247"/>
      <c r="DT193" s="247"/>
      <c r="DU193" s="247"/>
      <c r="DW193" s="248"/>
      <c r="DX193" s="247"/>
      <c r="DY193" s="247"/>
      <c r="DZ193" s="247"/>
      <c r="EA193" s="247"/>
      <c r="EB193" s="247"/>
      <c r="EC193" s="247"/>
      <c r="ED193" s="247"/>
      <c r="EF193" s="248"/>
      <c r="EG193" s="247"/>
      <c r="EH193" s="247"/>
      <c r="EI193" s="247"/>
      <c r="EJ193" s="247"/>
      <c r="EK193" s="247"/>
      <c r="EL193" s="247"/>
      <c r="EM193" s="247"/>
      <c r="EO193" s="248"/>
      <c r="EP193" s="247"/>
      <c r="EQ193" s="247"/>
      <c r="ER193" s="247"/>
      <c r="ES193" s="247"/>
      <c r="ET193" s="247"/>
      <c r="EU193" s="247"/>
      <c r="EV193" s="247"/>
      <c r="EX193" s="248"/>
      <c r="EY193" s="247"/>
      <c r="EZ193" s="247"/>
      <c r="FA193" s="247"/>
      <c r="FB193" s="247"/>
      <c r="FC193" s="247"/>
      <c r="FD193" s="247"/>
      <c r="FE193" s="247"/>
      <c r="FG193" s="248"/>
      <c r="FH193" s="247"/>
      <c r="FI193" s="247"/>
    </row>
    <row r="194" spans="2:165" x14ac:dyDescent="0.2">
      <c r="B194" s="78" t="s">
        <v>154</v>
      </c>
      <c r="C194" s="253">
        <v>2.8285714285714287</v>
      </c>
      <c r="D194" s="253">
        <v>3.1428571428571428</v>
      </c>
      <c r="E194" s="253">
        <v>4.0857142857142854</v>
      </c>
      <c r="F194" s="253">
        <v>4.0857142857142854</v>
      </c>
      <c r="G194" s="253">
        <v>5.3428571428571425</v>
      </c>
      <c r="H194" s="254">
        <v>4.7142857142857144</v>
      </c>
      <c r="I194" s="247"/>
      <c r="J194" s="248"/>
      <c r="K194" s="247"/>
      <c r="L194" s="247"/>
      <c r="M194" s="247"/>
      <c r="N194" s="247"/>
      <c r="O194" s="247"/>
      <c r="P194" s="247"/>
      <c r="Q194" s="247"/>
      <c r="S194" s="248"/>
      <c r="T194" s="247"/>
      <c r="U194" s="247"/>
      <c r="V194" s="247"/>
      <c r="W194" s="247"/>
      <c r="X194" s="247"/>
      <c r="Y194" s="247"/>
      <c r="Z194" s="247"/>
      <c r="AB194" s="248"/>
      <c r="AC194" s="247"/>
      <c r="AD194" s="247"/>
      <c r="AE194" s="247"/>
      <c r="AF194" s="247"/>
      <c r="AG194" s="247"/>
      <c r="AH194" s="247"/>
      <c r="AI194" s="247"/>
      <c r="AK194" s="248"/>
      <c r="AL194" s="247"/>
      <c r="AM194" s="247"/>
      <c r="AN194" s="247"/>
      <c r="AO194" s="247"/>
      <c r="AP194" s="247"/>
      <c r="AQ194" s="247"/>
      <c r="AR194" s="247"/>
      <c r="AT194" s="248"/>
      <c r="AU194" s="247"/>
      <c r="AV194" s="247"/>
      <c r="AW194" s="247"/>
      <c r="AX194" s="247"/>
      <c r="AY194" s="247"/>
      <c r="AZ194" s="247"/>
      <c r="BA194" s="247"/>
      <c r="BC194" s="248"/>
      <c r="BD194" s="247"/>
      <c r="BE194" s="247"/>
      <c r="BF194" s="247"/>
      <c r="BG194" s="247"/>
      <c r="BH194" s="247"/>
      <c r="BI194" s="247"/>
      <c r="BJ194" s="247"/>
      <c r="BL194" s="248"/>
      <c r="BM194" s="247"/>
      <c r="BN194" s="247"/>
      <c r="BO194" s="247"/>
      <c r="BP194" s="247"/>
      <c r="BQ194" s="247"/>
      <c r="BR194" s="247"/>
      <c r="BS194" s="247"/>
      <c r="BU194" s="248"/>
      <c r="BV194" s="247"/>
      <c r="BW194" s="247"/>
      <c r="BX194" s="247"/>
      <c r="BY194" s="247"/>
      <c r="BZ194" s="247"/>
      <c r="CA194" s="247"/>
      <c r="CB194" s="247"/>
      <c r="CD194" s="248"/>
      <c r="CE194" s="247"/>
      <c r="CF194" s="247"/>
      <c r="CG194" s="247"/>
      <c r="CH194" s="247"/>
      <c r="CI194" s="247"/>
      <c r="CJ194" s="247"/>
      <c r="CK194" s="247"/>
      <c r="CM194" s="248"/>
      <c r="CN194" s="247"/>
      <c r="CO194" s="247"/>
      <c r="CP194" s="247"/>
      <c r="CQ194" s="247"/>
      <c r="CR194" s="247"/>
      <c r="CS194" s="247"/>
      <c r="CT194" s="247"/>
      <c r="CV194" s="248"/>
      <c r="CW194" s="247"/>
      <c r="CX194" s="247"/>
      <c r="CY194" s="247"/>
      <c r="CZ194" s="247"/>
      <c r="DA194" s="247"/>
      <c r="DB194" s="247"/>
      <c r="DC194" s="247"/>
      <c r="DE194" s="248"/>
      <c r="DF194" s="247"/>
      <c r="DG194" s="247"/>
      <c r="DH194" s="247"/>
      <c r="DI194" s="247"/>
      <c r="DJ194" s="247"/>
      <c r="DK194" s="247"/>
      <c r="DL194" s="247"/>
      <c r="DN194" s="248"/>
      <c r="DO194" s="247"/>
      <c r="DP194" s="247"/>
      <c r="DQ194" s="247"/>
      <c r="DR194" s="247"/>
      <c r="DS194" s="247"/>
      <c r="DT194" s="247"/>
      <c r="DU194" s="247"/>
      <c r="DW194" s="248"/>
      <c r="DX194" s="247"/>
      <c r="DY194" s="247"/>
      <c r="DZ194" s="247"/>
      <c r="EA194" s="247"/>
      <c r="EB194" s="247"/>
      <c r="EC194" s="247"/>
      <c r="ED194" s="247"/>
      <c r="EF194" s="248"/>
      <c r="EG194" s="247"/>
      <c r="EH194" s="247"/>
      <c r="EI194" s="247"/>
      <c r="EJ194" s="247"/>
      <c r="EK194" s="247"/>
      <c r="EL194" s="247"/>
      <c r="EM194" s="247"/>
      <c r="EO194" s="248"/>
      <c r="EP194" s="247"/>
      <c r="EQ194" s="247"/>
      <c r="ER194" s="247"/>
      <c r="ES194" s="247"/>
      <c r="ET194" s="247"/>
      <c r="EU194" s="247"/>
      <c r="EV194" s="247"/>
      <c r="EX194" s="248"/>
      <c r="EY194" s="247"/>
      <c r="EZ194" s="247"/>
      <c r="FA194" s="247"/>
      <c r="FB194" s="247"/>
      <c r="FC194" s="247"/>
      <c r="FD194" s="247"/>
      <c r="FE194" s="247"/>
      <c r="FG194" s="248"/>
      <c r="FH194" s="247"/>
      <c r="FI194" s="247"/>
    </row>
    <row r="195" spans="2:165" x14ac:dyDescent="0.2">
      <c r="B195" s="78" t="s">
        <v>155</v>
      </c>
      <c r="C195" s="253">
        <v>2.14</v>
      </c>
      <c r="D195" s="253">
        <v>2.14</v>
      </c>
      <c r="E195" s="253">
        <v>2.14</v>
      </c>
      <c r="F195" s="253">
        <v>2.14</v>
      </c>
      <c r="G195" s="253">
        <v>2.14</v>
      </c>
      <c r="H195" s="254">
        <v>2.14</v>
      </c>
      <c r="I195" s="290"/>
      <c r="J195" s="248"/>
      <c r="K195" s="247"/>
      <c r="L195" s="247"/>
      <c r="M195" s="247"/>
      <c r="N195" s="247"/>
      <c r="O195" s="247"/>
      <c r="P195" s="247"/>
      <c r="Q195" s="247"/>
      <c r="S195" s="248"/>
      <c r="T195" s="247"/>
      <c r="U195" s="247"/>
      <c r="V195" s="247"/>
      <c r="W195" s="247"/>
      <c r="X195" s="247"/>
      <c r="Y195" s="247"/>
      <c r="Z195" s="247"/>
      <c r="AB195" s="248"/>
      <c r="AC195" s="247"/>
      <c r="AD195" s="247"/>
      <c r="AE195" s="247"/>
      <c r="AF195" s="247"/>
      <c r="AG195" s="247"/>
      <c r="AH195" s="247"/>
      <c r="AI195" s="247"/>
      <c r="AK195" s="248"/>
      <c r="AL195" s="247"/>
      <c r="AM195" s="247"/>
      <c r="AN195" s="247"/>
      <c r="AO195" s="247"/>
      <c r="AP195" s="247"/>
      <c r="AQ195" s="247"/>
      <c r="AR195" s="247"/>
      <c r="AT195" s="248"/>
      <c r="AU195" s="247"/>
      <c r="AV195" s="247"/>
      <c r="AW195" s="247"/>
      <c r="AX195" s="247"/>
      <c r="AY195" s="247"/>
      <c r="AZ195" s="247"/>
      <c r="BA195" s="247"/>
      <c r="BC195" s="248"/>
      <c r="BD195" s="247"/>
      <c r="BE195" s="247"/>
      <c r="BF195" s="247"/>
      <c r="BG195" s="247"/>
      <c r="BH195" s="247"/>
      <c r="BI195" s="247"/>
      <c r="BJ195" s="247"/>
      <c r="BL195" s="248"/>
      <c r="BM195" s="247"/>
      <c r="BN195" s="247"/>
      <c r="BO195" s="247"/>
      <c r="BP195" s="247"/>
      <c r="BQ195" s="247"/>
      <c r="BR195" s="247"/>
      <c r="BS195" s="247"/>
      <c r="BU195" s="248"/>
      <c r="BV195" s="247"/>
      <c r="BW195" s="247"/>
      <c r="BX195" s="247"/>
      <c r="BY195" s="247"/>
      <c r="BZ195" s="247"/>
      <c r="CA195" s="247"/>
      <c r="CB195" s="247"/>
      <c r="CD195" s="248"/>
      <c r="CE195" s="247"/>
      <c r="CF195" s="247"/>
      <c r="CG195" s="247"/>
      <c r="CH195" s="247"/>
      <c r="CI195" s="247"/>
      <c r="CJ195" s="247"/>
      <c r="CK195" s="247"/>
      <c r="CM195" s="248"/>
      <c r="CN195" s="247"/>
      <c r="CO195" s="247"/>
      <c r="CP195" s="247"/>
      <c r="CQ195" s="247"/>
      <c r="CR195" s="247"/>
      <c r="CS195" s="247"/>
      <c r="CT195" s="247"/>
      <c r="CV195" s="248"/>
      <c r="CW195" s="247"/>
      <c r="CX195" s="247"/>
      <c r="CY195" s="247"/>
      <c r="CZ195" s="247"/>
      <c r="DA195" s="247"/>
      <c r="DB195" s="247"/>
      <c r="DC195" s="247"/>
      <c r="DE195" s="248"/>
      <c r="DF195" s="247"/>
      <c r="DG195" s="247"/>
      <c r="DH195" s="247"/>
      <c r="DI195" s="247"/>
      <c r="DJ195" s="247"/>
      <c r="DK195" s="247"/>
      <c r="DL195" s="247"/>
      <c r="DN195" s="248"/>
      <c r="DO195" s="247"/>
      <c r="DP195" s="247"/>
      <c r="DQ195" s="247"/>
      <c r="DR195" s="247"/>
      <c r="DS195" s="247"/>
      <c r="DT195" s="247"/>
      <c r="DU195" s="247"/>
      <c r="DW195" s="248"/>
      <c r="DX195" s="247"/>
      <c r="DY195" s="247"/>
      <c r="DZ195" s="247"/>
      <c r="EA195" s="247"/>
      <c r="EB195" s="247"/>
      <c r="EC195" s="247"/>
      <c r="ED195" s="247"/>
      <c r="EF195" s="248"/>
      <c r="EG195" s="247"/>
      <c r="EH195" s="247"/>
      <c r="EI195" s="247"/>
      <c r="EJ195" s="247"/>
      <c r="EK195" s="247"/>
      <c r="EL195" s="247"/>
      <c r="EM195" s="247"/>
      <c r="EO195" s="248"/>
      <c r="EP195" s="247"/>
      <c r="EQ195" s="247"/>
      <c r="ER195" s="247"/>
      <c r="ES195" s="247"/>
      <c r="ET195" s="247"/>
      <c r="EU195" s="247"/>
      <c r="EV195" s="247"/>
      <c r="EX195" s="248"/>
      <c r="EY195" s="247"/>
      <c r="EZ195" s="247"/>
      <c r="FA195" s="247"/>
      <c r="FB195" s="247"/>
      <c r="FC195" s="247"/>
      <c r="FD195" s="247"/>
      <c r="FE195" s="247"/>
      <c r="FG195" s="248"/>
      <c r="FH195" s="247"/>
      <c r="FI195" s="247"/>
    </row>
    <row r="196" spans="2:165" s="61" customFormat="1" x14ac:dyDescent="0.2">
      <c r="B196" s="78" t="s">
        <v>156</v>
      </c>
      <c r="C196" s="126">
        <v>0.66</v>
      </c>
      <c r="D196" s="126">
        <v>0.66</v>
      </c>
      <c r="E196" s="126">
        <v>0.66</v>
      </c>
      <c r="F196" s="126">
        <v>0.66</v>
      </c>
      <c r="G196" s="126">
        <v>7.29</v>
      </c>
      <c r="H196" s="127">
        <v>0.78</v>
      </c>
      <c r="I196" s="291"/>
    </row>
    <row r="197" spans="2:165" s="61" customFormat="1" x14ac:dyDescent="0.2">
      <c r="B197" s="78" t="s">
        <v>157</v>
      </c>
      <c r="C197" s="126">
        <v>3.0696000000000003</v>
      </c>
      <c r="D197" s="126">
        <v>3.1448999999999998</v>
      </c>
      <c r="E197" s="126">
        <v>3.4129800000000001</v>
      </c>
      <c r="F197" s="126">
        <v>3.6681600000000003</v>
      </c>
      <c r="G197" s="126">
        <v>4.17882</v>
      </c>
      <c r="H197" s="127">
        <v>4.14222</v>
      </c>
    </row>
    <row r="198" spans="2:165" s="61" customFormat="1" x14ac:dyDescent="0.2">
      <c r="B198" s="78"/>
      <c r="C198" s="138"/>
      <c r="D198" s="126"/>
      <c r="E198" s="126"/>
      <c r="F198" s="126"/>
      <c r="G198" s="126"/>
      <c r="H198" s="127"/>
    </row>
    <row r="199" spans="2:165" s="61" customFormat="1" ht="15.75" x14ac:dyDescent="0.2">
      <c r="B199" s="107" t="s">
        <v>342</v>
      </c>
      <c r="C199" s="126"/>
      <c r="D199" s="126"/>
      <c r="E199" s="126"/>
      <c r="F199" s="126"/>
      <c r="G199" s="136"/>
      <c r="H199" s="137"/>
      <c r="I199" s="278"/>
      <c r="J199" s="279"/>
      <c r="K199" s="278"/>
      <c r="L199" s="278"/>
      <c r="M199" s="278"/>
      <c r="N199" s="278"/>
      <c r="O199" s="278"/>
      <c r="P199" s="278"/>
      <c r="Q199" s="278"/>
      <c r="S199" s="279"/>
      <c r="T199" s="278"/>
      <c r="U199" s="278"/>
      <c r="V199" s="278"/>
      <c r="W199" s="278"/>
      <c r="X199" s="278"/>
      <c r="Y199" s="278"/>
      <c r="Z199" s="278"/>
      <c r="AB199" s="279"/>
      <c r="AC199" s="278"/>
      <c r="AD199" s="278"/>
      <c r="AE199" s="278"/>
      <c r="AF199" s="278"/>
      <c r="AG199" s="278"/>
      <c r="AH199" s="278"/>
      <c r="AI199" s="278"/>
      <c r="AK199" s="279"/>
      <c r="AL199" s="278"/>
      <c r="AM199" s="278"/>
      <c r="AN199" s="278"/>
      <c r="AO199" s="278"/>
      <c r="AP199" s="278"/>
      <c r="AQ199" s="278"/>
      <c r="AR199" s="278"/>
      <c r="AT199" s="279"/>
      <c r="AU199" s="278"/>
      <c r="AV199" s="278"/>
      <c r="AW199" s="278"/>
      <c r="AX199" s="278"/>
      <c r="AY199" s="278"/>
      <c r="AZ199" s="278"/>
      <c r="BA199" s="278"/>
      <c r="BC199" s="279"/>
      <c r="BD199" s="278"/>
      <c r="BE199" s="278"/>
      <c r="BF199" s="278"/>
      <c r="BG199" s="278"/>
      <c r="BH199" s="278"/>
      <c r="BI199" s="278"/>
      <c r="BJ199" s="278"/>
      <c r="BL199" s="279"/>
      <c r="BM199" s="278"/>
      <c r="BN199" s="278"/>
      <c r="BO199" s="278"/>
      <c r="BP199" s="278"/>
      <c r="BQ199" s="278"/>
      <c r="BR199" s="278"/>
      <c r="BS199" s="278"/>
      <c r="BU199" s="279"/>
      <c r="BV199" s="278"/>
      <c r="BW199" s="278"/>
      <c r="BX199" s="278"/>
      <c r="BY199" s="278"/>
      <c r="BZ199" s="278"/>
      <c r="CA199" s="278"/>
      <c r="CB199" s="278"/>
      <c r="CD199" s="279"/>
      <c r="CE199" s="278"/>
      <c r="CF199" s="278"/>
      <c r="CG199" s="278"/>
      <c r="CH199" s="278"/>
      <c r="CI199" s="278"/>
      <c r="CJ199" s="278"/>
      <c r="CK199" s="278"/>
      <c r="CM199" s="279"/>
      <c r="CN199" s="278"/>
      <c r="CO199" s="278"/>
      <c r="CP199" s="278"/>
      <c r="CQ199" s="278"/>
      <c r="CR199" s="278"/>
      <c r="CS199" s="278"/>
      <c r="CT199" s="278"/>
      <c r="CV199" s="279"/>
      <c r="CW199" s="278"/>
      <c r="CX199" s="278"/>
      <c r="CY199" s="278"/>
      <c r="CZ199" s="278"/>
      <c r="DA199" s="278"/>
      <c r="DB199" s="278"/>
      <c r="DC199" s="278"/>
      <c r="DE199" s="279"/>
      <c r="DF199" s="278"/>
      <c r="DG199" s="278"/>
      <c r="DH199" s="278"/>
      <c r="DI199" s="278"/>
      <c r="DJ199" s="278"/>
      <c r="DK199" s="278"/>
      <c r="DL199" s="278"/>
      <c r="DN199" s="279"/>
      <c r="DO199" s="278"/>
      <c r="DP199" s="278"/>
      <c r="DQ199" s="278"/>
      <c r="DR199" s="278"/>
      <c r="DS199" s="278"/>
      <c r="DT199" s="278"/>
      <c r="DU199" s="278"/>
      <c r="DW199" s="279"/>
      <c r="DX199" s="278"/>
      <c r="DY199" s="278"/>
      <c r="DZ199" s="278"/>
      <c r="EA199" s="278"/>
      <c r="EB199" s="278"/>
      <c r="EC199" s="278"/>
      <c r="ED199" s="278"/>
      <c r="EF199" s="279"/>
      <c r="EG199" s="278"/>
      <c r="EH199" s="278"/>
      <c r="EI199" s="278"/>
      <c r="EJ199" s="278"/>
      <c r="EK199" s="278"/>
      <c r="EL199" s="278"/>
      <c r="EM199" s="278"/>
      <c r="EO199" s="279"/>
      <c r="EP199" s="278"/>
      <c r="EQ199" s="278"/>
      <c r="ER199" s="278"/>
      <c r="ES199" s="278"/>
      <c r="ET199" s="278"/>
      <c r="EU199" s="278"/>
      <c r="EV199" s="278"/>
      <c r="EX199" s="279"/>
      <c r="EY199" s="278"/>
      <c r="EZ199" s="278"/>
    </row>
    <row r="200" spans="2:165" s="61" customFormat="1" x14ac:dyDescent="0.2">
      <c r="B200" s="78" t="s">
        <v>154</v>
      </c>
      <c r="C200" s="126">
        <v>2.8285714285714287</v>
      </c>
      <c r="D200" s="126">
        <v>3.1428571428571428</v>
      </c>
      <c r="E200" s="126">
        <v>4.0857142857142854</v>
      </c>
      <c r="F200" s="126">
        <v>4.0857142857142854</v>
      </c>
      <c r="G200" s="126">
        <v>5.3428571428571425</v>
      </c>
      <c r="H200" s="127">
        <v>4.7142857142857144</v>
      </c>
    </row>
    <row r="201" spans="2:165" s="61" customFormat="1" x14ac:dyDescent="0.2">
      <c r="B201" s="78" t="s">
        <v>155</v>
      </c>
      <c r="C201" s="126">
        <v>2.14</v>
      </c>
      <c r="D201" s="126">
        <v>2.14</v>
      </c>
      <c r="E201" s="126">
        <v>2.14</v>
      </c>
      <c r="F201" s="126">
        <v>2.14</v>
      </c>
      <c r="G201" s="126">
        <v>2.14</v>
      </c>
      <c r="H201" s="127">
        <v>2.14</v>
      </c>
    </row>
    <row r="202" spans="2:165" s="61" customFormat="1" x14ac:dyDescent="0.2">
      <c r="B202" s="78" t="s">
        <v>200</v>
      </c>
      <c r="C202" s="126">
        <v>0.66</v>
      </c>
      <c r="D202" s="126">
        <v>0.66</v>
      </c>
      <c r="E202" s="126">
        <v>0.66</v>
      </c>
      <c r="F202" s="126">
        <v>0.66</v>
      </c>
      <c r="G202" s="126">
        <v>7.29</v>
      </c>
      <c r="H202" s="127">
        <v>0.78</v>
      </c>
    </row>
    <row r="203" spans="2:165" s="61" customFormat="1" x14ac:dyDescent="0.2">
      <c r="B203" s="78" t="s">
        <v>157</v>
      </c>
      <c r="C203" s="126">
        <v>3.0696000000000003</v>
      </c>
      <c r="D203" s="126">
        <v>3.1448999999999998</v>
      </c>
      <c r="E203" s="126">
        <v>3.4129800000000001</v>
      </c>
      <c r="F203" s="126">
        <v>3.6681600000000003</v>
      </c>
      <c r="G203" s="126">
        <v>4.17882</v>
      </c>
      <c r="H203" s="127">
        <v>4.14222</v>
      </c>
    </row>
    <row r="204" spans="2:165" x14ac:dyDescent="0.2">
      <c r="B204" s="85"/>
      <c r="C204" s="142"/>
      <c r="D204" s="142"/>
      <c r="E204" s="142"/>
      <c r="F204" s="142"/>
      <c r="G204" s="142"/>
      <c r="H204" s="143"/>
      <c r="I204" s="292"/>
    </row>
    <row r="205" spans="2:165" ht="15.75" x14ac:dyDescent="0.2">
      <c r="B205" s="107" t="s">
        <v>249</v>
      </c>
      <c r="C205" s="142"/>
      <c r="D205" s="142"/>
      <c r="E205" s="142"/>
      <c r="F205" s="142"/>
      <c r="G205" s="142"/>
      <c r="H205" s="143"/>
    </row>
    <row r="206" spans="2:165" x14ac:dyDescent="0.2">
      <c r="B206" s="85" t="s">
        <v>356</v>
      </c>
      <c r="C206" s="255">
        <v>600</v>
      </c>
      <c r="D206" s="255">
        <v>600</v>
      </c>
      <c r="E206" s="255">
        <v>600</v>
      </c>
      <c r="F206" s="255">
        <v>600</v>
      </c>
      <c r="G206" s="255">
        <v>600</v>
      </c>
      <c r="H206" s="256">
        <v>600</v>
      </c>
    </row>
    <row r="207" spans="2:165" s="61" customFormat="1" x14ac:dyDescent="0.2">
      <c r="B207" s="141" t="s">
        <v>160</v>
      </c>
      <c r="C207" s="123">
        <v>26600</v>
      </c>
      <c r="D207" s="123">
        <v>26600</v>
      </c>
      <c r="E207" s="123">
        <v>26600</v>
      </c>
      <c r="F207" s="123">
        <v>26600</v>
      </c>
      <c r="G207" s="123">
        <v>26600</v>
      </c>
      <c r="H207" s="124">
        <v>26600</v>
      </c>
    </row>
    <row r="208" spans="2:165" x14ac:dyDescent="0.2">
      <c r="B208" s="85" t="s">
        <v>357</v>
      </c>
      <c r="C208" s="142">
        <v>1.1000000000000001</v>
      </c>
      <c r="D208" s="142">
        <v>1.1000000000000001</v>
      </c>
      <c r="E208" s="142">
        <v>1.1000000000000001</v>
      </c>
      <c r="F208" s="142">
        <v>1.1000000000000001</v>
      </c>
      <c r="G208" s="142">
        <v>1.1000000000000001</v>
      </c>
      <c r="H208" s="143">
        <v>1.1000000000000001</v>
      </c>
    </row>
    <row r="209" spans="2:8" hidden="1" x14ac:dyDescent="0.2">
      <c r="B209" s="85"/>
      <c r="C209" s="142"/>
      <c r="D209" s="142"/>
      <c r="E209" s="142"/>
      <c r="F209" s="142"/>
      <c r="G209" s="142"/>
      <c r="H209" s="143"/>
    </row>
    <row r="210" spans="2:8" x14ac:dyDescent="0.2">
      <c r="B210" s="85"/>
      <c r="C210" s="255"/>
      <c r="D210" s="255"/>
      <c r="E210" s="255"/>
      <c r="F210" s="255"/>
      <c r="G210" s="255"/>
      <c r="H210" s="256"/>
    </row>
    <row r="211" spans="2:8" ht="15.75" x14ac:dyDescent="0.2">
      <c r="B211" s="107" t="s">
        <v>162</v>
      </c>
      <c r="C211" s="255"/>
      <c r="D211" s="255"/>
      <c r="E211" s="255"/>
      <c r="F211" s="255"/>
      <c r="G211" s="255"/>
      <c r="H211" s="256"/>
    </row>
    <row r="212" spans="2:8" x14ac:dyDescent="0.2">
      <c r="B212" s="78" t="s">
        <v>358</v>
      </c>
      <c r="C212" s="142">
        <f>SUM(C213:C215)</f>
        <v>1.5899999999999999</v>
      </c>
      <c r="D212" s="142">
        <f t="shared" ref="D212:H212" si="0">SUM(D213:D215)</f>
        <v>1.5899999999999999</v>
      </c>
      <c r="E212" s="142">
        <f t="shared" si="0"/>
        <v>1.5899999999999999</v>
      </c>
      <c r="F212" s="142">
        <f t="shared" si="0"/>
        <v>1.5899999999999999</v>
      </c>
      <c r="G212" s="142">
        <f t="shared" si="0"/>
        <v>1.6099999999999999</v>
      </c>
      <c r="H212" s="143">
        <f t="shared" si="0"/>
        <v>1.58</v>
      </c>
    </row>
    <row r="213" spans="2:8" x14ac:dyDescent="0.2">
      <c r="B213" s="122" t="s">
        <v>250</v>
      </c>
      <c r="C213" s="142">
        <v>0.05</v>
      </c>
      <c r="D213" s="142">
        <v>0.05</v>
      </c>
      <c r="E213" s="142">
        <v>0.05</v>
      </c>
      <c r="F213" s="142">
        <v>0.05</v>
      </c>
      <c r="G213" s="142">
        <v>7.0000000000000007E-2</v>
      </c>
      <c r="H213" s="143">
        <v>0.05</v>
      </c>
    </row>
    <row r="214" spans="2:8" x14ac:dyDescent="0.2">
      <c r="B214" s="144" t="s">
        <v>165</v>
      </c>
      <c r="C214" s="142">
        <v>0.32</v>
      </c>
      <c r="D214" s="142">
        <v>0.32</v>
      </c>
      <c r="E214" s="142">
        <v>0.32</v>
      </c>
      <c r="F214" s="142">
        <v>0.32</v>
      </c>
      <c r="G214" s="142">
        <v>0.32</v>
      </c>
      <c r="H214" s="143">
        <v>0.32</v>
      </c>
    </row>
    <row r="215" spans="2:8" x14ac:dyDescent="0.2">
      <c r="B215" s="144" t="s">
        <v>251</v>
      </c>
      <c r="C215" s="142">
        <v>1.22</v>
      </c>
      <c r="D215" s="142">
        <v>1.22</v>
      </c>
      <c r="E215" s="142">
        <v>1.22</v>
      </c>
      <c r="F215" s="142">
        <v>1.22</v>
      </c>
      <c r="G215" s="142">
        <v>1.22</v>
      </c>
      <c r="H215" s="143">
        <v>1.21</v>
      </c>
    </row>
    <row r="216" spans="2:8" x14ac:dyDescent="0.2">
      <c r="B216" s="122"/>
      <c r="C216" s="142"/>
      <c r="D216" s="142"/>
      <c r="E216" s="142"/>
      <c r="F216" s="142"/>
      <c r="G216" s="142"/>
      <c r="H216" s="143"/>
    </row>
    <row r="217" spans="2:8" x14ac:dyDescent="0.2">
      <c r="B217" s="257" t="s">
        <v>359</v>
      </c>
      <c r="C217" s="142">
        <f>SUM(C218:C220)</f>
        <v>0.65999999999999992</v>
      </c>
      <c r="D217" s="142">
        <f t="shared" ref="D217" si="1">SUM(D218:D220)</f>
        <v>0.65999999999999992</v>
      </c>
      <c r="E217" s="142">
        <f t="shared" ref="E217" si="2">SUM(E218:E220)</f>
        <v>0.65999999999999992</v>
      </c>
      <c r="F217" s="142">
        <f t="shared" ref="F217" si="3">SUM(F218:F220)</f>
        <v>0.65999999999999992</v>
      </c>
      <c r="G217" s="142">
        <f t="shared" ref="G217" si="4">SUM(G218:G220)</f>
        <v>0.66</v>
      </c>
      <c r="H217" s="143">
        <f t="shared" ref="H217" si="5">SUM(H218:H220)</f>
        <v>0.65999999999999992</v>
      </c>
    </row>
    <row r="218" spans="2:8" x14ac:dyDescent="0.2">
      <c r="B218" s="122" t="s">
        <v>250</v>
      </c>
      <c r="C218" s="142">
        <v>0.11</v>
      </c>
      <c r="D218" s="142">
        <v>0.11</v>
      </c>
      <c r="E218" s="142">
        <v>0.11</v>
      </c>
      <c r="F218" s="142">
        <v>0.11</v>
      </c>
      <c r="G218" s="142">
        <v>0.12</v>
      </c>
      <c r="H218" s="143">
        <v>0.09</v>
      </c>
    </row>
    <row r="219" spans="2:8" x14ac:dyDescent="0.2">
      <c r="B219" s="144" t="s">
        <v>252</v>
      </c>
      <c r="C219" s="142">
        <v>0.13</v>
      </c>
      <c r="D219" s="142">
        <v>0.13</v>
      </c>
      <c r="E219" s="142">
        <v>0.13</v>
      </c>
      <c r="F219" s="142">
        <v>0.13</v>
      </c>
      <c r="G219" s="142">
        <v>0.13</v>
      </c>
      <c r="H219" s="143">
        <v>0.13</v>
      </c>
    </row>
    <row r="220" spans="2:8" x14ac:dyDescent="0.2">
      <c r="B220" s="144" t="s">
        <v>251</v>
      </c>
      <c r="C220" s="142">
        <v>0.41999999999999993</v>
      </c>
      <c r="D220" s="142">
        <v>0.41999999999999993</v>
      </c>
      <c r="E220" s="142">
        <v>0.41999999999999993</v>
      </c>
      <c r="F220" s="142">
        <v>0.41999999999999993</v>
      </c>
      <c r="G220" s="142">
        <v>0.41000000000000003</v>
      </c>
      <c r="H220" s="143">
        <v>0.43999999999999995</v>
      </c>
    </row>
    <row r="221" spans="2:8" x14ac:dyDescent="0.2">
      <c r="B221" s="144"/>
      <c r="C221" s="142"/>
      <c r="D221" s="142"/>
      <c r="E221" s="142"/>
      <c r="F221" s="142"/>
      <c r="G221" s="142"/>
      <c r="H221" s="143"/>
    </row>
    <row r="222" spans="2:8" ht="15.75" x14ac:dyDescent="0.2">
      <c r="B222" s="107" t="s">
        <v>167</v>
      </c>
      <c r="C222" s="255"/>
      <c r="D222" s="255"/>
      <c r="E222" s="255"/>
      <c r="F222" s="255"/>
      <c r="G222" s="255"/>
      <c r="H222" s="256"/>
    </row>
    <row r="223" spans="2:8" x14ac:dyDescent="0.2">
      <c r="B223" s="78" t="s">
        <v>358</v>
      </c>
      <c r="C223" s="142">
        <f>SUM(C224:C226)</f>
        <v>2.4500000000000002</v>
      </c>
      <c r="D223" s="142">
        <f t="shared" ref="D223" si="6">SUM(D224:D226)</f>
        <v>2.4500000000000002</v>
      </c>
      <c r="E223" s="142">
        <f t="shared" ref="E223" si="7">SUM(E224:E226)</f>
        <v>2.4500000000000002</v>
      </c>
      <c r="F223" s="142">
        <f t="shared" ref="F223" si="8">SUM(F224:F226)</f>
        <v>2.4500000000000002</v>
      </c>
      <c r="G223" s="142">
        <f t="shared" ref="G223" si="9">SUM(G224:G226)</f>
        <v>2.84</v>
      </c>
      <c r="H223" s="143">
        <f t="shared" ref="H223" si="10">SUM(H224:H226)</f>
        <v>2.48</v>
      </c>
    </row>
    <row r="224" spans="2:8" x14ac:dyDescent="0.2">
      <c r="B224" s="122" t="s">
        <v>250</v>
      </c>
      <c r="C224" s="142">
        <v>0.75</v>
      </c>
      <c r="D224" s="142">
        <v>0.75</v>
      </c>
      <c r="E224" s="142">
        <v>0.75</v>
      </c>
      <c r="F224" s="142">
        <v>0.75</v>
      </c>
      <c r="G224" s="142">
        <v>1.1499999999999999</v>
      </c>
      <c r="H224" s="143">
        <v>0.78</v>
      </c>
    </row>
    <row r="225" spans="2:8" x14ac:dyDescent="0.2">
      <c r="B225" s="144" t="s">
        <v>165</v>
      </c>
      <c r="C225" s="142">
        <v>0.5</v>
      </c>
      <c r="D225" s="142">
        <v>0.5</v>
      </c>
      <c r="E225" s="142">
        <v>0.5</v>
      </c>
      <c r="F225" s="142">
        <v>0.5</v>
      </c>
      <c r="G225" s="142">
        <v>0.46</v>
      </c>
      <c r="H225" s="143">
        <v>0.48</v>
      </c>
    </row>
    <row r="226" spans="2:8" x14ac:dyDescent="0.2">
      <c r="B226" s="144" t="s">
        <v>251</v>
      </c>
      <c r="C226" s="142">
        <v>1.2</v>
      </c>
      <c r="D226" s="142">
        <v>1.2</v>
      </c>
      <c r="E226" s="142">
        <v>1.2</v>
      </c>
      <c r="F226" s="142">
        <v>1.2</v>
      </c>
      <c r="G226" s="142">
        <v>1.23</v>
      </c>
      <c r="H226" s="143">
        <v>1.22</v>
      </c>
    </row>
    <row r="227" spans="2:8" x14ac:dyDescent="0.2">
      <c r="B227" s="122"/>
      <c r="C227" s="142"/>
      <c r="D227" s="142"/>
      <c r="E227" s="142"/>
      <c r="F227" s="142"/>
      <c r="G227" s="142"/>
      <c r="H227" s="143"/>
    </row>
    <row r="228" spans="2:8" x14ac:dyDescent="0.2">
      <c r="B228" s="257" t="s">
        <v>359</v>
      </c>
      <c r="C228" s="142" t="s">
        <v>201</v>
      </c>
      <c r="D228" s="142" t="s">
        <v>201</v>
      </c>
      <c r="E228" s="142" t="s">
        <v>201</v>
      </c>
      <c r="F228" s="142" t="s">
        <v>201</v>
      </c>
      <c r="G228" s="142" t="s">
        <v>201</v>
      </c>
      <c r="H228" s="143" t="s">
        <v>201</v>
      </c>
    </row>
    <row r="229" spans="2:8" x14ac:dyDescent="0.2">
      <c r="B229" s="122" t="s">
        <v>250</v>
      </c>
      <c r="C229" s="142" t="s">
        <v>201</v>
      </c>
      <c r="D229" s="142" t="s">
        <v>201</v>
      </c>
      <c r="E229" s="142" t="s">
        <v>201</v>
      </c>
      <c r="F229" s="142" t="s">
        <v>201</v>
      </c>
      <c r="G229" s="142" t="s">
        <v>201</v>
      </c>
      <c r="H229" s="143" t="s">
        <v>201</v>
      </c>
    </row>
    <row r="230" spans="2:8" x14ac:dyDescent="0.2">
      <c r="B230" s="144" t="s">
        <v>252</v>
      </c>
      <c r="C230" s="142" t="s">
        <v>201</v>
      </c>
      <c r="D230" s="142" t="s">
        <v>201</v>
      </c>
      <c r="E230" s="142" t="s">
        <v>201</v>
      </c>
      <c r="F230" s="142" t="s">
        <v>201</v>
      </c>
      <c r="G230" s="142" t="s">
        <v>201</v>
      </c>
      <c r="H230" s="143" t="s">
        <v>201</v>
      </c>
    </row>
    <row r="231" spans="2:8" x14ac:dyDescent="0.2">
      <c r="B231" s="144" t="s">
        <v>251</v>
      </c>
      <c r="C231" s="142" t="s">
        <v>201</v>
      </c>
      <c r="D231" s="142" t="s">
        <v>201</v>
      </c>
      <c r="E231" s="142" t="s">
        <v>201</v>
      </c>
      <c r="F231" s="142" t="s">
        <v>201</v>
      </c>
      <c r="G231" s="142" t="s">
        <v>201</v>
      </c>
      <c r="H231" s="143" t="s">
        <v>201</v>
      </c>
    </row>
    <row r="232" spans="2:8" x14ac:dyDescent="0.2">
      <c r="B232" s="144"/>
      <c r="C232" s="142"/>
      <c r="D232" s="142"/>
      <c r="E232" s="142"/>
      <c r="F232" s="142"/>
      <c r="G232" s="142"/>
      <c r="H232" s="143"/>
    </row>
    <row r="233" spans="2:8" ht="15.75" x14ac:dyDescent="0.2">
      <c r="B233" s="147" t="s">
        <v>410</v>
      </c>
      <c r="C233" s="104"/>
      <c r="D233" s="104"/>
      <c r="E233" s="104"/>
      <c r="F233" s="104"/>
      <c r="G233" s="104"/>
      <c r="H233" s="105"/>
    </row>
    <row r="234" spans="2:8" x14ac:dyDescent="0.2">
      <c r="B234" s="141" t="s">
        <v>168</v>
      </c>
      <c r="C234" s="148">
        <v>25.4</v>
      </c>
      <c r="D234" s="148">
        <v>25.4</v>
      </c>
      <c r="E234" s="148">
        <v>-25.4</v>
      </c>
      <c r="F234" s="148">
        <v>-25.4</v>
      </c>
      <c r="G234" s="148">
        <v>-30.2</v>
      </c>
      <c r="H234" s="149">
        <v>-30.2</v>
      </c>
    </row>
    <row r="235" spans="2:8" x14ac:dyDescent="0.2">
      <c r="B235" s="141" t="s">
        <v>169</v>
      </c>
      <c r="C235" s="148">
        <v>13.511049999999999</v>
      </c>
      <c r="D235" s="148">
        <v>13.511049999999999</v>
      </c>
      <c r="E235" s="148">
        <v>-13.511049999999999</v>
      </c>
      <c r="F235" s="148">
        <v>-13.511049999999999</v>
      </c>
      <c r="G235" s="148">
        <v>-13.772649999999999</v>
      </c>
      <c r="H235" s="149">
        <v>-13.772649999999999</v>
      </c>
    </row>
    <row r="236" spans="2:8" ht="15.75" thickBot="1" x14ac:dyDescent="0.25">
      <c r="B236" s="257"/>
      <c r="C236" s="142"/>
      <c r="D236" s="142"/>
      <c r="E236" s="142"/>
      <c r="F236" s="142"/>
      <c r="G236" s="142"/>
      <c r="H236" s="143"/>
    </row>
    <row r="237" spans="2:8" ht="17.25" thickTop="1" thickBot="1" x14ac:dyDescent="0.25">
      <c r="B237" s="231" t="s">
        <v>253</v>
      </c>
      <c r="C237" s="258"/>
      <c r="D237" s="258"/>
      <c r="E237" s="258"/>
      <c r="F237" s="258"/>
      <c r="G237" s="258"/>
      <c r="H237" s="259"/>
    </row>
    <row r="238" spans="2:8" ht="15.75" thickTop="1" x14ac:dyDescent="0.2">
      <c r="B238" s="260"/>
      <c r="C238" s="261"/>
      <c r="D238" s="261"/>
      <c r="E238" s="261"/>
      <c r="F238" s="261"/>
      <c r="G238" s="261"/>
      <c r="H238" s="262"/>
    </row>
    <row r="239" spans="2:8" ht="15.75" x14ac:dyDescent="0.2">
      <c r="B239" s="263" t="s">
        <v>254</v>
      </c>
      <c r="C239" s="158">
        <v>26.4</v>
      </c>
      <c r="D239" s="158">
        <v>26.4</v>
      </c>
      <c r="E239" s="158">
        <v>26.4</v>
      </c>
      <c r="F239" s="158">
        <v>26.4</v>
      </c>
      <c r="G239" s="158">
        <v>26.4</v>
      </c>
      <c r="H239" s="159">
        <v>26.4</v>
      </c>
    </row>
    <row r="240" spans="2:8" ht="15.75" x14ac:dyDescent="0.2">
      <c r="B240" s="263" t="s">
        <v>173</v>
      </c>
      <c r="C240" s="160">
        <v>6.6</v>
      </c>
      <c r="D240" s="160">
        <v>6.7</v>
      </c>
      <c r="E240" s="160">
        <v>6.7</v>
      </c>
      <c r="F240" s="160">
        <v>6.7</v>
      </c>
      <c r="G240" s="160">
        <v>6.8</v>
      </c>
      <c r="H240" s="161">
        <v>6.8</v>
      </c>
    </row>
    <row r="241" spans="2:8" x14ac:dyDescent="0.2">
      <c r="B241" s="263" t="s">
        <v>174</v>
      </c>
      <c r="C241" s="158">
        <v>16.100000000000001</v>
      </c>
      <c r="D241" s="158">
        <v>16.100000000000001</v>
      </c>
      <c r="E241" s="158">
        <v>16.100000000000001</v>
      </c>
      <c r="F241" s="158">
        <v>16.100000000000001</v>
      </c>
      <c r="G241" s="158">
        <v>16.100000000000001</v>
      </c>
      <c r="H241" s="159">
        <v>16.100000000000001</v>
      </c>
    </row>
    <row r="242" spans="2:8" ht="15.75" x14ac:dyDescent="0.2">
      <c r="B242" s="263" t="s">
        <v>175</v>
      </c>
      <c r="C242" s="158">
        <v>393600</v>
      </c>
      <c r="D242" s="158">
        <v>403200</v>
      </c>
      <c r="E242" s="158">
        <v>404400</v>
      </c>
      <c r="F242" s="158">
        <v>404400</v>
      </c>
      <c r="G242" s="158">
        <v>406800</v>
      </c>
      <c r="H242" s="159">
        <v>406800</v>
      </c>
    </row>
    <row r="243" spans="2:8" s="61" customFormat="1" ht="15.75" thickBot="1" x14ac:dyDescent="0.25">
      <c r="B243" s="157"/>
      <c r="C243" s="158"/>
      <c r="D243" s="158"/>
      <c r="E243" s="158"/>
      <c r="F243" s="158"/>
      <c r="G243" s="158"/>
      <c r="H243" s="159"/>
    </row>
    <row r="244" spans="2:8" s="61" customFormat="1" ht="17.25" thickTop="1" thickBot="1" x14ac:dyDescent="0.25">
      <c r="B244" s="95" t="s">
        <v>177</v>
      </c>
      <c r="C244" s="166"/>
      <c r="D244" s="166"/>
      <c r="E244" s="166"/>
      <c r="F244" s="166"/>
      <c r="G244" s="166"/>
      <c r="H244" s="167"/>
    </row>
    <row r="245" spans="2:8" s="61" customFormat="1" ht="15.75" thickTop="1" x14ac:dyDescent="0.2">
      <c r="B245" s="141"/>
      <c r="C245" s="162"/>
      <c r="D245" s="162"/>
      <c r="E245" s="162"/>
      <c r="F245" s="162"/>
      <c r="G245" s="162"/>
      <c r="H245" s="163"/>
    </row>
    <row r="246" spans="2:8" s="61" customFormat="1" ht="15.75" x14ac:dyDescent="0.2">
      <c r="B246" s="157" t="s">
        <v>172</v>
      </c>
      <c r="C246" s="158">
        <v>96</v>
      </c>
      <c r="D246" s="158">
        <v>96</v>
      </c>
      <c r="E246" s="158">
        <v>96</v>
      </c>
      <c r="F246" s="158">
        <v>96</v>
      </c>
      <c r="G246" s="158">
        <v>96</v>
      </c>
      <c r="H246" s="159">
        <v>96</v>
      </c>
    </row>
    <row r="247" spans="2:8" s="61" customFormat="1" ht="15.75" x14ac:dyDescent="0.2">
      <c r="B247" s="157" t="s">
        <v>173</v>
      </c>
      <c r="C247" s="160">
        <v>5.2</v>
      </c>
      <c r="D247" s="160">
        <v>5.2</v>
      </c>
      <c r="E247" s="160">
        <v>5.2</v>
      </c>
      <c r="F247" s="160">
        <v>5.2</v>
      </c>
      <c r="G247" s="160">
        <v>5.3</v>
      </c>
      <c r="H247" s="161">
        <v>5.3</v>
      </c>
    </row>
    <row r="248" spans="2:8" s="61" customFormat="1" x14ac:dyDescent="0.2">
      <c r="B248" s="157" t="s">
        <v>174</v>
      </c>
      <c r="C248" s="158">
        <v>18.600000000000001</v>
      </c>
      <c r="D248" s="158">
        <v>18.600000000000001</v>
      </c>
      <c r="E248" s="158">
        <v>18.600000000000001</v>
      </c>
      <c r="F248" s="158">
        <v>18.600000000000001</v>
      </c>
      <c r="G248" s="158">
        <v>18.600000000000001</v>
      </c>
      <c r="H248" s="159">
        <v>18.600000000000001</v>
      </c>
    </row>
    <row r="249" spans="2:8" s="61" customFormat="1" ht="15.75" x14ac:dyDescent="0.2">
      <c r="B249" s="157" t="s">
        <v>175</v>
      </c>
      <c r="C249" s="158">
        <v>544000</v>
      </c>
      <c r="D249" s="158">
        <v>547200</v>
      </c>
      <c r="E249" s="158">
        <v>548800</v>
      </c>
      <c r="F249" s="158">
        <v>548800</v>
      </c>
      <c r="G249" s="158">
        <v>552000</v>
      </c>
      <c r="H249" s="159">
        <v>552000</v>
      </c>
    </row>
    <row r="250" spans="2:8" ht="15.75" thickBot="1" x14ac:dyDescent="0.25">
      <c r="B250" s="264"/>
      <c r="C250" s="265"/>
      <c r="D250" s="265"/>
      <c r="E250" s="265"/>
      <c r="F250" s="265"/>
      <c r="G250" s="265"/>
      <c r="H250" s="266"/>
    </row>
    <row r="251" spans="2:8" ht="16.5" thickTop="1" x14ac:dyDescent="0.2">
      <c r="B251" s="267" t="s">
        <v>178</v>
      </c>
      <c r="C251" s="180"/>
      <c r="D251" s="180"/>
      <c r="E251" s="180"/>
      <c r="F251" s="180"/>
      <c r="G251" s="180"/>
      <c r="H251" s="181"/>
    </row>
    <row r="252" spans="2:8" x14ac:dyDescent="0.2">
      <c r="B252" s="78" t="s">
        <v>416</v>
      </c>
      <c r="C252" s="180"/>
      <c r="D252" s="180"/>
      <c r="E252" s="180"/>
      <c r="F252" s="180"/>
      <c r="G252" s="180"/>
      <c r="H252" s="181"/>
    </row>
    <row r="253" spans="2:8" x14ac:dyDescent="0.2">
      <c r="B253" s="257" t="s">
        <v>255</v>
      </c>
      <c r="C253" s="180"/>
      <c r="D253" s="180"/>
      <c r="E253" s="180"/>
      <c r="F253" s="180"/>
      <c r="G253" s="180"/>
      <c r="H253" s="181"/>
    </row>
    <row r="254" spans="2:8" x14ac:dyDescent="0.2">
      <c r="B254" s="78" t="s">
        <v>417</v>
      </c>
      <c r="C254" s="180"/>
      <c r="D254" s="180"/>
      <c r="E254" s="180"/>
      <c r="F254" s="180"/>
      <c r="G254" s="180"/>
      <c r="H254" s="181"/>
    </row>
    <row r="255" spans="2:8" x14ac:dyDescent="0.2">
      <c r="B255" s="78" t="s">
        <v>256</v>
      </c>
      <c r="C255" s="180"/>
      <c r="D255" s="180"/>
      <c r="E255" s="180"/>
      <c r="F255" s="180"/>
      <c r="G255" s="180"/>
      <c r="H255" s="181"/>
    </row>
    <row r="256" spans="2:8" x14ac:dyDescent="0.2">
      <c r="B256" s="78" t="s">
        <v>257</v>
      </c>
      <c r="C256" s="180"/>
      <c r="D256" s="180"/>
      <c r="E256" s="180"/>
      <c r="F256" s="180"/>
      <c r="G256" s="180"/>
      <c r="H256" s="181"/>
    </row>
    <row r="257" spans="2:8" x14ac:dyDescent="0.2">
      <c r="B257" s="78" t="s">
        <v>258</v>
      </c>
      <c r="C257" s="180"/>
      <c r="D257" s="180"/>
      <c r="E257" s="180"/>
      <c r="F257" s="180"/>
      <c r="G257" s="180"/>
      <c r="H257" s="181"/>
    </row>
    <row r="258" spans="2:8" x14ac:dyDescent="0.2">
      <c r="B258" s="78" t="s">
        <v>259</v>
      </c>
      <c r="C258" s="180"/>
      <c r="D258" s="180"/>
      <c r="E258" s="180"/>
      <c r="F258" s="180"/>
      <c r="G258" s="180"/>
      <c r="H258" s="181"/>
    </row>
    <row r="259" spans="2:8" x14ac:dyDescent="0.2">
      <c r="B259" s="78" t="s">
        <v>260</v>
      </c>
      <c r="C259" s="180"/>
      <c r="D259" s="180"/>
      <c r="E259" s="180"/>
      <c r="F259" s="180"/>
      <c r="G259" s="180"/>
      <c r="H259" s="181"/>
    </row>
    <row r="260" spans="2:8" x14ac:dyDescent="0.2">
      <c r="B260" s="78" t="s">
        <v>261</v>
      </c>
      <c r="C260" s="180"/>
      <c r="D260" s="180"/>
      <c r="E260" s="180"/>
      <c r="F260" s="180"/>
      <c r="G260" s="180"/>
      <c r="H260" s="181"/>
    </row>
    <row r="261" spans="2:8" x14ac:dyDescent="0.2">
      <c r="B261" s="78" t="s">
        <v>262</v>
      </c>
      <c r="C261" s="180"/>
      <c r="D261" s="180"/>
      <c r="E261" s="180"/>
      <c r="F261" s="180"/>
      <c r="G261" s="180"/>
      <c r="H261" s="181"/>
    </row>
    <row r="262" spans="2:8" x14ac:dyDescent="0.2">
      <c r="B262" s="78" t="s">
        <v>263</v>
      </c>
      <c r="C262" s="180"/>
      <c r="D262" s="180"/>
      <c r="E262" s="180"/>
      <c r="F262" s="180"/>
      <c r="G262" s="180"/>
      <c r="H262" s="181"/>
    </row>
    <row r="263" spans="2:8" x14ac:dyDescent="0.2">
      <c r="B263" s="78" t="s">
        <v>264</v>
      </c>
      <c r="C263" s="180"/>
      <c r="D263" s="180"/>
      <c r="E263" s="180"/>
      <c r="F263" s="180"/>
      <c r="G263" s="180"/>
      <c r="H263" s="181"/>
    </row>
    <row r="264" spans="2:8" x14ac:dyDescent="0.2">
      <c r="B264" s="78" t="s">
        <v>418</v>
      </c>
      <c r="C264" s="180"/>
      <c r="D264" s="180"/>
      <c r="E264" s="180"/>
      <c r="F264" s="180"/>
      <c r="G264" s="180"/>
      <c r="H264" s="181"/>
    </row>
    <row r="265" spans="2:8" x14ac:dyDescent="0.2">
      <c r="B265" s="78" t="s">
        <v>265</v>
      </c>
      <c r="C265" s="180"/>
      <c r="D265" s="180"/>
      <c r="E265" s="180"/>
      <c r="F265" s="180"/>
      <c r="G265" s="180"/>
      <c r="H265" s="181"/>
    </row>
    <row r="266" spans="2:8" ht="15.75" thickBot="1" x14ac:dyDescent="0.25">
      <c r="B266" s="268"/>
      <c r="C266" s="244"/>
      <c r="D266" s="244"/>
      <c r="E266" s="244"/>
      <c r="F266" s="244"/>
      <c r="G266" s="244"/>
      <c r="H266" s="245"/>
    </row>
    <row r="267" spans="2:8" ht="15.75" thickTop="1" x14ac:dyDescent="0.2">
      <c r="B267" s="269"/>
    </row>
    <row r="268" spans="2:8" x14ac:dyDescent="0.2">
      <c r="B268" s="270"/>
    </row>
  </sheetData>
  <mergeCells count="4">
    <mergeCell ref="B3:H3"/>
    <mergeCell ref="B4:H4"/>
    <mergeCell ref="B5:H5"/>
    <mergeCell ref="B2:H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
  <sheetViews>
    <sheetView workbookViewId="0"/>
  </sheetViews>
  <sheetFormatPr defaultRowHeight="12.75" x14ac:dyDescent="0.2"/>
  <cols>
    <col min="1" max="1" width="16.33203125" bestFit="1" customWidth="1"/>
    <col min="2" max="3" width="15" bestFit="1" customWidth="1"/>
    <col min="4" max="4" width="13" bestFit="1" customWidth="1"/>
    <col min="5" max="5" width="15" bestFit="1" customWidth="1"/>
  </cols>
  <sheetData>
    <row r="1" spans="1:5" x14ac:dyDescent="0.2">
      <c r="A1" t="s">
        <v>314</v>
      </c>
      <c r="B1" t="s">
        <v>336</v>
      </c>
      <c r="C1" s="281" t="s">
        <v>339</v>
      </c>
      <c r="D1" t="s">
        <v>57</v>
      </c>
      <c r="E1" t="s">
        <v>363</v>
      </c>
    </row>
    <row r="2" spans="1:5" x14ac:dyDescent="0.2">
      <c r="A2">
        <v>3066</v>
      </c>
      <c r="B2">
        <v>3066</v>
      </c>
      <c r="C2">
        <v>3066</v>
      </c>
      <c r="D2">
        <v>3066</v>
      </c>
      <c r="E2">
        <v>8760</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workbookViewId="0"/>
  </sheetViews>
  <sheetFormatPr defaultRowHeight="12.75" x14ac:dyDescent="0.2"/>
  <sheetData>
    <row r="1" spans="1:2" x14ac:dyDescent="0.2">
      <c r="A1" t="s">
        <v>364</v>
      </c>
      <c r="B1" t="s">
        <v>365</v>
      </c>
    </row>
    <row r="2" spans="1:2" x14ac:dyDescent="0.2">
      <c r="A2" t="s">
        <v>29</v>
      </c>
      <c r="B2">
        <v>200000</v>
      </c>
    </row>
    <row r="3" spans="1:2" x14ac:dyDescent="0.2">
      <c r="A3" t="s">
        <v>30</v>
      </c>
      <c r="B3">
        <v>200000</v>
      </c>
    </row>
    <row r="4" spans="1:2" x14ac:dyDescent="0.2">
      <c r="A4" t="s">
        <v>54</v>
      </c>
      <c r="B4">
        <v>200000</v>
      </c>
    </row>
    <row r="5" spans="1:2" x14ac:dyDescent="0.2">
      <c r="A5" t="s">
        <v>36</v>
      </c>
      <c r="B5">
        <v>50000</v>
      </c>
    </row>
    <row r="6" spans="1:2" x14ac:dyDescent="0.2">
      <c r="A6" t="s">
        <v>31</v>
      </c>
      <c r="B6">
        <v>50000</v>
      </c>
    </row>
    <row r="7" spans="1:2" x14ac:dyDescent="0.2">
      <c r="A7" t="s">
        <v>32</v>
      </c>
      <c r="B7">
        <v>50000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X14"/>
  <sheetViews>
    <sheetView workbookViewId="0"/>
  </sheetViews>
  <sheetFormatPr defaultRowHeight="12.75" x14ac:dyDescent="0.2"/>
  <cols>
    <col min="1" max="1" width="7.1640625" style="10" bestFit="1" customWidth="1"/>
    <col min="2" max="2" width="19.83203125" style="10" bestFit="1" customWidth="1"/>
    <col min="3" max="4" width="15.6640625" style="10" bestFit="1" customWidth="1"/>
    <col min="5" max="5" width="15.33203125" style="10" bestFit="1" customWidth="1"/>
    <col min="6" max="6" width="16.1640625" style="10" bestFit="1" customWidth="1"/>
    <col min="7" max="8" width="17.83203125" style="10" bestFit="1" customWidth="1"/>
    <col min="9" max="9" width="17.83203125" style="10" customWidth="1"/>
    <col min="10" max="10" width="23.83203125" style="10" bestFit="1" customWidth="1"/>
    <col min="11" max="11" width="23.33203125" style="10" bestFit="1" customWidth="1"/>
    <col min="12" max="12" width="21.6640625" style="10" bestFit="1" customWidth="1"/>
    <col min="13" max="13" width="20.83203125" style="10" bestFit="1" customWidth="1"/>
    <col min="14" max="14" width="21.1640625" style="10" bestFit="1" customWidth="1"/>
    <col min="15" max="15" width="21.6640625" style="10" bestFit="1" customWidth="1"/>
    <col min="16" max="16" width="20.83203125" style="10" bestFit="1" customWidth="1"/>
    <col min="17" max="17" width="21.1640625" style="10" bestFit="1" customWidth="1"/>
    <col min="18" max="18" width="22.5" style="10" bestFit="1" customWidth="1"/>
    <col min="19" max="19" width="21.5" style="10" bestFit="1" customWidth="1"/>
    <col min="20" max="20" width="22" style="10" bestFit="1" customWidth="1"/>
    <col min="21" max="21" width="22.5" style="10" bestFit="1" customWidth="1"/>
    <col min="22" max="22" width="21.5" style="10" bestFit="1" customWidth="1"/>
    <col min="23" max="23" width="22" style="10" bestFit="1" customWidth="1"/>
    <col min="24" max="24" width="13.33203125" style="10" bestFit="1" customWidth="1"/>
    <col min="25" max="16384" width="9.33203125" style="10"/>
  </cols>
  <sheetData>
    <row r="1" spans="1:24" x14ac:dyDescent="0.2">
      <c r="A1" s="47" t="s">
        <v>35</v>
      </c>
      <c r="B1" s="47" t="s">
        <v>53</v>
      </c>
      <c r="C1" s="49" t="s">
        <v>275</v>
      </c>
      <c r="D1" s="49" t="s">
        <v>276</v>
      </c>
      <c r="E1" s="49" t="s">
        <v>277</v>
      </c>
      <c r="F1" s="49" t="s">
        <v>278</v>
      </c>
      <c r="G1" s="49" t="s">
        <v>384</v>
      </c>
      <c r="H1" s="49" t="s">
        <v>385</v>
      </c>
      <c r="I1" s="49" t="s">
        <v>401</v>
      </c>
      <c r="J1" s="49" t="s">
        <v>279</v>
      </c>
      <c r="K1" s="48" t="s">
        <v>396</v>
      </c>
      <c r="L1" s="49" t="s">
        <v>280</v>
      </c>
      <c r="M1" s="49" t="s">
        <v>281</v>
      </c>
      <c r="N1" s="49" t="s">
        <v>282</v>
      </c>
      <c r="O1" s="49" t="s">
        <v>283</v>
      </c>
      <c r="P1" s="49" t="s">
        <v>284</v>
      </c>
      <c r="Q1" s="49" t="s">
        <v>285</v>
      </c>
      <c r="R1" s="49" t="s">
        <v>286</v>
      </c>
      <c r="S1" s="49" t="s">
        <v>287</v>
      </c>
      <c r="T1" s="49" t="s">
        <v>288</v>
      </c>
      <c r="U1" s="49" t="s">
        <v>289</v>
      </c>
      <c r="V1" s="49" t="s">
        <v>290</v>
      </c>
      <c r="W1" s="49" t="s">
        <v>291</v>
      </c>
      <c r="X1" s="49" t="s">
        <v>292</v>
      </c>
    </row>
    <row r="2" spans="1:24" x14ac:dyDescent="0.2">
      <c r="A2" s="10" t="s">
        <v>32</v>
      </c>
      <c r="B2" s="46" t="s">
        <v>3</v>
      </c>
      <c r="C2" s="51">
        <f ca="1">HLOOKUP($B2, Aero_SCR_Filtered!$G$5:$L$39, 8, FALSE)</f>
        <v>9670</v>
      </c>
      <c r="D2" s="51">
        <f ca="1">HLOOKUP($B2, Aero_SCR_Filtered!$G$5:$L$39, 9, FALSE)</f>
        <v>9450</v>
      </c>
      <c r="E2" s="272">
        <f ca="1">HLOOKUP($B2, Aero_SCR_Filtered!$G$5:$L$39, 32, FALSE)</f>
        <v>9.74</v>
      </c>
      <c r="F2" s="272">
        <f ca="1">HLOOKUP($B2, Aero_SCR_Filtered!$G$5:$L$39, 33, FALSE)</f>
        <v>9.81</v>
      </c>
      <c r="G2" s="272">
        <f ca="1">HLOOKUP($B2, Aero_SCR_Filtered!$G$5:$L$39, 4, FALSE)</f>
        <v>166.6</v>
      </c>
      <c r="H2" s="272">
        <f ca="1">HLOOKUP($B2, Aero_SCR_Filtered!$G$5:$L$39, 5, FALSE)</f>
        <v>188.2</v>
      </c>
      <c r="I2" s="272">
        <f ca="1">HLOOKUP($B2, Aero_SCR_Filtered!$G$5:$L$39, 34, FALSE)</f>
        <v>570</v>
      </c>
      <c r="J2" s="272">
        <f>HLOOKUP($B2, Aero_SCR_Filtered!$G$5:$L$39, 29, FALSE)</f>
        <v>100</v>
      </c>
      <c r="K2" s="272">
        <f ca="1">IF(HLOOKUP($B2, Aero_SCR_Filtered!$G$5:$L$39, 35, FALSE)="N/A", 0, HLOOKUP($B2, Aero_SCR_Filtered!$G$5:$L$39, 35, FALSE))</f>
        <v>0</v>
      </c>
      <c r="L2" s="272">
        <f ca="1">HLOOKUP($B2, Aero_SCR_Filtered!$G$5:$L$39, 12, FALSE)</f>
        <v>13.652972399150743</v>
      </c>
      <c r="M2" s="272">
        <f ca="1">HLOOKUP($B2, Aero_SCR_Filtered!$G$5:$L$39, 13, FALSE)</f>
        <v>3.5928874734607219</v>
      </c>
      <c r="N2" s="272">
        <f ca="1">HLOOKUP($B2, Aero_SCR_Filtered!$G$5:$L$39, 14, FALSE)</f>
        <v>214341.40127388536</v>
      </c>
      <c r="O2" s="272">
        <f ca="1">HLOOKUP($B2, Aero_SCR_Filtered!$G$5:$L$39, 16, FALSE)</f>
        <v>13.342356687898089</v>
      </c>
      <c r="P2" s="272">
        <f ca="1">HLOOKUP($B2, Aero_SCR_Filtered!$G$5:$L$39, 17, FALSE)</f>
        <v>3.5111464968152868</v>
      </c>
      <c r="Q2" s="272">
        <f ca="1">HLOOKUP($B2, Aero_SCR_Filtered!$G$5:$L$39, 18, FALSE)</f>
        <v>209464.96815286623</v>
      </c>
      <c r="R2" s="272">
        <f ca="1">HLOOKUP($B2, Aero_SCR_Filtered!$G$5:$L$39, 20, FALSE)</f>
        <v>42.806687898089173</v>
      </c>
      <c r="S2" s="272">
        <f ca="1">HLOOKUP($B2, Aero_SCR_Filtered!$G$5:$L$39, 21, FALSE)</f>
        <v>2.6690021231422505</v>
      </c>
      <c r="T2" s="272">
        <f ca="1">HLOOKUP($B2, Aero_SCR_Filtered!$G$5:$L$39, 22, FALSE)</f>
        <v>285788.53503184713</v>
      </c>
      <c r="U2" s="272">
        <f ca="1">HLOOKUP($B2, Aero_SCR_Filtered!$G$5:$L$39, 24, FALSE)</f>
        <v>41.832802547770697</v>
      </c>
      <c r="V2" s="272">
        <f ca="1">HLOOKUP($B2, Aero_SCR_Filtered!$G$5:$L$39, 25, FALSE)</f>
        <v>2.6082802547770703</v>
      </c>
      <c r="W2" s="272">
        <f ca="1">HLOOKUP($B2, Aero_SCR_Filtered!$G$5:$L$39, 26, FALSE)</f>
        <v>279286.62420382164</v>
      </c>
      <c r="X2" s="272">
        <f ca="1">1-HLOOKUP($B2, Aero_SCR_Filtered!$G$5:$L$39, 30, FALSE)</f>
        <v>0.89969999999999994</v>
      </c>
    </row>
    <row r="3" spans="1:24" x14ac:dyDescent="0.2">
      <c r="A3" s="10" t="s">
        <v>31</v>
      </c>
      <c r="B3" s="46" t="s">
        <v>28</v>
      </c>
      <c r="C3" s="51">
        <f ca="1">HLOOKUP($B3, Aero_SCR_Filtered!$G$5:$L$39, 8, FALSE)</f>
        <v>9670</v>
      </c>
      <c r="D3" s="51">
        <f ca="1">HLOOKUP($B3, Aero_SCR_Filtered!$G$5:$L$39, 9, FALSE)</f>
        <v>9460</v>
      </c>
      <c r="E3" s="272">
        <f ca="1">HLOOKUP($B3, Aero_SCR_Filtered!$G$5:$L$39, 32, FALSE)</f>
        <v>10.190000000000001</v>
      </c>
      <c r="F3" s="272">
        <f ca="1">HLOOKUP($B3, Aero_SCR_Filtered!$G$5:$L$39, 33, FALSE)</f>
        <v>10.23</v>
      </c>
      <c r="G3" s="272">
        <f ca="1">HLOOKUP($B3, Aero_SCR_Filtered!$G$5:$L$39, 4, FALSE)</f>
        <v>166.5</v>
      </c>
      <c r="H3" s="272">
        <f ca="1">HLOOKUP($B3, Aero_SCR_Filtered!$G$5:$L$39, 5, FALSE)</f>
        <v>188.2</v>
      </c>
      <c r="I3" s="272">
        <f ca="1">HLOOKUP($B3, Aero_SCR_Filtered!$G$5:$L$39, 34, FALSE)</f>
        <v>570</v>
      </c>
      <c r="J3" s="272">
        <f>HLOOKUP($B3, Aero_SCR_Filtered!$G$5:$L$39, 29, FALSE)</f>
        <v>100</v>
      </c>
      <c r="K3" s="272">
        <f ca="1">IF(HLOOKUP($B3, Aero_SCR_Filtered!$G$5:$L$39, 35, FALSE)="N/A", 0, HLOOKUP($B3, Aero_SCR_Filtered!$G$5:$L$39, 35, FALSE))</f>
        <v>0</v>
      </c>
      <c r="L3" s="272">
        <f ca="1">HLOOKUP($B3, Aero_SCR_Filtered!$G$5:$L$39, 12, FALSE)</f>
        <v>13.652972399150743</v>
      </c>
      <c r="M3" s="272">
        <f ca="1">HLOOKUP($B3, Aero_SCR_Filtered!$G$5:$L$39, 13, FALSE)</f>
        <v>3.5928874734607219</v>
      </c>
      <c r="N3" s="272">
        <f ca="1">HLOOKUP($B3, Aero_SCR_Filtered!$G$5:$L$39, 14, FALSE)</f>
        <v>214341.40127388536</v>
      </c>
      <c r="O3" s="272">
        <f ca="1">HLOOKUP($B3, Aero_SCR_Filtered!$G$5:$L$39, 16, FALSE)</f>
        <v>13.356475583864119</v>
      </c>
      <c r="P3" s="272">
        <f ca="1">HLOOKUP($B3, Aero_SCR_Filtered!$G$5:$L$39, 17, FALSE)</f>
        <v>3.5148619957537157</v>
      </c>
      <c r="Q3" s="272">
        <f ca="1">HLOOKUP($B3, Aero_SCR_Filtered!$G$5:$L$39, 18, FALSE)</f>
        <v>209686.62420382164</v>
      </c>
      <c r="R3" s="272">
        <f ca="1">HLOOKUP($B3, Aero_SCR_Filtered!$G$5:$L$39, 20, FALSE)</f>
        <v>42.806687898089173</v>
      </c>
      <c r="S3" s="272">
        <f ca="1">HLOOKUP($B3, Aero_SCR_Filtered!$G$5:$L$39, 21, FALSE)</f>
        <v>2.6690021231422505</v>
      </c>
      <c r="T3" s="272">
        <f ca="1">HLOOKUP($B3, Aero_SCR_Filtered!$G$5:$L$39, 22, FALSE)</f>
        <v>285788.53503184713</v>
      </c>
      <c r="U3" s="272">
        <f ca="1">HLOOKUP($B3, Aero_SCR_Filtered!$G$5:$L$39, 24, FALSE)</f>
        <v>41.877070063694269</v>
      </c>
      <c r="V3" s="272">
        <f ca="1">HLOOKUP($B3, Aero_SCR_Filtered!$G$5:$L$39, 25, FALSE)</f>
        <v>2.6110403397027602</v>
      </c>
      <c r="W3" s="272">
        <f ca="1">HLOOKUP($B3, Aero_SCR_Filtered!$G$5:$L$39, 26, FALSE)</f>
        <v>279582.16560509556</v>
      </c>
      <c r="X3" s="272">
        <f ca="1">1-HLOOKUP($B3, Aero_SCR_Filtered!$G$5:$L$39, 30, FALSE)</f>
        <v>0.89969999999999994</v>
      </c>
    </row>
    <row r="4" spans="1:24" x14ac:dyDescent="0.2">
      <c r="A4" s="10" t="s">
        <v>54</v>
      </c>
      <c r="B4" s="46" t="s">
        <v>20</v>
      </c>
      <c r="C4" s="51">
        <f ca="1">HLOOKUP($B4, Aero_SCR_Filtered!$G$5:$L$39, 8, FALSE)</f>
        <v>9670</v>
      </c>
      <c r="D4" s="51">
        <f ca="1">HLOOKUP($B4, Aero_SCR_Filtered!$G$5:$L$39, 9, FALSE)</f>
        <v>9440</v>
      </c>
      <c r="E4" s="272">
        <f ca="1">HLOOKUP($B4, Aero_SCR_Filtered!$G$5:$L$39, 32, FALSE)</f>
        <v>9.870000000000001</v>
      </c>
      <c r="F4" s="272">
        <f ca="1">HLOOKUP($B4, Aero_SCR_Filtered!$G$5:$L$39, 33, FALSE)</f>
        <v>9.92</v>
      </c>
      <c r="G4" s="272">
        <f ca="1">HLOOKUP($B4, Aero_SCR_Filtered!$G$5:$L$39, 4, FALSE)</f>
        <v>166.5</v>
      </c>
      <c r="H4" s="272">
        <f ca="1">HLOOKUP($B4, Aero_SCR_Filtered!$G$5:$L$39, 5, FALSE)</f>
        <v>188.2</v>
      </c>
      <c r="I4" s="272">
        <f ca="1">HLOOKUP($B4, Aero_SCR_Filtered!$G$5:$L$39, 34, FALSE)</f>
        <v>570</v>
      </c>
      <c r="J4" s="272">
        <f>HLOOKUP($B4, Aero_SCR_Filtered!$G$5:$L$39, 29, FALSE)</f>
        <v>100</v>
      </c>
      <c r="K4" s="272">
        <f ca="1">IF(HLOOKUP($B4, Aero_SCR_Filtered!$G$5:$L$39, 35, FALSE)="N/A", 0, HLOOKUP($B4, Aero_SCR_Filtered!$G$5:$L$39, 35, FALSE))</f>
        <v>0</v>
      </c>
      <c r="L4" s="272">
        <f ca="1">HLOOKUP($B4, Aero_SCR_Filtered!$G$5:$L$39, 12, FALSE)</f>
        <v>13.638494167550371</v>
      </c>
      <c r="M4" s="272">
        <f ca="1">HLOOKUP($B4, Aero_SCR_Filtered!$G$5:$L$39, 13, FALSE)</f>
        <v>3.5890774125132556</v>
      </c>
      <c r="N4" s="272">
        <f ca="1">HLOOKUP($B4, Aero_SCR_Filtered!$G$5:$L$39, 14, FALSE)</f>
        <v>214114.10392364793</v>
      </c>
      <c r="O4" s="272">
        <f ca="1">HLOOKUP($B4, Aero_SCR_Filtered!$G$5:$L$39, 16, FALSE)</f>
        <v>13.314103923647933</v>
      </c>
      <c r="P4" s="272">
        <f ca="1">HLOOKUP($B4, Aero_SCR_Filtered!$G$5:$L$39, 17, FALSE)</f>
        <v>3.503711558854719</v>
      </c>
      <c r="Q4" s="272">
        <f ca="1">HLOOKUP($B4, Aero_SCR_Filtered!$G$5:$L$39, 18, FALSE)</f>
        <v>209021.42099681866</v>
      </c>
      <c r="R4" s="272">
        <f ca="1">HLOOKUP($B4, Aero_SCR_Filtered!$G$5:$L$39, 20, FALSE)</f>
        <v>42.761293743372214</v>
      </c>
      <c r="S4" s="272">
        <f ca="1">HLOOKUP($B4, Aero_SCR_Filtered!$G$5:$L$39, 21, FALSE)</f>
        <v>2.6661717921527042</v>
      </c>
      <c r="T4" s="272">
        <f ca="1">HLOOKUP($B4, Aero_SCR_Filtered!$G$5:$L$39, 22, FALSE)</f>
        <v>285485.47189819725</v>
      </c>
      <c r="U4" s="272">
        <f ca="1">HLOOKUP($B4, Aero_SCR_Filtered!$G$5:$L$39, 24, FALSE)</f>
        <v>41.744220572640508</v>
      </c>
      <c r="V4" s="272">
        <f ca="1">HLOOKUP($B4, Aero_SCR_Filtered!$G$5:$L$39, 25, FALSE)</f>
        <v>2.6027571580063626</v>
      </c>
      <c r="W4" s="272">
        <f ca="1">HLOOKUP($B4, Aero_SCR_Filtered!$G$5:$L$39, 26, FALSE)</f>
        <v>278695.22799575824</v>
      </c>
      <c r="X4" s="272">
        <f ca="1">1-HLOOKUP($B4, Aero_SCR_Filtered!$G$5:$L$39, 30, FALSE)</f>
        <v>0.89969999999999994</v>
      </c>
    </row>
    <row r="5" spans="1:24" x14ac:dyDescent="0.2">
      <c r="A5" s="10" t="s">
        <v>36</v>
      </c>
      <c r="B5" s="46" t="s">
        <v>21</v>
      </c>
      <c r="C5" s="51">
        <f ca="1">HLOOKUP($B5, Aero_SCR_Filtered!$G$5:$L$39, 8, FALSE)</f>
        <v>9670</v>
      </c>
      <c r="D5" s="51">
        <f ca="1">HLOOKUP($B5, Aero_SCR_Filtered!$G$5:$L$39, 9, FALSE)</f>
        <v>9440</v>
      </c>
      <c r="E5" s="272">
        <f ca="1">HLOOKUP($B5, Aero_SCR_Filtered!$G$5:$L$39, 32, FALSE)</f>
        <v>9.870000000000001</v>
      </c>
      <c r="F5" s="272">
        <f ca="1">HLOOKUP($B5, Aero_SCR_Filtered!$G$5:$L$39, 33, FALSE)</f>
        <v>9.92</v>
      </c>
      <c r="G5" s="272">
        <f ca="1">HLOOKUP($B5, Aero_SCR_Filtered!$G$5:$L$39, 4, FALSE)</f>
        <v>166.5</v>
      </c>
      <c r="H5" s="272">
        <f ca="1">HLOOKUP($B5, Aero_SCR_Filtered!$G$5:$L$39, 5, FALSE)</f>
        <v>188.2</v>
      </c>
      <c r="I5" s="272">
        <f ca="1">HLOOKUP($B5, Aero_SCR_Filtered!$G$5:$L$39, 34, FALSE)</f>
        <v>570</v>
      </c>
      <c r="J5" s="272">
        <f>HLOOKUP($B5, Aero_SCR_Filtered!$G$5:$L$39, 29, FALSE)</f>
        <v>100</v>
      </c>
      <c r="K5" s="272">
        <f ca="1">IF(HLOOKUP($B5, Aero_SCR_Filtered!$G$5:$L$39, 35, FALSE)="N/A", 0, HLOOKUP($B5, Aero_SCR_Filtered!$G$5:$L$39, 35, FALSE))</f>
        <v>0</v>
      </c>
      <c r="L5" s="272">
        <f ca="1">HLOOKUP($B5, Aero_SCR_Filtered!$G$5:$L$39, 12, FALSE)</f>
        <v>13.638494167550371</v>
      </c>
      <c r="M5" s="272">
        <f ca="1">HLOOKUP($B5, Aero_SCR_Filtered!$G$5:$L$39, 13, FALSE)</f>
        <v>3.5890774125132556</v>
      </c>
      <c r="N5" s="272">
        <f ca="1">HLOOKUP($B5, Aero_SCR_Filtered!$G$5:$L$39, 14, FALSE)</f>
        <v>214114.10392364793</v>
      </c>
      <c r="O5" s="272">
        <f ca="1">HLOOKUP($B5, Aero_SCR_Filtered!$G$5:$L$39, 16, FALSE)</f>
        <v>13.314103923647933</v>
      </c>
      <c r="P5" s="272">
        <f ca="1">HLOOKUP($B5, Aero_SCR_Filtered!$G$5:$L$39, 17, FALSE)</f>
        <v>3.503711558854719</v>
      </c>
      <c r="Q5" s="272">
        <f ca="1">HLOOKUP($B5, Aero_SCR_Filtered!$G$5:$L$39, 18, FALSE)</f>
        <v>209021.42099681866</v>
      </c>
      <c r="R5" s="272">
        <f ca="1">HLOOKUP($B5, Aero_SCR_Filtered!$G$5:$L$39, 20, FALSE)</f>
        <v>42.761293743372214</v>
      </c>
      <c r="S5" s="272">
        <f ca="1">HLOOKUP($B5, Aero_SCR_Filtered!$G$5:$L$39, 21, FALSE)</f>
        <v>2.6661717921527042</v>
      </c>
      <c r="T5" s="272">
        <f ca="1">HLOOKUP($B5, Aero_SCR_Filtered!$G$5:$L$39, 22, FALSE)</f>
        <v>285485.47189819725</v>
      </c>
      <c r="U5" s="272">
        <f ca="1">HLOOKUP($B5, Aero_SCR_Filtered!$G$5:$L$39, 24, FALSE)</f>
        <v>41.744220572640508</v>
      </c>
      <c r="V5" s="272">
        <f ca="1">HLOOKUP($B5, Aero_SCR_Filtered!$G$5:$L$39, 25, FALSE)</f>
        <v>2.6027571580063626</v>
      </c>
      <c r="W5" s="272">
        <f ca="1">HLOOKUP($B5, Aero_SCR_Filtered!$G$5:$L$39, 26, FALSE)</f>
        <v>278695.22799575824</v>
      </c>
      <c r="X5" s="272">
        <f ca="1">1-HLOOKUP($B5, Aero_SCR_Filtered!$G$5:$L$39, 30, FALSE)</f>
        <v>0.89969999999999994</v>
      </c>
    </row>
    <row r="6" spans="1:24" x14ac:dyDescent="0.2">
      <c r="A6" s="10" t="s">
        <v>30</v>
      </c>
      <c r="B6" s="46" t="s">
        <v>4</v>
      </c>
      <c r="C6" s="51">
        <f ca="1">HLOOKUP($B6, Aero_SCR_Filtered!$G$5:$L$39, 8, FALSE)</f>
        <v>9660</v>
      </c>
      <c r="D6" s="51">
        <f ca="1">HLOOKUP($B6, Aero_SCR_Filtered!$G$5:$L$39, 9, FALSE)</f>
        <v>9440</v>
      </c>
      <c r="E6" s="272">
        <f ca="1">HLOOKUP($B6, Aero_SCR_Filtered!$G$5:$L$39, 32, FALSE)</f>
        <v>9.9700000000000006</v>
      </c>
      <c r="F6" s="272">
        <f ca="1">HLOOKUP($B6, Aero_SCR_Filtered!$G$5:$L$39, 33, FALSE)</f>
        <v>10.02</v>
      </c>
      <c r="G6" s="272">
        <f ca="1">HLOOKUP($B6, Aero_SCR_Filtered!$G$5:$L$39, 4, FALSE)</f>
        <v>166.7</v>
      </c>
      <c r="H6" s="272">
        <f ca="1">HLOOKUP($B6, Aero_SCR_Filtered!$G$5:$L$39, 5, FALSE)</f>
        <v>188.2</v>
      </c>
      <c r="I6" s="272">
        <f ca="1">HLOOKUP($B6, Aero_SCR_Filtered!$G$5:$L$39, 34, FALSE)</f>
        <v>570</v>
      </c>
      <c r="J6" s="272">
        <f>HLOOKUP($B6, Aero_SCR_Filtered!$G$5:$L$39, 29, FALSE)</f>
        <v>100</v>
      </c>
      <c r="K6" s="272">
        <f ca="1">IF(HLOOKUP($B6, Aero_SCR_Filtered!$G$5:$L$39, 35, FALSE)="N/A", 0, HLOOKUP($B6, Aero_SCR_Filtered!$G$5:$L$39, 35, FALSE))</f>
        <v>0</v>
      </c>
      <c r="L6" s="272">
        <f ca="1">HLOOKUP($B6, Aero_SCR_Filtered!$G$5:$L$39, 12, FALSE)</f>
        <v>13.62439024390244</v>
      </c>
      <c r="M6" s="272">
        <f ca="1">HLOOKUP($B6, Aero_SCR_Filtered!$G$5:$L$39, 13, FALSE)</f>
        <v>3.5853658536585367</v>
      </c>
      <c r="N6" s="272">
        <f ca="1">HLOOKUP($B6, Aero_SCR_Filtered!$G$5:$L$39, 14, FALSE)</f>
        <v>213892.68292682926</v>
      </c>
      <c r="O6" s="272">
        <f ca="1">HLOOKUP($B6, Aero_SCR_Filtered!$G$5:$L$39, 16, FALSE)</f>
        <v>13.314103923647933</v>
      </c>
      <c r="P6" s="272">
        <f ca="1">HLOOKUP($B6, Aero_SCR_Filtered!$G$5:$L$39, 17, FALSE)</f>
        <v>3.503711558854719</v>
      </c>
      <c r="Q6" s="272">
        <f ca="1">HLOOKUP($B6, Aero_SCR_Filtered!$G$5:$L$39, 18, FALSE)</f>
        <v>209021.42099681866</v>
      </c>
      <c r="R6" s="272">
        <f ca="1">HLOOKUP($B6, Aero_SCR_Filtered!$G$5:$L$39, 20, FALSE)</f>
        <v>42.717073170731709</v>
      </c>
      <c r="S6" s="272">
        <f ca="1">HLOOKUP($B6, Aero_SCR_Filtered!$G$5:$L$39, 21, FALSE)</f>
        <v>2.6634146341463416</v>
      </c>
      <c r="T6" s="272">
        <f ca="1">HLOOKUP($B6, Aero_SCR_Filtered!$G$5:$L$39, 22, FALSE)</f>
        <v>285190.24390243902</v>
      </c>
      <c r="U6" s="272">
        <f ca="1">HLOOKUP($B6, Aero_SCR_Filtered!$G$5:$L$39, 24, FALSE)</f>
        <v>41.744220572640508</v>
      </c>
      <c r="V6" s="272">
        <f ca="1">HLOOKUP($B6, Aero_SCR_Filtered!$G$5:$L$39, 25, FALSE)</f>
        <v>2.6027571580063626</v>
      </c>
      <c r="W6" s="272">
        <f ca="1">HLOOKUP($B6, Aero_SCR_Filtered!$G$5:$L$39, 26, FALSE)</f>
        <v>278695.22799575824</v>
      </c>
      <c r="X6" s="272">
        <f ca="1">1-HLOOKUP($B6, Aero_SCR_Filtered!$G$5:$L$39, 30, FALSE)</f>
        <v>0.89969999999999994</v>
      </c>
    </row>
    <row r="7" spans="1:24" x14ac:dyDescent="0.2">
      <c r="A7" s="10" t="s">
        <v>29</v>
      </c>
      <c r="B7" s="46" t="s">
        <v>5</v>
      </c>
      <c r="C7" s="51">
        <f ca="1">HLOOKUP($B7, Aero_SCR_Filtered!$G$5:$L$39, 8, FALSE)</f>
        <v>9670</v>
      </c>
      <c r="D7" s="51">
        <f ca="1">HLOOKUP($B7, Aero_SCR_Filtered!$G$5:$L$39, 9, FALSE)</f>
        <v>9440</v>
      </c>
      <c r="E7" s="272">
        <f ca="1">HLOOKUP($B7, Aero_SCR_Filtered!$G$5:$L$39, 32, FALSE)</f>
        <v>10.09</v>
      </c>
      <c r="F7" s="272">
        <f ca="1">HLOOKUP($B7, Aero_SCR_Filtered!$G$5:$L$39, 33, FALSE)</f>
        <v>10.120000000000001</v>
      </c>
      <c r="G7" s="272">
        <f ca="1">HLOOKUP($B7, Aero_SCR_Filtered!$G$5:$L$39, 4, FALSE)</f>
        <v>166.7</v>
      </c>
      <c r="H7" s="272">
        <f ca="1">HLOOKUP($B7, Aero_SCR_Filtered!$G$5:$L$39, 5, FALSE)</f>
        <v>188.2</v>
      </c>
      <c r="I7" s="272">
        <f ca="1">HLOOKUP($B7, Aero_SCR_Filtered!$G$5:$L$39, 34, FALSE)</f>
        <v>570</v>
      </c>
      <c r="J7" s="272">
        <f>HLOOKUP($B7, Aero_SCR_Filtered!$G$5:$L$39, 29, FALSE)</f>
        <v>100</v>
      </c>
      <c r="K7" s="272">
        <f ca="1">IF(HLOOKUP($B7, Aero_SCR_Filtered!$G$5:$L$39, 35, FALSE)="N/A", 0, HLOOKUP($B7, Aero_SCR_Filtered!$G$5:$L$39, 35, FALSE))</f>
        <v>0</v>
      </c>
      <c r="L7" s="272">
        <f ca="1">HLOOKUP($B7, Aero_SCR_Filtered!$G$5:$L$39, 12, FALSE)</f>
        <v>13.638494167550371</v>
      </c>
      <c r="M7" s="272">
        <f ca="1">HLOOKUP($B7, Aero_SCR_Filtered!$G$5:$L$39, 13, FALSE)</f>
        <v>3.5890774125132556</v>
      </c>
      <c r="N7" s="272">
        <f ca="1">HLOOKUP($B7, Aero_SCR_Filtered!$G$5:$L$39, 14, FALSE)</f>
        <v>214114.10392364793</v>
      </c>
      <c r="O7" s="272">
        <f ca="1">HLOOKUP($B7, Aero_SCR_Filtered!$G$5:$L$39, 16, FALSE)</f>
        <v>13.314103923647933</v>
      </c>
      <c r="P7" s="272">
        <f ca="1">HLOOKUP($B7, Aero_SCR_Filtered!$G$5:$L$39, 17, FALSE)</f>
        <v>3.503711558854719</v>
      </c>
      <c r="Q7" s="272">
        <f ca="1">HLOOKUP($B7, Aero_SCR_Filtered!$G$5:$L$39, 18, FALSE)</f>
        <v>209021.42099681866</v>
      </c>
      <c r="R7" s="272">
        <f ca="1">HLOOKUP($B7, Aero_SCR_Filtered!$G$5:$L$39, 20, FALSE)</f>
        <v>42.761293743372214</v>
      </c>
      <c r="S7" s="272">
        <f ca="1">HLOOKUP($B7, Aero_SCR_Filtered!$G$5:$L$39, 21, FALSE)</f>
        <v>2.6661717921527042</v>
      </c>
      <c r="T7" s="272">
        <f ca="1">HLOOKUP($B7, Aero_SCR_Filtered!$G$5:$L$39, 22, FALSE)</f>
        <v>285485.47189819725</v>
      </c>
      <c r="U7" s="272">
        <f ca="1">HLOOKUP($B7, Aero_SCR_Filtered!$G$5:$L$39, 24, FALSE)</f>
        <v>41.744220572640508</v>
      </c>
      <c r="V7" s="272">
        <f ca="1">HLOOKUP($B7, Aero_SCR_Filtered!$G$5:$L$39, 25, FALSE)</f>
        <v>2.6027571580063626</v>
      </c>
      <c r="W7" s="272">
        <f ca="1">HLOOKUP($B7, Aero_SCR_Filtered!$G$5:$L$39, 26, FALSE)</f>
        <v>278695.22799575824</v>
      </c>
      <c r="X7" s="272">
        <f ca="1">1-HLOOKUP($B7, Aero_SCR_Filtered!$G$5:$L$39, 30, FALSE)</f>
        <v>0.89969999999999994</v>
      </c>
    </row>
    <row r="9" spans="1:24" x14ac:dyDescent="0.2">
      <c r="E9" s="274"/>
    </row>
    <row r="10" spans="1:24" x14ac:dyDescent="0.2">
      <c r="E10" s="274"/>
    </row>
    <row r="11" spans="1:24" x14ac:dyDescent="0.2">
      <c r="E11" s="274"/>
    </row>
    <row r="12" spans="1:24" x14ac:dyDescent="0.2">
      <c r="E12" s="274"/>
    </row>
    <row r="13" spans="1:24" x14ac:dyDescent="0.2">
      <c r="E13" s="274"/>
    </row>
    <row r="14" spans="1:24" x14ac:dyDescent="0.2">
      <c r="E14" s="274"/>
    </row>
  </sheetData>
  <pageMargins left="0.7" right="0.7" top="0.75" bottom="0.75" header="0.3" footer="0.3"/>
  <pageSetup scale="59" fitToWidth="2"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7"/>
  <sheetViews>
    <sheetView workbookViewId="0"/>
  </sheetViews>
  <sheetFormatPr defaultRowHeight="12.75" x14ac:dyDescent="0.2"/>
  <cols>
    <col min="1" max="1" width="7" customWidth="1"/>
    <col min="2" max="2" width="18.83203125" bestFit="1" customWidth="1"/>
    <col min="3" max="3" width="16.83203125" bestFit="1" customWidth="1"/>
    <col min="4" max="4" width="16.5" bestFit="1" customWidth="1"/>
    <col min="5" max="5" width="16.33203125" bestFit="1" customWidth="1"/>
    <col min="6" max="6" width="16.83203125" bestFit="1" customWidth="1"/>
    <col min="7" max="7" width="18.33203125" bestFit="1" customWidth="1"/>
    <col min="8" max="8" width="18" bestFit="1" customWidth="1"/>
    <col min="9" max="9" width="18.83203125" bestFit="1" customWidth="1"/>
    <col min="10" max="10" width="24.1640625" bestFit="1" customWidth="1"/>
    <col min="11" max="11" width="23.1640625" bestFit="1" customWidth="1"/>
    <col min="12" max="12" width="22.83203125" bestFit="1" customWidth="1"/>
    <col min="13" max="13" width="22" bestFit="1" customWidth="1"/>
    <col min="14" max="14" width="22.1640625" bestFit="1" customWidth="1"/>
    <col min="15" max="15" width="22.5" bestFit="1" customWidth="1"/>
    <col min="16" max="16" width="21.6640625" bestFit="1" customWidth="1"/>
    <col min="17" max="17" width="21.83203125" bestFit="1" customWidth="1"/>
    <col min="18" max="18" width="23.33203125" bestFit="1" customWidth="1"/>
    <col min="19" max="19" width="22.5" bestFit="1" customWidth="1"/>
    <col min="20" max="20" width="22.6640625" bestFit="1" customWidth="1"/>
    <col min="21" max="21" width="23" bestFit="1" customWidth="1"/>
    <col min="22" max="22" width="22.1640625" bestFit="1" customWidth="1"/>
    <col min="23" max="23" width="22.33203125" bestFit="1" customWidth="1"/>
    <col min="24" max="24" width="14.5" bestFit="1" customWidth="1"/>
  </cols>
  <sheetData>
    <row r="1" spans="1:24" x14ac:dyDescent="0.2">
      <c r="A1" s="47" t="s">
        <v>35</v>
      </c>
      <c r="B1" s="47" t="s">
        <v>53</v>
      </c>
      <c r="C1" s="49" t="s">
        <v>275</v>
      </c>
      <c r="D1" s="49" t="s">
        <v>276</v>
      </c>
      <c r="E1" s="49" t="s">
        <v>277</v>
      </c>
      <c r="F1" s="49" t="s">
        <v>278</v>
      </c>
      <c r="G1" s="49" t="s">
        <v>384</v>
      </c>
      <c r="H1" s="49" t="s">
        <v>385</v>
      </c>
      <c r="I1" s="49" t="s">
        <v>401</v>
      </c>
      <c r="J1" s="49" t="s">
        <v>279</v>
      </c>
      <c r="K1" s="48" t="s">
        <v>396</v>
      </c>
      <c r="L1" s="49" t="s">
        <v>280</v>
      </c>
      <c r="M1" s="49" t="s">
        <v>281</v>
      </c>
      <c r="N1" s="49" t="s">
        <v>282</v>
      </c>
      <c r="O1" s="49" t="s">
        <v>283</v>
      </c>
      <c r="P1" s="49" t="s">
        <v>284</v>
      </c>
      <c r="Q1" s="49" t="s">
        <v>285</v>
      </c>
      <c r="R1" s="49" t="s">
        <v>286</v>
      </c>
      <c r="S1" s="49" t="s">
        <v>287</v>
      </c>
      <c r="T1" s="49" t="s">
        <v>288</v>
      </c>
      <c r="U1" s="49" t="s">
        <v>289</v>
      </c>
      <c r="V1" s="49" t="s">
        <v>290</v>
      </c>
      <c r="W1" s="49" t="s">
        <v>291</v>
      </c>
      <c r="X1" s="49" t="s">
        <v>292</v>
      </c>
    </row>
    <row r="2" spans="1:24" x14ac:dyDescent="0.2">
      <c r="A2" s="10" t="s">
        <v>32</v>
      </c>
      <c r="B2" s="46" t="s">
        <v>3</v>
      </c>
      <c r="C2" s="51">
        <f ca="1">HLOOKUP($B2, Aero_NoSCR_Filtered!$G$5:$M$39, 8, FALSE)</f>
        <v>9670</v>
      </c>
      <c r="D2" s="51">
        <f ca="1">HLOOKUP($B2, Aero_NoSCR_Filtered!$G$5:$M$39, 9, FALSE)</f>
        <v>9450</v>
      </c>
      <c r="E2" s="272">
        <f ca="1">HLOOKUP($B2, Aero_NoSCR_Filtered!$G$5:$M$39, 32, FALSE)</f>
        <v>8.91</v>
      </c>
      <c r="F2" s="272">
        <f ca="1">HLOOKUP($B2, Aero_NoSCR_Filtered!$G$5:$M$39, 33, FALSE)</f>
        <v>8.7800000000000011</v>
      </c>
      <c r="G2" s="272">
        <f ca="1">HLOOKUP($B2, Aero_NoSCR_Filtered!$G$5:$M$39, 4, FALSE)</f>
        <v>166.6</v>
      </c>
      <c r="H2" s="272">
        <f ca="1">HLOOKUP($B2, Aero_NoSCR_Filtered!$G$5:$M$39, 5, FALSE)</f>
        <v>188.2</v>
      </c>
      <c r="I2" s="272">
        <f ca="1">HLOOKUP($B2, Aero_NoSCR_Filtered!$G$5:$M$39, 34, FALSE)</f>
        <v>570</v>
      </c>
      <c r="J2" s="272">
        <f>HLOOKUP($B2, Aero_NoSCR_Filtered!$G$5:$M$39, 29, FALSE)</f>
        <v>100</v>
      </c>
      <c r="K2" s="272">
        <f ca="1">IF(HLOOKUP($B2, Aero_NoSCR_Filtered!$G$5:$M$39, 35, FALSE)="N/A", 0, HLOOKUP($B2, Aero_NoSCR_Filtered!$G$5:$M$39, 35, FALSE))</f>
        <v>0</v>
      </c>
      <c r="L2" s="272">
        <f ca="1">HLOOKUP($B2, Aero_NoSCR_Filtered!$G$5:$M$39, 12, FALSE)</f>
        <v>171.22675159235669</v>
      </c>
      <c r="M2" s="272">
        <f ca="1">HLOOKUP($B2, Aero_NoSCR_Filtered!$G$5:$M$39, 13, FALSE)</f>
        <v>3.5928874734607219</v>
      </c>
      <c r="N2" s="272">
        <f ca="1">HLOOKUP($B2, Aero_NoSCR_Filtered!$G$5:$M$39, 14, FALSE)</f>
        <v>214341.40127388536</v>
      </c>
      <c r="O2" s="272">
        <f ca="1">HLOOKUP($B2, Aero_NoSCR_Filtered!$G$5:$M$39, 16, FALSE)</f>
        <v>167.33121019108279</v>
      </c>
      <c r="P2" s="272">
        <f ca="1">HLOOKUP($B2, Aero_NoSCR_Filtered!$G$5:$M$39, 17, FALSE)</f>
        <v>3.5111464968152868</v>
      </c>
      <c r="Q2" s="272">
        <f ca="1">HLOOKUP($B2, Aero_NoSCR_Filtered!$G$5:$M$39, 18, FALSE)</f>
        <v>209464.96815286623</v>
      </c>
      <c r="R2" s="272">
        <f ca="1">HLOOKUP($B2, Aero_NoSCR_Filtered!$G$5:$M$39, 20, FALSE)</f>
        <v>285.37791932059446</v>
      </c>
      <c r="S2" s="272">
        <f ca="1">HLOOKUP($B2, Aero_NoSCR_Filtered!$G$5:$M$39, 21, FALSE)</f>
        <v>2.6690021231422505</v>
      </c>
      <c r="T2" s="272">
        <f ca="1">HLOOKUP($B2, Aero_NoSCR_Filtered!$G$5:$M$39, 22, FALSE)</f>
        <v>285788.53503184713</v>
      </c>
      <c r="U2" s="272">
        <f ca="1">HLOOKUP($B2, Aero_NoSCR_Filtered!$G$5:$M$39, 24, FALSE)</f>
        <v>278.88535031847135</v>
      </c>
      <c r="V2" s="272">
        <f ca="1">HLOOKUP($B2, Aero_NoSCR_Filtered!$G$5:$M$39, 25, FALSE)</f>
        <v>2.6082802547770703</v>
      </c>
      <c r="W2" s="272">
        <f ca="1">HLOOKUP($B2, Aero_NoSCR_Filtered!$G$5:$M$39, 26, FALSE)</f>
        <v>279286.62420382164</v>
      </c>
      <c r="X2" s="272">
        <f ca="1">1-HLOOKUP($B2, Aero_NoSCR_Filtered!$G$5:$M$39, 30, FALSE)</f>
        <v>0.89969999999999994</v>
      </c>
    </row>
    <row r="3" spans="1:24" x14ac:dyDescent="0.2">
      <c r="A3" s="10" t="s">
        <v>31</v>
      </c>
      <c r="B3" s="46" t="s">
        <v>28</v>
      </c>
      <c r="C3" s="51">
        <f ca="1">HLOOKUP($B3, Aero_NoSCR_Filtered!$G$5:$M$39, 8, FALSE)</f>
        <v>9670</v>
      </c>
      <c r="D3" s="51">
        <f ca="1">HLOOKUP($B3, Aero_NoSCR_Filtered!$G$5:$M$39, 9, FALSE)</f>
        <v>9460</v>
      </c>
      <c r="E3" s="272">
        <f ca="1">HLOOKUP($B3, Aero_NoSCR_Filtered!$G$5:$M$39, 32, FALSE)</f>
        <v>9.3600000000000012</v>
      </c>
      <c r="F3" s="272">
        <f ca="1">HLOOKUP($B3, Aero_NoSCR_Filtered!$G$5:$M$39, 33, FALSE)</f>
        <v>9.2000000000000011</v>
      </c>
      <c r="G3" s="272">
        <f ca="1">HLOOKUP($B3, Aero_NoSCR_Filtered!$G$5:$M$39, 4, FALSE)</f>
        <v>166.5</v>
      </c>
      <c r="H3" s="272">
        <f ca="1">HLOOKUP($B3, Aero_NoSCR_Filtered!$G$5:$M$39, 5, FALSE)</f>
        <v>188.2</v>
      </c>
      <c r="I3" s="272">
        <f ca="1">HLOOKUP($B3, Aero_NoSCR_Filtered!$G$5:$M$39, 34, FALSE)</f>
        <v>570</v>
      </c>
      <c r="J3" s="272">
        <f>HLOOKUP($B3, Aero_NoSCR_Filtered!$G$5:$M$39, 29, FALSE)</f>
        <v>100</v>
      </c>
      <c r="K3" s="272">
        <f ca="1">IF(HLOOKUP($B3, Aero_NoSCR_Filtered!$G$5:$M$39, 35, FALSE)="N/A", 0, HLOOKUP($B3, Aero_NoSCR_Filtered!$G$5:$M$39, 35, FALSE))</f>
        <v>0</v>
      </c>
      <c r="L3" s="272">
        <f ca="1">HLOOKUP($B3, Aero_NoSCR_Filtered!$G$5:$M$39, 12, FALSE)</f>
        <v>171.22675159235669</v>
      </c>
      <c r="M3" s="272">
        <f ca="1">HLOOKUP($B3, Aero_NoSCR_Filtered!$G$5:$M$39, 13, FALSE)</f>
        <v>3.5928874734607219</v>
      </c>
      <c r="N3" s="272">
        <f ca="1">HLOOKUP($B3, Aero_NoSCR_Filtered!$G$5:$M$39, 14, FALSE)</f>
        <v>214341.40127388536</v>
      </c>
      <c r="O3" s="272">
        <f ca="1">HLOOKUP($B3, Aero_NoSCR_Filtered!$G$5:$M$39, 16, FALSE)</f>
        <v>167.50828025477708</v>
      </c>
      <c r="P3" s="272">
        <f ca="1">HLOOKUP($B3, Aero_NoSCR_Filtered!$G$5:$M$39, 17, FALSE)</f>
        <v>3.5148619957537157</v>
      </c>
      <c r="Q3" s="272">
        <f ca="1">HLOOKUP($B3, Aero_NoSCR_Filtered!$G$5:$M$39, 18, FALSE)</f>
        <v>209686.62420382164</v>
      </c>
      <c r="R3" s="272">
        <f ca="1">HLOOKUP($B3, Aero_NoSCR_Filtered!$G$5:$M$39, 20, FALSE)</f>
        <v>285.37791932059446</v>
      </c>
      <c r="S3" s="272">
        <f ca="1">HLOOKUP($B3, Aero_NoSCR_Filtered!$G$5:$M$39, 21, FALSE)</f>
        <v>2.6690021231422505</v>
      </c>
      <c r="T3" s="272">
        <f ca="1">HLOOKUP($B3, Aero_NoSCR_Filtered!$G$5:$M$39, 22, FALSE)</f>
        <v>285788.53503184713</v>
      </c>
      <c r="U3" s="272">
        <f ca="1">HLOOKUP($B3, Aero_NoSCR_Filtered!$G$5:$M$39, 24, FALSE)</f>
        <v>279.1804670912951</v>
      </c>
      <c r="V3" s="272">
        <f ca="1">HLOOKUP($B3, Aero_NoSCR_Filtered!$G$5:$M$39, 25, FALSE)</f>
        <v>2.6110403397027602</v>
      </c>
      <c r="W3" s="272">
        <f ca="1">HLOOKUP($B3, Aero_NoSCR_Filtered!$G$5:$M$39, 26, FALSE)</f>
        <v>279582.16560509556</v>
      </c>
      <c r="X3" s="272">
        <f ca="1">1-HLOOKUP($B3, Aero_NoSCR_Filtered!$G$5:$M$39, 30, FALSE)</f>
        <v>0.89969999999999994</v>
      </c>
    </row>
    <row r="4" spans="1:24" x14ac:dyDescent="0.2">
      <c r="A4" s="10" t="s">
        <v>54</v>
      </c>
      <c r="B4" s="46" t="s">
        <v>20</v>
      </c>
      <c r="C4" s="51">
        <f ca="1">HLOOKUP($B4, Aero_NoSCR_Filtered!$G$5:$M$39, 8, FALSE)</f>
        <v>9670</v>
      </c>
      <c r="D4" s="51">
        <f ca="1">HLOOKUP($B4, Aero_NoSCR_Filtered!$G$5:$M$39, 9, FALSE)</f>
        <v>9440</v>
      </c>
      <c r="E4" s="272">
        <f ca="1">HLOOKUP($B4, Aero_NoSCR_Filtered!$G$5:$M$39, 32, FALSE)</f>
        <v>9.0400000000000009</v>
      </c>
      <c r="F4" s="272">
        <f ca="1">HLOOKUP($B4, Aero_NoSCR_Filtered!$G$5:$M$39, 33, FALSE)</f>
        <v>8.92</v>
      </c>
      <c r="G4" s="272">
        <f ca="1">HLOOKUP($B4, Aero_NoSCR_Filtered!$G$5:$M$39, 4, FALSE)</f>
        <v>166.5</v>
      </c>
      <c r="H4" s="272">
        <f ca="1">HLOOKUP($B4, Aero_NoSCR_Filtered!$G$5:$M$39, 5, FALSE)</f>
        <v>188.2</v>
      </c>
      <c r="I4" s="272">
        <f ca="1">HLOOKUP($B4, Aero_NoSCR_Filtered!$G$5:$M$39, 34, FALSE)</f>
        <v>570</v>
      </c>
      <c r="J4" s="272">
        <f>HLOOKUP($B4, Aero_NoSCR_Filtered!$G$5:$M$39, 29, FALSE)</f>
        <v>100</v>
      </c>
      <c r="K4" s="272">
        <f ca="1">IF(HLOOKUP($B4, Aero_NoSCR_Filtered!$G$5:$M$39, 35, FALSE)="N/A", 0, HLOOKUP($B4, Aero_NoSCR_Filtered!$G$5:$M$39, 35, FALSE))</f>
        <v>0</v>
      </c>
      <c r="L4" s="272">
        <f ca="1">HLOOKUP($B4, Aero_NoSCR_Filtered!$G$5:$M$39, 12, FALSE)</f>
        <v>171.04517497348886</v>
      </c>
      <c r="M4" s="272">
        <f ca="1">HLOOKUP($B4, Aero_NoSCR_Filtered!$G$5:$M$39, 13, FALSE)</f>
        <v>3.5890774125132556</v>
      </c>
      <c r="N4" s="272">
        <f ca="1">HLOOKUP($B4, Aero_NoSCR_Filtered!$G$5:$M$39, 14, FALSE)</f>
        <v>214114.10392364793</v>
      </c>
      <c r="O4" s="272">
        <f ca="1">HLOOKUP($B4, Aero_NoSCR_Filtered!$G$5:$M$39, 16, FALSE)</f>
        <v>166.97688229056203</v>
      </c>
      <c r="P4" s="272">
        <f ca="1">HLOOKUP($B4, Aero_NoSCR_Filtered!$G$5:$M$39, 17, FALSE)</f>
        <v>3.503711558854719</v>
      </c>
      <c r="Q4" s="272">
        <f ca="1">HLOOKUP($B4, Aero_NoSCR_Filtered!$G$5:$M$39, 18, FALSE)</f>
        <v>209021.42099681866</v>
      </c>
      <c r="R4" s="272">
        <f ca="1">HLOOKUP($B4, Aero_NoSCR_Filtered!$G$5:$M$39, 20, FALSE)</f>
        <v>285.07529162248142</v>
      </c>
      <c r="S4" s="272">
        <f ca="1">HLOOKUP($B4, Aero_NoSCR_Filtered!$G$5:$M$39, 21, FALSE)</f>
        <v>2.6661717921527042</v>
      </c>
      <c r="T4" s="272">
        <f ca="1">HLOOKUP($B4, Aero_NoSCR_Filtered!$G$5:$M$39, 22, FALSE)</f>
        <v>285485.47189819725</v>
      </c>
      <c r="U4" s="272">
        <f ca="1">HLOOKUP($B4, Aero_NoSCR_Filtered!$G$5:$M$39, 24, FALSE)</f>
        <v>278.29480381760339</v>
      </c>
      <c r="V4" s="272">
        <f ca="1">HLOOKUP($B4, Aero_NoSCR_Filtered!$G$5:$M$39, 25, FALSE)</f>
        <v>2.6027571580063626</v>
      </c>
      <c r="W4" s="272">
        <f ca="1">HLOOKUP($B4, Aero_NoSCR_Filtered!$G$5:$M$39, 26, FALSE)</f>
        <v>278695.22799575824</v>
      </c>
      <c r="X4" s="272">
        <f ca="1">1-HLOOKUP($B4, Aero_NoSCR_Filtered!$G$5:$M$39, 30, FALSE)</f>
        <v>0.89969999999999994</v>
      </c>
    </row>
    <row r="5" spans="1:24" x14ac:dyDescent="0.2">
      <c r="A5" s="10" t="s">
        <v>36</v>
      </c>
      <c r="B5" s="46" t="s">
        <v>21</v>
      </c>
      <c r="C5" s="51">
        <f ca="1">HLOOKUP($B5, Aero_NoSCR_Filtered!$G$5:$M$39, 8, FALSE)</f>
        <v>9670</v>
      </c>
      <c r="D5" s="51">
        <f ca="1">HLOOKUP($B5, Aero_NoSCR_Filtered!$G$5:$M$39, 9, FALSE)</f>
        <v>9440</v>
      </c>
      <c r="E5" s="272">
        <f ca="1">HLOOKUP($B5, Aero_NoSCR_Filtered!$G$5:$M$39, 32, FALSE)</f>
        <v>9.0400000000000009</v>
      </c>
      <c r="F5" s="272">
        <f ca="1">HLOOKUP($B5, Aero_NoSCR_Filtered!$G$5:$M$39, 33, FALSE)</f>
        <v>8.92</v>
      </c>
      <c r="G5" s="272">
        <f ca="1">HLOOKUP($B5, Aero_NoSCR_Filtered!$G$5:$M$39, 4, FALSE)</f>
        <v>166.5</v>
      </c>
      <c r="H5" s="272">
        <f ca="1">HLOOKUP($B5, Aero_NoSCR_Filtered!$G$5:$M$39, 5, FALSE)</f>
        <v>188.2</v>
      </c>
      <c r="I5" s="272">
        <f ca="1">HLOOKUP($B5, Aero_NoSCR_Filtered!$G$5:$M$39, 34, FALSE)</f>
        <v>570</v>
      </c>
      <c r="J5" s="272">
        <f>HLOOKUP($B5, Aero_NoSCR_Filtered!$G$5:$M$39, 29, FALSE)</f>
        <v>100</v>
      </c>
      <c r="K5" s="272">
        <f ca="1">IF(HLOOKUP($B5, Aero_NoSCR_Filtered!$G$5:$M$39, 35, FALSE)="N/A", 0, HLOOKUP($B5, Aero_NoSCR_Filtered!$G$5:$M$39, 35, FALSE))</f>
        <v>0</v>
      </c>
      <c r="L5" s="272">
        <f ca="1">HLOOKUP($B5, Aero_NoSCR_Filtered!$G$5:$M$39, 12, FALSE)</f>
        <v>171.04517497348886</v>
      </c>
      <c r="M5" s="272">
        <f ca="1">HLOOKUP($B5, Aero_NoSCR_Filtered!$G$5:$M$39, 13, FALSE)</f>
        <v>3.5890774125132556</v>
      </c>
      <c r="N5" s="272">
        <f ca="1">HLOOKUP($B5, Aero_NoSCR_Filtered!$G$5:$M$39, 14, FALSE)</f>
        <v>214114.10392364793</v>
      </c>
      <c r="O5" s="272">
        <f ca="1">HLOOKUP($B5, Aero_NoSCR_Filtered!$G$5:$M$39, 16, FALSE)</f>
        <v>166.97688229056203</v>
      </c>
      <c r="P5" s="272">
        <f ca="1">HLOOKUP($B5, Aero_NoSCR_Filtered!$G$5:$M$39, 17, FALSE)</f>
        <v>3.503711558854719</v>
      </c>
      <c r="Q5" s="272">
        <f ca="1">HLOOKUP($B5, Aero_NoSCR_Filtered!$G$5:$M$39, 18, FALSE)</f>
        <v>209021.42099681866</v>
      </c>
      <c r="R5" s="272">
        <f ca="1">HLOOKUP($B5, Aero_NoSCR_Filtered!$G$5:$M$39, 20, FALSE)</f>
        <v>285.07529162248142</v>
      </c>
      <c r="S5" s="272">
        <f ca="1">HLOOKUP($B5, Aero_NoSCR_Filtered!$G$5:$M$39, 21, FALSE)</f>
        <v>2.6661717921527042</v>
      </c>
      <c r="T5" s="272">
        <f ca="1">HLOOKUP($B5, Aero_NoSCR_Filtered!$G$5:$M$39, 22, FALSE)</f>
        <v>285485.47189819725</v>
      </c>
      <c r="U5" s="272">
        <f ca="1">HLOOKUP($B5, Aero_NoSCR_Filtered!$G$5:$M$39, 24, FALSE)</f>
        <v>278.29480381760339</v>
      </c>
      <c r="V5" s="272">
        <f ca="1">HLOOKUP($B5, Aero_NoSCR_Filtered!$G$5:$M$39, 25, FALSE)</f>
        <v>2.6027571580063626</v>
      </c>
      <c r="W5" s="272">
        <f ca="1">HLOOKUP($B5, Aero_NoSCR_Filtered!$G$5:$M$39, 26, FALSE)</f>
        <v>278695.22799575824</v>
      </c>
      <c r="X5" s="272">
        <f ca="1">1-HLOOKUP($B5, Aero_NoSCR_Filtered!$G$5:$M$39, 30, FALSE)</f>
        <v>0.89969999999999994</v>
      </c>
    </row>
    <row r="6" spans="1:24" x14ac:dyDescent="0.2">
      <c r="A6" s="10" t="s">
        <v>30</v>
      </c>
      <c r="B6" s="46" t="s">
        <v>4</v>
      </c>
      <c r="C6" s="51">
        <f ca="1">HLOOKUP($B6, Aero_NoSCR_Filtered!$G$5:$M$39, 8, FALSE)</f>
        <v>9660</v>
      </c>
      <c r="D6" s="51">
        <f ca="1">HLOOKUP($B6, Aero_NoSCR_Filtered!$G$5:$M$39, 9, FALSE)</f>
        <v>9440</v>
      </c>
      <c r="E6" s="272">
        <f ca="1">HLOOKUP($B6, Aero_NoSCR_Filtered!$G$5:$M$39, 32, FALSE)</f>
        <v>9.14</v>
      </c>
      <c r="F6" s="272">
        <f ca="1">HLOOKUP($B6, Aero_NoSCR_Filtered!$G$5:$M$39, 33, FALSE)</f>
        <v>9.02</v>
      </c>
      <c r="G6" s="272">
        <f ca="1">HLOOKUP($B6, Aero_NoSCR_Filtered!$G$5:$M$39, 4, FALSE)</f>
        <v>166.7</v>
      </c>
      <c r="H6" s="272">
        <f ca="1">HLOOKUP($B6, Aero_NoSCR_Filtered!$G$5:$M$39, 5, FALSE)</f>
        <v>188.2</v>
      </c>
      <c r="I6" s="272">
        <f ca="1">HLOOKUP($B6, Aero_NoSCR_Filtered!$G$5:$M$39, 34, FALSE)</f>
        <v>570</v>
      </c>
      <c r="J6" s="272">
        <f>HLOOKUP($B6, Aero_NoSCR_Filtered!$G$5:$M$39, 29, FALSE)</f>
        <v>100</v>
      </c>
      <c r="K6" s="272">
        <f ca="1">IF(HLOOKUP($B6, Aero_NoSCR_Filtered!$G$5:$M$39, 35, FALSE)="N/A", 0, HLOOKUP($B6, Aero_NoSCR_Filtered!$G$5:$M$39, 35, FALSE))</f>
        <v>0</v>
      </c>
      <c r="L6" s="272">
        <f ca="1">HLOOKUP($B6, Aero_NoSCR_Filtered!$G$5:$M$39, 12, FALSE)</f>
        <v>170.86829268292684</v>
      </c>
      <c r="M6" s="272">
        <f ca="1">HLOOKUP($B6, Aero_NoSCR_Filtered!$G$5:$M$39, 13, FALSE)</f>
        <v>3.5853658536585367</v>
      </c>
      <c r="N6" s="272">
        <f ca="1">HLOOKUP($B6, Aero_NoSCR_Filtered!$G$5:$M$39, 14, FALSE)</f>
        <v>213892.68292682926</v>
      </c>
      <c r="O6" s="272">
        <f ca="1">HLOOKUP($B6, Aero_NoSCR_Filtered!$G$5:$M$39, 16, FALSE)</f>
        <v>166.97688229056203</v>
      </c>
      <c r="P6" s="272">
        <f ca="1">HLOOKUP($B6, Aero_NoSCR_Filtered!$G$5:$M$39, 17, FALSE)</f>
        <v>3.503711558854719</v>
      </c>
      <c r="Q6" s="272">
        <f ca="1">HLOOKUP($B6, Aero_NoSCR_Filtered!$G$5:$M$39, 18, FALSE)</f>
        <v>209021.42099681866</v>
      </c>
      <c r="R6" s="272">
        <f ca="1">HLOOKUP($B6, Aero_NoSCR_Filtered!$G$5:$M$39, 20, FALSE)</f>
        <v>284.78048780487802</v>
      </c>
      <c r="S6" s="272">
        <f ca="1">HLOOKUP($B6, Aero_NoSCR_Filtered!$G$5:$M$39, 21, FALSE)</f>
        <v>2.6634146341463416</v>
      </c>
      <c r="T6" s="272">
        <f ca="1">HLOOKUP($B6, Aero_NoSCR_Filtered!$G$5:$M$39, 22, FALSE)</f>
        <v>285190.24390243902</v>
      </c>
      <c r="U6" s="272">
        <f ca="1">HLOOKUP($B6, Aero_NoSCR_Filtered!$G$5:$M$39, 24, FALSE)</f>
        <v>278.29480381760339</v>
      </c>
      <c r="V6" s="272">
        <f ca="1">HLOOKUP($B6, Aero_NoSCR_Filtered!$G$5:$M$39, 25, FALSE)</f>
        <v>2.6027571580063626</v>
      </c>
      <c r="W6" s="272">
        <f ca="1">HLOOKUP($B6, Aero_NoSCR_Filtered!$G$5:$M$39, 26, FALSE)</f>
        <v>278695.22799575824</v>
      </c>
      <c r="X6" s="272">
        <f ca="1">1-HLOOKUP($B6, Aero_NoSCR_Filtered!$G$5:$M$39, 30, FALSE)</f>
        <v>0.89969999999999994</v>
      </c>
    </row>
    <row r="7" spans="1:24" x14ac:dyDescent="0.2">
      <c r="A7" s="10" t="s">
        <v>29</v>
      </c>
      <c r="B7" s="46" t="s">
        <v>5</v>
      </c>
      <c r="C7" s="51">
        <f ca="1">HLOOKUP($B7, Aero_NoSCR_Filtered!$G$5:$M$39, 8, FALSE)</f>
        <v>9670</v>
      </c>
      <c r="D7" s="51">
        <f ca="1">HLOOKUP($B7, Aero_NoSCR_Filtered!$G$5:$M$39, 9, FALSE)</f>
        <v>9440</v>
      </c>
      <c r="E7" s="272">
        <f ca="1">HLOOKUP($B7, Aero_NoSCR_Filtered!$G$5:$M$39, 32, FALSE)</f>
        <v>9.27</v>
      </c>
      <c r="F7" s="272">
        <f ca="1">HLOOKUP($B7, Aero_NoSCR_Filtered!$G$5:$M$39, 33, FALSE)</f>
        <v>9.120000000000001</v>
      </c>
      <c r="G7" s="272">
        <f ca="1">HLOOKUP($B7, Aero_NoSCR_Filtered!$G$5:$M$39, 4, FALSE)</f>
        <v>166.7</v>
      </c>
      <c r="H7" s="272">
        <f ca="1">HLOOKUP($B7, Aero_NoSCR_Filtered!$G$5:$M$39, 5, FALSE)</f>
        <v>188.2</v>
      </c>
      <c r="I7" s="272">
        <f ca="1">HLOOKUP($B7, Aero_NoSCR_Filtered!$G$5:$M$39, 34, FALSE)</f>
        <v>570</v>
      </c>
      <c r="J7" s="272">
        <f>HLOOKUP($B7, Aero_NoSCR_Filtered!$G$5:$M$39, 29, FALSE)</f>
        <v>100</v>
      </c>
      <c r="K7" s="272">
        <f ca="1">IF(HLOOKUP($B7, Aero_NoSCR_Filtered!$G$5:$M$39, 35, FALSE)="N/A", 0, HLOOKUP($B7, Aero_NoSCR_Filtered!$G$5:$M$39, 35, FALSE))</f>
        <v>0</v>
      </c>
      <c r="L7" s="272">
        <f ca="1">HLOOKUP($B7, Aero_NoSCR_Filtered!$G$5:$M$39, 12, FALSE)</f>
        <v>171.04517497348886</v>
      </c>
      <c r="M7" s="272">
        <f ca="1">HLOOKUP($B7, Aero_NoSCR_Filtered!$G$5:$M$39, 13, FALSE)</f>
        <v>3.5890774125132556</v>
      </c>
      <c r="N7" s="272">
        <f ca="1">HLOOKUP($B7, Aero_NoSCR_Filtered!$G$5:$M$39, 14, FALSE)</f>
        <v>214114.10392364793</v>
      </c>
      <c r="O7" s="272">
        <f ca="1">HLOOKUP($B7, Aero_NoSCR_Filtered!$G$5:$M$39, 16, FALSE)</f>
        <v>166.97688229056203</v>
      </c>
      <c r="P7" s="272">
        <f ca="1">HLOOKUP($B7, Aero_NoSCR_Filtered!$G$5:$M$39, 17, FALSE)</f>
        <v>3.503711558854719</v>
      </c>
      <c r="Q7" s="272">
        <f ca="1">HLOOKUP($B7, Aero_NoSCR_Filtered!$G$5:$M$39, 18, FALSE)</f>
        <v>209021.42099681866</v>
      </c>
      <c r="R7" s="272">
        <f ca="1">HLOOKUP($B7, Aero_NoSCR_Filtered!$G$5:$M$39, 20, FALSE)</f>
        <v>285.07529162248142</v>
      </c>
      <c r="S7" s="272">
        <f ca="1">HLOOKUP($B7, Aero_NoSCR_Filtered!$G$5:$M$39, 21, FALSE)</f>
        <v>2.6661717921527042</v>
      </c>
      <c r="T7" s="272">
        <f ca="1">HLOOKUP($B7, Aero_NoSCR_Filtered!$G$5:$M$39, 22, FALSE)</f>
        <v>285485.47189819725</v>
      </c>
      <c r="U7" s="272">
        <f ca="1">HLOOKUP($B7, Aero_NoSCR_Filtered!$G$5:$M$39, 24, FALSE)</f>
        <v>278.29480381760339</v>
      </c>
      <c r="V7" s="272">
        <f ca="1">HLOOKUP($B7, Aero_NoSCR_Filtered!$G$5:$M$39, 25, FALSE)</f>
        <v>2.6027571580063626</v>
      </c>
      <c r="W7" s="272">
        <f ca="1">HLOOKUP($B7, Aero_NoSCR_Filtered!$G$5:$M$39, 26, FALSE)</f>
        <v>278695.22799575824</v>
      </c>
      <c r="X7" s="272">
        <f ca="1">1-HLOOKUP($B7, Aero_NoSCR_Filtered!$G$5:$M$39, 30, FALSE)</f>
        <v>0.89969999999999994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W7"/>
  <sheetViews>
    <sheetView workbookViewId="0"/>
  </sheetViews>
  <sheetFormatPr defaultRowHeight="12.75" x14ac:dyDescent="0.2"/>
  <cols>
    <col min="1" max="1" width="9.33203125" style="10"/>
    <col min="2" max="2" width="22.6640625" style="10" customWidth="1"/>
    <col min="3" max="3" width="15.5" style="10" bestFit="1" customWidth="1"/>
    <col min="4" max="4" width="15.1640625" style="10" bestFit="1" customWidth="1"/>
    <col min="5" max="5" width="15" style="10" bestFit="1" customWidth="1"/>
    <col min="6" max="6" width="15.5" style="10" bestFit="1" customWidth="1"/>
    <col min="7" max="7" width="17.6640625" style="10" bestFit="1" customWidth="1"/>
    <col min="8" max="8" width="17.1640625" style="10" bestFit="1" customWidth="1"/>
    <col min="9" max="9" width="22.83203125" style="10" bestFit="1" customWidth="1"/>
    <col min="10" max="10" width="22.6640625" style="10" bestFit="1" customWidth="1"/>
    <col min="11" max="11" width="21.33203125" style="10" bestFit="1" customWidth="1"/>
    <col min="12" max="12" width="20.5" style="10" bestFit="1" customWidth="1"/>
    <col min="13" max="13" width="20.6640625" style="10" bestFit="1" customWidth="1"/>
    <col min="14" max="14" width="21" style="10" bestFit="1" customWidth="1"/>
    <col min="15" max="15" width="20.1640625" style="10" bestFit="1" customWidth="1"/>
    <col min="16" max="16" width="20.33203125" style="10" bestFit="1" customWidth="1"/>
    <col min="17" max="17" width="20.83203125" style="10" bestFit="1" customWidth="1"/>
    <col min="18" max="18" width="22" style="10" bestFit="1" customWidth="1"/>
    <col min="19" max="19" width="21.1640625" style="10" bestFit="1" customWidth="1"/>
    <col min="20" max="20" width="21" style="10" bestFit="1" customWidth="1"/>
    <col min="21" max="21" width="20.6640625" style="10" bestFit="1" customWidth="1"/>
    <col min="22" max="22" width="21.6640625" style="10" bestFit="1" customWidth="1"/>
    <col min="23" max="23" width="21" style="10" bestFit="1" customWidth="1"/>
    <col min="24" max="16384" width="9.33203125" style="10"/>
  </cols>
  <sheetData>
    <row r="1" spans="1:23" x14ac:dyDescent="0.2">
      <c r="A1" s="47" t="s">
        <v>35</v>
      </c>
      <c r="B1" s="47" t="s">
        <v>53</v>
      </c>
      <c r="C1" s="49" t="s">
        <v>37</v>
      </c>
      <c r="D1" s="49" t="s">
        <v>38</v>
      </c>
      <c r="E1" s="49" t="s">
        <v>39</v>
      </c>
      <c r="F1" s="49" t="s">
        <v>40</v>
      </c>
      <c r="G1" s="49" t="s">
        <v>386</v>
      </c>
      <c r="H1" s="49" t="s">
        <v>387</v>
      </c>
      <c r="I1" s="49" t="s">
        <v>33</v>
      </c>
      <c r="J1" s="48" t="s">
        <v>397</v>
      </c>
      <c r="K1" s="49" t="s">
        <v>41</v>
      </c>
      <c r="L1" s="49" t="s">
        <v>42</v>
      </c>
      <c r="M1" s="49" t="s">
        <v>43</v>
      </c>
      <c r="N1" s="49" t="s">
        <v>44</v>
      </c>
      <c r="O1" s="49" t="s">
        <v>45</v>
      </c>
      <c r="P1" s="49" t="s">
        <v>46</v>
      </c>
      <c r="Q1" s="49" t="s">
        <v>47</v>
      </c>
      <c r="R1" s="49" t="s">
        <v>48</v>
      </c>
      <c r="S1" s="49" t="s">
        <v>49</v>
      </c>
      <c r="T1" s="49" t="s">
        <v>50</v>
      </c>
      <c r="U1" s="49" t="s">
        <v>51</v>
      </c>
      <c r="V1" s="49" t="s">
        <v>52</v>
      </c>
      <c r="W1" s="49" t="s">
        <v>34</v>
      </c>
    </row>
    <row r="2" spans="1:23" x14ac:dyDescent="0.2">
      <c r="A2" s="10" t="s">
        <v>32</v>
      </c>
      <c r="B2" s="46" t="s">
        <v>3</v>
      </c>
      <c r="C2" s="51">
        <f ca="1">HLOOKUP($B2, 'F-Class_SCR_Filtered'!$G$5:$L$38, 8, FALSE)</f>
        <v>10200</v>
      </c>
      <c r="D2" s="51">
        <f ca="1">HLOOKUP($B2, 'F-Class_SCR_Filtered'!$G$5:$L$38, 9, FALSE)</f>
        <v>9890</v>
      </c>
      <c r="E2" s="272">
        <f ca="1">HLOOKUP($B2, 'F-Class_SCR_Filtered'!$G$5:$L$38, 32, FALSE)</f>
        <v>1.52</v>
      </c>
      <c r="F2" s="272">
        <f ca="1">HLOOKUP($B2, 'F-Class_SCR_Filtered'!$G$5:$L$38, 33, FALSE)</f>
        <v>8.8299999999999983</v>
      </c>
      <c r="G2" s="272">
        <f ca="1">HLOOKUP($B2, 'F-Class_SCR_Filtered'!$G$5:$L$38, 4, FALSE)</f>
        <v>218</v>
      </c>
      <c r="H2" s="272">
        <f ca="1">HLOOKUP($B2, 'F-Class_SCR_Filtered'!$G$5:$L$38, 5, FALSE)</f>
        <v>227.2</v>
      </c>
      <c r="I2" s="272">
        <f>HLOOKUP($B2, 'F-Class_SCR_Filtered'!$G$5:$L$38, 29, FALSE)</f>
        <v>325</v>
      </c>
      <c r="J2" s="272">
        <f ca="1">HLOOKUP($B2, 'F-Class_SCR_Filtered'!$G$5:$L$38, 34, FALSE)</f>
        <v>9500</v>
      </c>
      <c r="K2" s="272">
        <f ca="1">HLOOKUP($B2, 'F-Class_SCR_Filtered'!$G$5:$L$38, 12, FALSE)</f>
        <v>17.870078740157481</v>
      </c>
      <c r="L2" s="272">
        <f ca="1">HLOOKUP($B2, 'F-Class_SCR_Filtered'!$G$5:$L$38, 13, FALSE)</f>
        <v>4.6181102362204722</v>
      </c>
      <c r="M2" s="272">
        <f ca="1">HLOOKUP($B2, 'F-Class_SCR_Filtered'!$G$5:$L$38, 14, FALSE)</f>
        <v>277086.61417322833</v>
      </c>
      <c r="N2" s="272">
        <f ca="1">HLOOKUP($B2, 'F-Class_SCR_Filtered'!$G$5:$L$38, 16, FALSE)</f>
        <v>17.326968503937007</v>
      </c>
      <c r="O2" s="272">
        <f ca="1">HLOOKUP($B2, 'F-Class_SCR_Filtered'!$G$5:$L$38, 17, FALSE)</f>
        <v>4.4777559055118115</v>
      </c>
      <c r="P2" s="272">
        <f ca="1">HLOOKUP($B2, 'F-Class_SCR_Filtered'!$G$5:$L$38, 18, FALSE)</f>
        <v>268665.35433070868</v>
      </c>
      <c r="Q2" s="272">
        <f ca="1">HLOOKUP($B2, 'F-Class_SCR_Filtered'!$G$5:$L$38, 20, FALSE)</f>
        <v>64.753937007874015</v>
      </c>
      <c r="R2" s="272">
        <f ca="1">HLOOKUP($B2, 'F-Class_SCR_Filtered'!$G$5:$L$38, 21, FALSE)</f>
        <v>3.5137795275590551</v>
      </c>
      <c r="S2" s="272">
        <f ca="1">HLOOKUP($B2, 'F-Class_SCR_Filtered'!$G$5:$L$38, 22, FALSE)</f>
        <v>369448.81889763777</v>
      </c>
      <c r="T2" s="272">
        <f ca="1">HLOOKUP($B2, 'F-Class_SCR_Filtered'!$G$5:$L$38, 24, FALSE)</f>
        <v>62.785925196850393</v>
      </c>
      <c r="U2" s="272">
        <f ca="1">HLOOKUP($B2, 'F-Class_SCR_Filtered'!$G$5:$L$38, 25, FALSE)</f>
        <v>3.4069881889763778</v>
      </c>
      <c r="V2" s="272">
        <f ca="1">HLOOKUP($B2, 'F-Class_SCR_Filtered'!$G$5:$L$38, 26, FALSE)</f>
        <v>358220.47244094487</v>
      </c>
      <c r="W2" s="272">
        <f ca="1">1-HLOOKUP($B2, 'F-Class_SCR_Filtered'!$G$5:$L$38, 30, FALSE)</f>
        <v>0.95660000000000001</v>
      </c>
    </row>
    <row r="3" spans="1:23" x14ac:dyDescent="0.2">
      <c r="A3" s="10" t="s">
        <v>31</v>
      </c>
      <c r="B3" s="46" t="s">
        <v>28</v>
      </c>
      <c r="C3" s="51">
        <f ca="1">HLOOKUP($B3, 'F-Class_SCR_Filtered'!$G$5:$L$38, 8, FALSE)</f>
        <v>10210</v>
      </c>
      <c r="D3" s="51">
        <f ca="1">HLOOKUP($B3, 'F-Class_SCR_Filtered'!$G$5:$L$38, 9, FALSE)</f>
        <v>9900</v>
      </c>
      <c r="E3" s="272">
        <f ca="1">HLOOKUP($B3, 'F-Class_SCR_Filtered'!$G$5:$L$38, 32, FALSE)</f>
        <v>1.54</v>
      </c>
      <c r="F3" s="272">
        <f ca="1">HLOOKUP($B3, 'F-Class_SCR_Filtered'!$G$5:$L$38, 33, FALSE)</f>
        <v>9.2099999999999991</v>
      </c>
      <c r="G3" s="272">
        <f ca="1">HLOOKUP($B3, 'F-Class_SCR_Filtered'!$G$5:$L$38, 4, FALSE)</f>
        <v>217.8</v>
      </c>
      <c r="H3" s="272">
        <f ca="1">HLOOKUP($B3, 'F-Class_SCR_Filtered'!$G$5:$L$38, 5, FALSE)</f>
        <v>226.9</v>
      </c>
      <c r="I3" s="272">
        <f>HLOOKUP($B3, 'F-Class_SCR_Filtered'!$G$5:$L$38, 29, FALSE)</f>
        <v>325</v>
      </c>
      <c r="J3" s="272">
        <f ca="1">HLOOKUP($B3, 'F-Class_SCR_Filtered'!$G$5:$L$38, 34, FALSE)</f>
        <v>9500</v>
      </c>
      <c r="K3" s="272">
        <f ca="1">HLOOKUP($B3, 'F-Class_SCR_Filtered'!$G$5:$L$38, 12, FALSE)</f>
        <v>17.887598425196849</v>
      </c>
      <c r="L3" s="272">
        <f ca="1">HLOOKUP($B3, 'F-Class_SCR_Filtered'!$G$5:$L$38, 13, FALSE)</f>
        <v>4.6226377952755904</v>
      </c>
      <c r="M3" s="272">
        <f ca="1">HLOOKUP($B3, 'F-Class_SCR_Filtered'!$G$5:$L$38, 14, FALSE)</f>
        <v>277358.26771653543</v>
      </c>
      <c r="N3" s="272">
        <f ca="1">HLOOKUP($B3, 'F-Class_SCR_Filtered'!$G$5:$L$38, 16, FALSE)</f>
        <v>17.344488188976378</v>
      </c>
      <c r="O3" s="272">
        <f ca="1">HLOOKUP($B3, 'F-Class_SCR_Filtered'!$G$5:$L$38, 17, FALSE)</f>
        <v>4.4822834645669287</v>
      </c>
      <c r="P3" s="272">
        <f ca="1">HLOOKUP($B3, 'F-Class_SCR_Filtered'!$G$5:$L$38, 18, FALSE)</f>
        <v>268937.00787401578</v>
      </c>
      <c r="Q3" s="272">
        <f ca="1">HLOOKUP($B3, 'F-Class_SCR_Filtered'!$G$5:$L$38, 20, FALSE)</f>
        <v>64.817421259842519</v>
      </c>
      <c r="R3" s="272">
        <f ca="1">HLOOKUP($B3, 'F-Class_SCR_Filtered'!$G$5:$L$38, 21, FALSE)</f>
        <v>3.517224409448819</v>
      </c>
      <c r="S3" s="272">
        <f ca="1">HLOOKUP($B3, 'F-Class_SCR_Filtered'!$G$5:$L$38, 22, FALSE)</f>
        <v>369811.02362204727</v>
      </c>
      <c r="T3" s="272">
        <f ca="1">HLOOKUP($B3, 'F-Class_SCR_Filtered'!$G$5:$L$38, 24, FALSE)</f>
        <v>62.849409448818896</v>
      </c>
      <c r="U3" s="272">
        <f ca="1">HLOOKUP($B3, 'F-Class_SCR_Filtered'!$G$5:$L$38, 25, FALSE)</f>
        <v>3.4104330708661417</v>
      </c>
      <c r="V3" s="272">
        <f ca="1">HLOOKUP($B3, 'F-Class_SCR_Filtered'!$G$5:$L$38, 26, FALSE)</f>
        <v>358582.67716535431</v>
      </c>
      <c r="W3" s="272">
        <f ca="1">1-HLOOKUP($B3, 'F-Class_SCR_Filtered'!$G$5:$L$38, 30, FALSE)</f>
        <v>0.95660000000000001</v>
      </c>
    </row>
    <row r="4" spans="1:23" x14ac:dyDescent="0.2">
      <c r="A4" s="10" t="s">
        <v>54</v>
      </c>
      <c r="B4" s="46" t="s">
        <v>20</v>
      </c>
      <c r="C4" s="51">
        <f ca="1">HLOOKUP($B4, 'F-Class_SCR_Filtered'!$G$5:$L$38, 8, FALSE)</f>
        <v>10200</v>
      </c>
      <c r="D4" s="51">
        <f ca="1">HLOOKUP($B4, 'F-Class_SCR_Filtered'!$G$5:$L$38, 9, FALSE)</f>
        <v>9890</v>
      </c>
      <c r="E4" s="272">
        <f ca="1">HLOOKUP($B4, 'F-Class_SCR_Filtered'!$G$5:$L$38, 32, FALSE)</f>
        <v>1.52</v>
      </c>
      <c r="F4" s="272">
        <f ca="1">HLOOKUP($B4, 'F-Class_SCR_Filtered'!$G$5:$L$38, 33, FALSE)</f>
        <v>8.84</v>
      </c>
      <c r="G4" s="272">
        <f ca="1">HLOOKUP($B4, 'F-Class_SCR_Filtered'!$G$5:$L$38, 4, FALSE)</f>
        <v>217</v>
      </c>
      <c r="H4" s="272">
        <f ca="1">HLOOKUP($B4, 'F-Class_SCR_Filtered'!$G$5:$L$38, 5, FALSE)</f>
        <v>226.5</v>
      </c>
      <c r="I4" s="272">
        <f>HLOOKUP($B4, 'F-Class_SCR_Filtered'!$G$5:$L$38, 29, FALSE)</f>
        <v>325</v>
      </c>
      <c r="J4" s="272">
        <f ca="1">HLOOKUP($B4, 'F-Class_SCR_Filtered'!$G$5:$L$38, 34, FALSE)</f>
        <v>9500</v>
      </c>
      <c r="K4" s="272">
        <f ca="1">HLOOKUP($B4, 'F-Class_SCR_Filtered'!$G$5:$L$38, 12, FALSE)</f>
        <v>17.870078740157481</v>
      </c>
      <c r="L4" s="272">
        <f ca="1">HLOOKUP($B4, 'F-Class_SCR_Filtered'!$G$5:$L$38, 13, FALSE)</f>
        <v>4.6181102362204722</v>
      </c>
      <c r="M4" s="272">
        <f ca="1">HLOOKUP($B4, 'F-Class_SCR_Filtered'!$G$5:$L$38, 14, FALSE)</f>
        <v>274677.16535433073</v>
      </c>
      <c r="N4" s="272">
        <f ca="1">HLOOKUP($B4, 'F-Class_SCR_Filtered'!$G$5:$L$38, 16, FALSE)</f>
        <v>17.326968503937007</v>
      </c>
      <c r="O4" s="272">
        <f ca="1">HLOOKUP($B4, 'F-Class_SCR_Filtered'!$G$5:$L$38, 17, FALSE)</f>
        <v>4.4777559055118115</v>
      </c>
      <c r="P4" s="272">
        <f ca="1">HLOOKUP($B4, 'F-Class_SCR_Filtered'!$G$5:$L$38, 18, FALSE)</f>
        <v>266329.13385826774</v>
      </c>
      <c r="Q4" s="272">
        <f ca="1">HLOOKUP($B4, 'F-Class_SCR_Filtered'!$G$5:$L$38, 20, FALSE)</f>
        <v>64.753937007874015</v>
      </c>
      <c r="R4" s="272">
        <f ca="1">HLOOKUP($B4, 'F-Class_SCR_Filtered'!$G$5:$L$38, 21, FALSE)</f>
        <v>3.5137795275590551</v>
      </c>
      <c r="S4" s="272">
        <f ca="1">HLOOKUP($B4, 'F-Class_SCR_Filtered'!$G$5:$L$38, 22, FALSE)</f>
        <v>366236.22047244094</v>
      </c>
      <c r="T4" s="272">
        <f ca="1">HLOOKUP($B4, 'F-Class_SCR_Filtered'!$G$5:$L$38, 24, FALSE)</f>
        <v>62.785925196850393</v>
      </c>
      <c r="U4" s="272">
        <f ca="1">HLOOKUP($B4, 'F-Class_SCR_Filtered'!$G$5:$L$38, 25, FALSE)</f>
        <v>3.4069881889763778</v>
      </c>
      <c r="V4" s="272">
        <f ca="1">HLOOKUP($B4, 'F-Class_SCR_Filtered'!$G$5:$L$38, 26, FALSE)</f>
        <v>355105.51181102364</v>
      </c>
      <c r="W4" s="272">
        <f ca="1">1-HLOOKUP($B4, 'F-Class_SCR_Filtered'!$G$5:$L$38, 30, FALSE)</f>
        <v>0.95660000000000001</v>
      </c>
    </row>
    <row r="5" spans="1:23" x14ac:dyDescent="0.2">
      <c r="A5" s="10" t="s">
        <v>36</v>
      </c>
      <c r="B5" s="46" t="s">
        <v>21</v>
      </c>
      <c r="C5" s="51">
        <f ca="1">HLOOKUP($B5, 'F-Class_SCR_Filtered'!$G$5:$L$38, 8, FALSE)</f>
        <v>10200</v>
      </c>
      <c r="D5" s="51">
        <f ca="1">HLOOKUP($B5, 'F-Class_SCR_Filtered'!$G$5:$L$38, 9, FALSE)</f>
        <v>9890</v>
      </c>
      <c r="E5" s="272">
        <f ca="1">HLOOKUP($B5, 'F-Class_SCR_Filtered'!$G$5:$L$38, 32, FALSE)</f>
        <v>1.52</v>
      </c>
      <c r="F5" s="272">
        <f ca="1">HLOOKUP($B5, 'F-Class_SCR_Filtered'!$G$5:$L$38, 33, FALSE)</f>
        <v>8.84</v>
      </c>
      <c r="G5" s="272">
        <f ca="1">HLOOKUP($B5, 'F-Class_SCR_Filtered'!$G$5:$L$38, 4, FALSE)</f>
        <v>217</v>
      </c>
      <c r="H5" s="272">
        <f ca="1">HLOOKUP($B5, 'F-Class_SCR_Filtered'!$G$5:$L$38, 5, FALSE)</f>
        <v>226.5</v>
      </c>
      <c r="I5" s="272">
        <f>HLOOKUP($B5, 'F-Class_SCR_Filtered'!$G$5:$L$38, 29, FALSE)</f>
        <v>325</v>
      </c>
      <c r="J5" s="272">
        <f ca="1">HLOOKUP($B5, 'F-Class_SCR_Filtered'!$G$5:$L$38, 34, FALSE)</f>
        <v>9500</v>
      </c>
      <c r="K5" s="272">
        <f ca="1">HLOOKUP($B5, 'F-Class_SCR_Filtered'!$G$5:$L$38, 12, FALSE)</f>
        <v>17.870078740157481</v>
      </c>
      <c r="L5" s="272">
        <f ca="1">HLOOKUP($B5, 'F-Class_SCR_Filtered'!$G$5:$L$38, 13, FALSE)</f>
        <v>4.6181102362204722</v>
      </c>
      <c r="M5" s="272">
        <f ca="1">HLOOKUP($B5, 'F-Class_SCR_Filtered'!$G$5:$L$38, 14, FALSE)</f>
        <v>274677.16535433073</v>
      </c>
      <c r="N5" s="272">
        <f ca="1">HLOOKUP($B5, 'F-Class_SCR_Filtered'!$G$5:$L$38, 16, FALSE)</f>
        <v>17.326968503937007</v>
      </c>
      <c r="O5" s="272">
        <f ca="1">HLOOKUP($B5, 'F-Class_SCR_Filtered'!$G$5:$L$38, 17, FALSE)</f>
        <v>4.4777559055118115</v>
      </c>
      <c r="P5" s="272">
        <f ca="1">HLOOKUP($B5, 'F-Class_SCR_Filtered'!$G$5:$L$38, 18, FALSE)</f>
        <v>266329.13385826774</v>
      </c>
      <c r="Q5" s="272">
        <f ca="1">HLOOKUP($B5, 'F-Class_SCR_Filtered'!$G$5:$L$38, 20, FALSE)</f>
        <v>64.753937007874015</v>
      </c>
      <c r="R5" s="272">
        <f ca="1">HLOOKUP($B5, 'F-Class_SCR_Filtered'!$G$5:$L$38, 21, FALSE)</f>
        <v>3.5137795275590551</v>
      </c>
      <c r="S5" s="272">
        <f ca="1">HLOOKUP($B5, 'F-Class_SCR_Filtered'!$G$5:$L$38, 22, FALSE)</f>
        <v>366236.22047244094</v>
      </c>
      <c r="T5" s="272">
        <f ca="1">HLOOKUP($B5, 'F-Class_SCR_Filtered'!$G$5:$L$38, 24, FALSE)</f>
        <v>62.785925196850393</v>
      </c>
      <c r="U5" s="272">
        <f ca="1">HLOOKUP($B5, 'F-Class_SCR_Filtered'!$G$5:$L$38, 25, FALSE)</f>
        <v>3.4069881889763778</v>
      </c>
      <c r="V5" s="272">
        <f ca="1">HLOOKUP($B5, 'F-Class_SCR_Filtered'!$G$5:$L$38, 26, FALSE)</f>
        <v>355105.51181102364</v>
      </c>
      <c r="W5" s="272">
        <f ca="1">1-HLOOKUP($B5, 'F-Class_SCR_Filtered'!$G$5:$L$38, 30, FALSE)</f>
        <v>0.95660000000000001</v>
      </c>
    </row>
    <row r="6" spans="1:23" x14ac:dyDescent="0.2">
      <c r="A6" s="10" t="s">
        <v>30</v>
      </c>
      <c r="B6" s="46" t="s">
        <v>4</v>
      </c>
      <c r="C6" s="51">
        <f ca="1">HLOOKUP($B6, 'F-Class_SCR_Filtered'!$G$5:$L$38, 8, FALSE)</f>
        <v>10180</v>
      </c>
      <c r="D6" s="51">
        <f ca="1">HLOOKUP($B6, 'F-Class_SCR_Filtered'!$G$5:$L$38, 9, FALSE)</f>
        <v>9880</v>
      </c>
      <c r="E6" s="272">
        <f ca="1">HLOOKUP($B6, 'F-Class_SCR_Filtered'!$G$5:$L$38, 32, FALSE)</f>
        <v>1.52</v>
      </c>
      <c r="F6" s="272">
        <f ca="1">HLOOKUP($B6, 'F-Class_SCR_Filtered'!$G$5:$L$38, 33, FALSE)</f>
        <v>8.84</v>
      </c>
      <c r="G6" s="272">
        <f ca="1">HLOOKUP($B6, 'F-Class_SCR_Filtered'!$G$5:$L$38, 4, FALSE)</f>
        <v>217</v>
      </c>
      <c r="H6" s="272">
        <f ca="1">HLOOKUP($B6, 'F-Class_SCR_Filtered'!$G$5:$L$38, 5, FALSE)</f>
        <v>225.9</v>
      </c>
      <c r="I6" s="272">
        <f>HLOOKUP($B6, 'F-Class_SCR_Filtered'!$G$5:$L$38, 29, FALSE)</f>
        <v>325</v>
      </c>
      <c r="J6" s="272">
        <f ca="1">HLOOKUP($B6, 'F-Class_SCR_Filtered'!$G$5:$L$38, 34, FALSE)</f>
        <v>9500</v>
      </c>
      <c r="K6" s="272">
        <f ca="1">HLOOKUP($B6, 'F-Class_SCR_Filtered'!$G$5:$L$38, 12, FALSE)</f>
        <v>17.835039370078739</v>
      </c>
      <c r="L6" s="272">
        <f ca="1">HLOOKUP($B6, 'F-Class_SCR_Filtered'!$G$5:$L$38, 13, FALSE)</f>
        <v>4.5088582677165352</v>
      </c>
      <c r="M6" s="272">
        <f ca="1">HLOOKUP($B6, 'F-Class_SCR_Filtered'!$G$5:$L$38, 14, FALSE)</f>
        <v>272936.22047244094</v>
      </c>
      <c r="N6" s="272">
        <f ca="1">HLOOKUP($B6, 'F-Class_SCR_Filtered'!$G$5:$L$38, 16, FALSE)</f>
        <v>17.309448818897639</v>
      </c>
      <c r="O6" s="272">
        <f ca="1">HLOOKUP($B6, 'F-Class_SCR_Filtered'!$G$5:$L$38, 17, FALSE)</f>
        <v>4.3759842519685037</v>
      </c>
      <c r="P6" s="272">
        <f ca="1">HLOOKUP($B6, 'F-Class_SCR_Filtered'!$G$5:$L$38, 18, FALSE)</f>
        <v>264892.91338582675</v>
      </c>
      <c r="Q6" s="272">
        <f ca="1">HLOOKUP($B6, 'F-Class_SCR_Filtered'!$G$5:$L$38, 20, FALSE)</f>
        <v>64.626968503937007</v>
      </c>
      <c r="R6" s="272">
        <f ca="1">HLOOKUP($B6, 'F-Class_SCR_Filtered'!$G$5:$L$38, 21, FALSE)</f>
        <v>3.5068897637795278</v>
      </c>
      <c r="S6" s="272">
        <f ca="1">HLOOKUP($B6, 'F-Class_SCR_Filtered'!$G$5:$L$38, 22, FALSE)</f>
        <v>363914.96062992123</v>
      </c>
      <c r="T6" s="272">
        <f ca="1">HLOOKUP($B6, 'F-Class_SCR_Filtered'!$G$5:$L$38, 24, FALSE)</f>
        <v>62.722440944881889</v>
      </c>
      <c r="U6" s="272">
        <f ca="1">HLOOKUP($B6, 'F-Class_SCR_Filtered'!$G$5:$L$38, 25, FALSE)</f>
        <v>3.4035433070866143</v>
      </c>
      <c r="V6" s="272">
        <f ca="1">HLOOKUP($B6, 'F-Class_SCR_Filtered'!$G$5:$L$38, 26, FALSE)</f>
        <v>353190.55118110235</v>
      </c>
      <c r="W6" s="272">
        <f ca="1">1-HLOOKUP($B6, 'F-Class_SCR_Filtered'!$G$5:$L$38, 30, FALSE)</f>
        <v>0.95660000000000001</v>
      </c>
    </row>
    <row r="7" spans="1:23" x14ac:dyDescent="0.2">
      <c r="A7" s="10" t="s">
        <v>29</v>
      </c>
      <c r="B7" s="46" t="s">
        <v>5</v>
      </c>
      <c r="C7" s="51">
        <f ca="1">HLOOKUP($B7, 'F-Class_SCR_Filtered'!$G$5:$L$38, 8, FALSE)</f>
        <v>10180</v>
      </c>
      <c r="D7" s="51">
        <f ca="1">HLOOKUP($B7, 'F-Class_SCR_Filtered'!$G$5:$L$38, 9, FALSE)</f>
        <v>9880</v>
      </c>
      <c r="E7" s="272">
        <f ca="1">HLOOKUP($B7, 'F-Class_SCR_Filtered'!$G$5:$L$38, 32, FALSE)</f>
        <v>1.52</v>
      </c>
      <c r="F7" s="272">
        <f ca="1">HLOOKUP($B7, 'F-Class_SCR_Filtered'!$G$5:$L$38, 33, FALSE)</f>
        <v>8.84</v>
      </c>
      <c r="G7" s="272">
        <f ca="1">HLOOKUP($B7, 'F-Class_SCR_Filtered'!$G$5:$L$38, 4, FALSE)</f>
        <v>215.8</v>
      </c>
      <c r="H7" s="272">
        <f ca="1">HLOOKUP($B7, 'F-Class_SCR_Filtered'!$G$5:$L$38, 5, FALSE)</f>
        <v>224.9</v>
      </c>
      <c r="I7" s="272">
        <f>HLOOKUP($B7, 'F-Class_SCR_Filtered'!$G$5:$L$38, 29, FALSE)</f>
        <v>325</v>
      </c>
      <c r="J7" s="272">
        <f ca="1">HLOOKUP($B7, 'F-Class_SCR_Filtered'!$G$5:$L$38, 34, FALSE)</f>
        <v>9500</v>
      </c>
      <c r="K7" s="272">
        <f ca="1">HLOOKUP($B7, 'F-Class_SCR_Filtered'!$G$5:$L$38, 12, FALSE)</f>
        <v>17.835039370078739</v>
      </c>
      <c r="L7" s="272">
        <f ca="1">HLOOKUP($B7, 'F-Class_SCR_Filtered'!$G$5:$L$38, 13, FALSE)</f>
        <v>4.5088582677165352</v>
      </c>
      <c r="M7" s="272">
        <f ca="1">HLOOKUP($B7, 'F-Class_SCR_Filtered'!$G$5:$L$38, 14, FALSE)</f>
        <v>271733.85826771654</v>
      </c>
      <c r="N7" s="272">
        <f ca="1">HLOOKUP($B7, 'F-Class_SCR_Filtered'!$G$5:$L$38, 16, FALSE)</f>
        <v>17.309448818897639</v>
      </c>
      <c r="O7" s="272">
        <f ca="1">HLOOKUP($B7, 'F-Class_SCR_Filtered'!$G$5:$L$38, 17, FALSE)</f>
        <v>4.3759842519685037</v>
      </c>
      <c r="P7" s="272">
        <f ca="1">HLOOKUP($B7, 'F-Class_SCR_Filtered'!$G$5:$L$38, 18, FALSE)</f>
        <v>263725.9842519685</v>
      </c>
      <c r="Q7" s="272">
        <f ca="1">HLOOKUP($B7, 'F-Class_SCR_Filtered'!$G$5:$L$38, 20, FALSE)</f>
        <v>64.626968503937007</v>
      </c>
      <c r="R7" s="272">
        <f ca="1">HLOOKUP($B7, 'F-Class_SCR_Filtered'!$G$5:$L$38, 21, FALSE)</f>
        <v>3.4066929133858266</v>
      </c>
      <c r="S7" s="272">
        <f ca="1">HLOOKUP($B7, 'F-Class_SCR_Filtered'!$G$5:$L$38, 22, FALSE)</f>
        <v>362311.81102362205</v>
      </c>
      <c r="T7" s="272">
        <f ca="1">HLOOKUP($B7, 'F-Class_SCR_Filtered'!$G$5:$L$38, 24, FALSE)</f>
        <v>62.722440944881889</v>
      </c>
      <c r="U7" s="272">
        <f ca="1">HLOOKUP($B7, 'F-Class_SCR_Filtered'!$G$5:$L$38, 25, FALSE)</f>
        <v>3.3062992125984252</v>
      </c>
      <c r="V7" s="272">
        <f ca="1">HLOOKUP($B7, 'F-Class_SCR_Filtered'!$G$5:$L$38, 26, FALSE)</f>
        <v>351634.64566929132</v>
      </c>
      <c r="W7" s="272">
        <f ca="1">1-HLOOKUP($B7, 'F-Class_SCR_Filtered'!$G$5:$L$38, 30, FALSE)</f>
        <v>0.95660000000000001</v>
      </c>
    </row>
  </sheetData>
  <pageMargins left="0.7" right="0.7" top="0.75" bottom="0.75" header="0.3" footer="0.3"/>
  <pageSetup scale="59" fitToWidth="2"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7"/>
  <sheetViews>
    <sheetView workbookViewId="0"/>
  </sheetViews>
  <sheetFormatPr defaultRowHeight="12.75" x14ac:dyDescent="0.2"/>
  <cols>
    <col min="1" max="1" width="7" customWidth="1"/>
    <col min="2" max="2" width="26.5" customWidth="1"/>
    <col min="3" max="3" width="12.1640625" bestFit="1" customWidth="1"/>
    <col min="4" max="4" width="11.83203125" bestFit="1" customWidth="1"/>
    <col min="5" max="6" width="12.1640625" bestFit="1" customWidth="1"/>
    <col min="7" max="7" width="14.33203125" bestFit="1" customWidth="1"/>
    <col min="8" max="8" width="14" bestFit="1" customWidth="1"/>
    <col min="9" max="9" width="19.5" bestFit="1" customWidth="1"/>
    <col min="10" max="10" width="19.33203125" bestFit="1" customWidth="1"/>
    <col min="11" max="11" width="18.1640625" bestFit="1" customWidth="1"/>
    <col min="12" max="12" width="17.1640625" bestFit="1" customWidth="1"/>
    <col min="13" max="13" width="17.5" bestFit="1" customWidth="1"/>
    <col min="14" max="14" width="17.83203125" bestFit="1" customWidth="1"/>
    <col min="15" max="15" width="16.83203125" bestFit="1" customWidth="1"/>
    <col min="16" max="16" width="17" bestFit="1" customWidth="1"/>
    <col min="17" max="17" width="18.6640625" bestFit="1" customWidth="1"/>
    <col min="18" max="18" width="17.83203125" bestFit="1" customWidth="1"/>
    <col min="19" max="19" width="18" bestFit="1" customWidth="1"/>
    <col min="20" max="20" width="18.33203125" bestFit="1" customWidth="1"/>
    <col min="21" max="21" width="17.5" bestFit="1" customWidth="1"/>
    <col min="22" max="22" width="17.6640625" bestFit="1" customWidth="1"/>
    <col min="23" max="23" width="9.83203125" bestFit="1" customWidth="1"/>
  </cols>
  <sheetData>
    <row r="1" spans="1:27" x14ac:dyDescent="0.2">
      <c r="A1" s="47" t="s">
        <v>35</v>
      </c>
      <c r="B1" s="47" t="s">
        <v>53</v>
      </c>
      <c r="C1" s="49" t="s">
        <v>37</v>
      </c>
      <c r="D1" s="49" t="s">
        <v>38</v>
      </c>
      <c r="E1" s="49" t="s">
        <v>39</v>
      </c>
      <c r="F1" s="49" t="s">
        <v>40</v>
      </c>
      <c r="G1" s="49" t="s">
        <v>386</v>
      </c>
      <c r="H1" s="49" t="s">
        <v>387</v>
      </c>
      <c r="I1" s="49" t="s">
        <v>33</v>
      </c>
      <c r="J1" s="48" t="s">
        <v>397</v>
      </c>
      <c r="K1" s="49" t="s">
        <v>41</v>
      </c>
      <c r="L1" s="49" t="s">
        <v>42</v>
      </c>
      <c r="M1" s="49" t="s">
        <v>43</v>
      </c>
      <c r="N1" s="49" t="s">
        <v>44</v>
      </c>
      <c r="O1" s="49" t="s">
        <v>45</v>
      </c>
      <c r="P1" s="49" t="s">
        <v>46</v>
      </c>
      <c r="Q1" s="49" t="s">
        <v>47</v>
      </c>
      <c r="R1" s="49" t="s">
        <v>48</v>
      </c>
      <c r="S1" s="49" t="s">
        <v>49</v>
      </c>
      <c r="T1" s="49" t="s">
        <v>50</v>
      </c>
      <c r="U1" s="49" t="s">
        <v>51</v>
      </c>
      <c r="V1" s="49" t="s">
        <v>52</v>
      </c>
      <c r="W1" s="49" t="s">
        <v>34</v>
      </c>
      <c r="X1" s="49"/>
      <c r="Y1" s="49"/>
      <c r="Z1" s="49"/>
      <c r="AA1" s="49"/>
    </row>
    <row r="2" spans="1:27" x14ac:dyDescent="0.2">
      <c r="A2" s="10" t="s">
        <v>32</v>
      </c>
      <c r="B2" s="46" t="s">
        <v>3</v>
      </c>
      <c r="C2" s="51">
        <f ca="1">HLOOKUP($B2, 'F-Class_NoSCR_Filtered'!$G$5:$M$38, 8, FALSE)</f>
        <v>10200</v>
      </c>
      <c r="D2" s="51">
        <f ca="1">HLOOKUP($B2, 'F-Class_NoSCR_Filtered'!$G$5:$M$38, 9, FALSE)</f>
        <v>9890</v>
      </c>
      <c r="E2" s="272">
        <f ca="1">HLOOKUP($B2, 'F-Class_NoSCR_Filtered'!$G$5:$M$38, 32, FALSE)</f>
        <v>0.95000000000000007</v>
      </c>
      <c r="F2" s="272">
        <f ca="1">HLOOKUP($B2, 'F-Class_NoSCR_Filtered'!$G$5:$M$38, 33, FALSE)</f>
        <v>8.0399999999999991</v>
      </c>
      <c r="G2" s="272">
        <f ca="1">HLOOKUP($B2, 'F-Class_NoSCR_Filtered'!$G$5:$M$38, 4, FALSE)</f>
        <v>218</v>
      </c>
      <c r="H2" s="272">
        <f ca="1">HLOOKUP($B2, 'F-Class_NoSCR_Filtered'!$G$5:$M$38, 5, FALSE)</f>
        <v>227.2</v>
      </c>
      <c r="I2" s="272">
        <f>HLOOKUP($B2, 'F-Class_NoSCR_Filtered'!$G$5:$M$38, 29, FALSE)</f>
        <v>325</v>
      </c>
      <c r="J2" s="272">
        <f ca="1">HLOOKUP($B2, 'F-Class_NoSCR_Filtered'!$G$5:$M$38, 34, FALSE)</f>
        <v>9500</v>
      </c>
      <c r="K2" s="272">
        <f ca="1">HLOOKUP($B2, 'F-Class_NoSCR_Filtered'!$G$5:$M$38, 12, FALSE)</f>
        <v>80.214566929133852</v>
      </c>
      <c r="L2" s="272">
        <f ca="1">HLOOKUP($B2, 'F-Class_NoSCR_Filtered'!$G$5:$M$38, 13, FALSE)</f>
        <v>4.6181102362204722</v>
      </c>
      <c r="M2" s="272">
        <f ca="1">HLOOKUP($B2, 'F-Class_NoSCR_Filtered'!$G$5:$M$38, 14, FALSE)</f>
        <v>277086.61417322833</v>
      </c>
      <c r="N2" s="272">
        <f ca="1">HLOOKUP($B2, 'F-Class_NoSCR_Filtered'!$G$5:$M$38, 16, FALSE)</f>
        <v>77.776673228346453</v>
      </c>
      <c r="O2" s="272">
        <f ca="1">HLOOKUP($B2, 'F-Class_NoSCR_Filtered'!$G$5:$M$38, 17, FALSE)</f>
        <v>4.4777559055118115</v>
      </c>
      <c r="P2" s="272">
        <f ca="1">HLOOKUP($B2, 'F-Class_NoSCR_Filtered'!$G$5:$M$38, 18, FALSE)</f>
        <v>268665.35433070868</v>
      </c>
      <c r="Q2" s="272">
        <f ca="1">HLOOKUP($B2, 'F-Class_NoSCR_Filtered'!$G$5:$M$38, 20, FALSE)</f>
        <v>431.69291338582678</v>
      </c>
      <c r="R2" s="272">
        <f ca="1">HLOOKUP($B2, 'F-Class_NoSCR_Filtered'!$G$5:$M$38, 21, FALSE)</f>
        <v>3.5137795275590551</v>
      </c>
      <c r="S2" s="272">
        <f ca="1">HLOOKUP($B2, 'F-Class_NoSCR_Filtered'!$G$5:$M$38, 22, FALSE)</f>
        <v>369448.81889763777</v>
      </c>
      <c r="T2" s="272">
        <f ca="1">HLOOKUP($B2, 'F-Class_NoSCR_Filtered'!$G$5:$M$38, 24, FALSE)</f>
        <v>418.57283464566927</v>
      </c>
      <c r="U2" s="272">
        <f ca="1">HLOOKUP($B2, 'F-Class_NoSCR_Filtered'!$G$5:$M$38, 25, FALSE)</f>
        <v>3.4069881889763778</v>
      </c>
      <c r="V2" s="272">
        <f ca="1">HLOOKUP($B2, 'F-Class_NoSCR_Filtered'!$G$5:$M$38, 26, FALSE)</f>
        <v>358220.47244094487</v>
      </c>
      <c r="W2" s="272">
        <f ca="1">1-HLOOKUP($B2, 'F-Class_NoSCR_Filtered'!$G$5:$M$38, 30, FALSE)</f>
        <v>0.95660000000000001</v>
      </c>
      <c r="X2" s="51"/>
      <c r="Y2" s="51"/>
      <c r="Z2" s="50"/>
      <c r="AA2" s="50"/>
    </row>
    <row r="3" spans="1:27" x14ac:dyDescent="0.2">
      <c r="A3" s="10" t="s">
        <v>31</v>
      </c>
      <c r="B3" s="46" t="s">
        <v>28</v>
      </c>
      <c r="C3" s="51">
        <f ca="1">HLOOKUP($B3, 'F-Class_NoSCR_Filtered'!$G$5:$M$38, 8, FALSE)</f>
        <v>10210</v>
      </c>
      <c r="D3" s="51">
        <f ca="1">HLOOKUP($B3, 'F-Class_NoSCR_Filtered'!$G$5:$M$38, 9, FALSE)</f>
        <v>9900</v>
      </c>
      <c r="E3" s="272">
        <f ca="1">HLOOKUP($B3, 'F-Class_NoSCR_Filtered'!$G$5:$M$38, 32, FALSE)</f>
        <v>0.97000000000000008</v>
      </c>
      <c r="F3" s="272">
        <f ca="1">HLOOKUP($B3, 'F-Class_NoSCR_Filtered'!$G$5:$M$38, 33, FALSE)</f>
        <v>8.4199999999999982</v>
      </c>
      <c r="G3" s="272">
        <f ca="1">HLOOKUP($B3, 'F-Class_NoSCR_Filtered'!$G$5:$M$38, 4, FALSE)</f>
        <v>217.8</v>
      </c>
      <c r="H3" s="272">
        <f ca="1">HLOOKUP($B3, 'F-Class_NoSCR_Filtered'!$G$5:$M$38, 5, FALSE)</f>
        <v>226.9</v>
      </c>
      <c r="I3" s="272">
        <f>HLOOKUP($B3, 'F-Class_NoSCR_Filtered'!$G$5:$M$38, 29, FALSE)</f>
        <v>325</v>
      </c>
      <c r="J3" s="272">
        <f ca="1">HLOOKUP($B3, 'F-Class_NoSCR_Filtered'!$G$5:$M$38, 34, FALSE)</f>
        <v>9500</v>
      </c>
      <c r="K3" s="272">
        <f ca="1">HLOOKUP($B3, 'F-Class_NoSCR_Filtered'!$G$5:$M$38, 12, FALSE)</f>
        <v>80.293208661417324</v>
      </c>
      <c r="L3" s="272">
        <f ca="1">HLOOKUP($B3, 'F-Class_NoSCR_Filtered'!$G$5:$M$38, 13, FALSE)</f>
        <v>4.6226377952755904</v>
      </c>
      <c r="M3" s="272">
        <f ca="1">HLOOKUP($B3, 'F-Class_NoSCR_Filtered'!$G$5:$M$38, 14, FALSE)</f>
        <v>277358.26771653543</v>
      </c>
      <c r="N3" s="272">
        <f ca="1">HLOOKUP($B3, 'F-Class_NoSCR_Filtered'!$G$5:$M$38, 16, FALSE)</f>
        <v>77.855314960629926</v>
      </c>
      <c r="O3" s="272">
        <f ca="1">HLOOKUP($B3, 'F-Class_NoSCR_Filtered'!$G$5:$M$38, 17, FALSE)</f>
        <v>4.4822834645669287</v>
      </c>
      <c r="P3" s="272">
        <f ca="1">HLOOKUP($B3, 'F-Class_NoSCR_Filtered'!$G$5:$M$38, 18, FALSE)</f>
        <v>268937.00787401578</v>
      </c>
      <c r="Q3" s="272">
        <f ca="1">HLOOKUP($B3, 'F-Class_NoSCR_Filtered'!$G$5:$M$38, 20, FALSE)</f>
        <v>432.11614173228344</v>
      </c>
      <c r="R3" s="272">
        <f ca="1">HLOOKUP($B3, 'F-Class_NoSCR_Filtered'!$G$5:$M$38, 21, FALSE)</f>
        <v>3.517224409448819</v>
      </c>
      <c r="S3" s="272">
        <f ca="1">HLOOKUP($B3, 'F-Class_NoSCR_Filtered'!$G$5:$M$38, 22, FALSE)</f>
        <v>369811.02362204727</v>
      </c>
      <c r="T3" s="272">
        <f ca="1">HLOOKUP($B3, 'F-Class_NoSCR_Filtered'!$G$5:$M$38, 24, FALSE)</f>
        <v>418.99606299212599</v>
      </c>
      <c r="U3" s="272">
        <f ca="1">HLOOKUP($B3, 'F-Class_NoSCR_Filtered'!$G$5:$M$38, 25, FALSE)</f>
        <v>3.4104330708661417</v>
      </c>
      <c r="V3" s="272">
        <f ca="1">HLOOKUP($B3, 'F-Class_NoSCR_Filtered'!$G$5:$M$38, 26, FALSE)</f>
        <v>358582.67716535431</v>
      </c>
      <c r="W3" s="272">
        <f ca="1">1-HLOOKUP($B3, 'F-Class_NoSCR_Filtered'!$G$5:$M$38, 30, FALSE)</f>
        <v>0.95660000000000001</v>
      </c>
      <c r="X3" s="51"/>
      <c r="Y3" s="51"/>
      <c r="Z3" s="50"/>
      <c r="AA3" s="50"/>
    </row>
    <row r="4" spans="1:27" x14ac:dyDescent="0.2">
      <c r="A4" s="10" t="s">
        <v>54</v>
      </c>
      <c r="B4" s="46" t="s">
        <v>20</v>
      </c>
      <c r="C4" s="51">
        <f ca="1">HLOOKUP($B4, 'F-Class_NoSCR_Filtered'!$G$5:$M$38, 8, FALSE)</f>
        <v>10200</v>
      </c>
      <c r="D4" s="51">
        <f ca="1">HLOOKUP($B4, 'F-Class_NoSCR_Filtered'!$G$5:$M$38, 9, FALSE)</f>
        <v>9890</v>
      </c>
      <c r="E4" s="272">
        <f ca="1">HLOOKUP($B4, 'F-Class_NoSCR_Filtered'!$G$5:$M$38, 32, FALSE)</f>
        <v>0.94000000000000006</v>
      </c>
      <c r="F4" s="272">
        <f ca="1">HLOOKUP($B4, 'F-Class_NoSCR_Filtered'!$G$5:$M$38, 33, FALSE)</f>
        <v>8.0399999999999991</v>
      </c>
      <c r="G4" s="272">
        <f ca="1">HLOOKUP($B4, 'F-Class_NoSCR_Filtered'!$G$5:$M$38, 4, FALSE)</f>
        <v>217</v>
      </c>
      <c r="H4" s="272">
        <f ca="1">HLOOKUP($B4, 'F-Class_NoSCR_Filtered'!$G$5:$M$38, 5, FALSE)</f>
        <v>226.5</v>
      </c>
      <c r="I4" s="272">
        <f>HLOOKUP($B4, 'F-Class_NoSCR_Filtered'!$G$5:$M$38, 29, FALSE)</f>
        <v>325</v>
      </c>
      <c r="J4" s="272">
        <f ca="1">HLOOKUP($B4, 'F-Class_NoSCR_Filtered'!$G$5:$M$38, 34, FALSE)</f>
        <v>9500</v>
      </c>
      <c r="K4" s="272">
        <f ca="1">HLOOKUP($B4, 'F-Class_NoSCR_Filtered'!$G$5:$M$38, 12, FALSE)</f>
        <v>80.214566929133852</v>
      </c>
      <c r="L4" s="272">
        <f ca="1">HLOOKUP($B4, 'F-Class_NoSCR_Filtered'!$G$5:$M$38, 13, FALSE)</f>
        <v>4.6181102362204722</v>
      </c>
      <c r="M4" s="272">
        <f ca="1">HLOOKUP($B4, 'F-Class_NoSCR_Filtered'!$G$5:$M$38, 14, FALSE)</f>
        <v>274677.16535433073</v>
      </c>
      <c r="N4" s="272">
        <f ca="1">HLOOKUP($B4, 'F-Class_NoSCR_Filtered'!$G$5:$M$38, 16, FALSE)</f>
        <v>77.776673228346453</v>
      </c>
      <c r="O4" s="272">
        <f ca="1">HLOOKUP($B4, 'F-Class_NoSCR_Filtered'!$G$5:$M$38, 17, FALSE)</f>
        <v>4.4777559055118115</v>
      </c>
      <c r="P4" s="272">
        <f ca="1">HLOOKUP($B4, 'F-Class_NoSCR_Filtered'!$G$5:$M$38, 18, FALSE)</f>
        <v>266329.13385826774</v>
      </c>
      <c r="Q4" s="272">
        <f ca="1">HLOOKUP($B4, 'F-Class_NoSCR_Filtered'!$G$5:$M$38, 20, FALSE)</f>
        <v>431.69291338582678</v>
      </c>
      <c r="R4" s="272">
        <f ca="1">HLOOKUP($B4, 'F-Class_NoSCR_Filtered'!$G$5:$M$38, 21, FALSE)</f>
        <v>3.5137795275590551</v>
      </c>
      <c r="S4" s="272">
        <f ca="1">HLOOKUP($B4, 'F-Class_NoSCR_Filtered'!$G$5:$M$38, 22, FALSE)</f>
        <v>366236.22047244094</v>
      </c>
      <c r="T4" s="272">
        <f ca="1">HLOOKUP($B4, 'F-Class_NoSCR_Filtered'!$G$5:$M$38, 24, FALSE)</f>
        <v>418.57283464566927</v>
      </c>
      <c r="U4" s="272">
        <f ca="1">HLOOKUP($B4, 'F-Class_NoSCR_Filtered'!$G$5:$M$38, 25, FALSE)</f>
        <v>3.4069881889763778</v>
      </c>
      <c r="V4" s="272">
        <f ca="1">HLOOKUP($B4, 'F-Class_NoSCR_Filtered'!$G$5:$M$38, 26, FALSE)</f>
        <v>355105.51181102364</v>
      </c>
      <c r="W4" s="272">
        <f ca="1">1-HLOOKUP($B4, 'F-Class_NoSCR_Filtered'!$G$5:$M$38, 30, FALSE)</f>
        <v>0.95660000000000001</v>
      </c>
      <c r="X4" s="51"/>
      <c r="Y4" s="51"/>
      <c r="Z4" s="50"/>
      <c r="AA4" s="50"/>
    </row>
    <row r="5" spans="1:27" x14ac:dyDescent="0.2">
      <c r="A5" s="10" t="s">
        <v>36</v>
      </c>
      <c r="B5" s="46" t="s">
        <v>21</v>
      </c>
      <c r="C5" s="51">
        <f ca="1">HLOOKUP($B5, 'F-Class_NoSCR_Filtered'!$G$5:$M$38, 8, FALSE)</f>
        <v>10200</v>
      </c>
      <c r="D5" s="51">
        <f ca="1">HLOOKUP($B5, 'F-Class_NoSCR_Filtered'!$G$5:$M$38, 9, FALSE)</f>
        <v>9890</v>
      </c>
      <c r="E5" s="272">
        <f ca="1">HLOOKUP($B5, 'F-Class_NoSCR_Filtered'!$G$5:$M$38, 32, FALSE)</f>
        <v>0.94000000000000006</v>
      </c>
      <c r="F5" s="272">
        <f ca="1">HLOOKUP($B5, 'F-Class_NoSCR_Filtered'!$G$5:$M$38, 33, FALSE)</f>
        <v>8.0399999999999991</v>
      </c>
      <c r="G5" s="272">
        <f ca="1">HLOOKUP($B5, 'F-Class_NoSCR_Filtered'!$G$5:$M$38, 4, FALSE)</f>
        <v>217</v>
      </c>
      <c r="H5" s="272">
        <f ca="1">HLOOKUP($B5, 'F-Class_NoSCR_Filtered'!$G$5:$M$38, 5, FALSE)</f>
        <v>226.5</v>
      </c>
      <c r="I5" s="272">
        <f>HLOOKUP($B5, 'F-Class_NoSCR_Filtered'!$G$5:$M$38, 29, FALSE)</f>
        <v>325</v>
      </c>
      <c r="J5" s="272">
        <f ca="1">HLOOKUP($B5, 'F-Class_NoSCR_Filtered'!$G$5:$M$38, 34, FALSE)</f>
        <v>9500</v>
      </c>
      <c r="K5" s="272">
        <f ca="1">HLOOKUP($B5, 'F-Class_NoSCR_Filtered'!$G$5:$M$38, 12, FALSE)</f>
        <v>80.214566929133852</v>
      </c>
      <c r="L5" s="272">
        <f ca="1">HLOOKUP($B5, 'F-Class_NoSCR_Filtered'!$G$5:$M$38, 13, FALSE)</f>
        <v>4.6181102362204722</v>
      </c>
      <c r="M5" s="272">
        <f ca="1">HLOOKUP($B5, 'F-Class_NoSCR_Filtered'!$G$5:$M$38, 14, FALSE)</f>
        <v>274677.16535433073</v>
      </c>
      <c r="N5" s="272">
        <f ca="1">HLOOKUP($B5, 'F-Class_NoSCR_Filtered'!$G$5:$M$38, 16, FALSE)</f>
        <v>77.776673228346453</v>
      </c>
      <c r="O5" s="272">
        <f ca="1">HLOOKUP($B5, 'F-Class_NoSCR_Filtered'!$G$5:$M$38, 17, FALSE)</f>
        <v>4.4777559055118115</v>
      </c>
      <c r="P5" s="272">
        <f ca="1">HLOOKUP($B5, 'F-Class_NoSCR_Filtered'!$G$5:$M$38, 18, FALSE)</f>
        <v>266329.13385826774</v>
      </c>
      <c r="Q5" s="272">
        <f ca="1">HLOOKUP($B5, 'F-Class_NoSCR_Filtered'!$G$5:$M$38, 20, FALSE)</f>
        <v>431.69291338582678</v>
      </c>
      <c r="R5" s="272">
        <f ca="1">HLOOKUP($B5, 'F-Class_NoSCR_Filtered'!$G$5:$M$38, 21, FALSE)</f>
        <v>3.5137795275590551</v>
      </c>
      <c r="S5" s="272">
        <f ca="1">HLOOKUP($B5, 'F-Class_NoSCR_Filtered'!$G$5:$M$38, 22, FALSE)</f>
        <v>366236.22047244094</v>
      </c>
      <c r="T5" s="272">
        <f ca="1">HLOOKUP($B5, 'F-Class_NoSCR_Filtered'!$G$5:$M$38, 24, FALSE)</f>
        <v>418.57283464566927</v>
      </c>
      <c r="U5" s="272">
        <f ca="1">HLOOKUP($B5, 'F-Class_NoSCR_Filtered'!$G$5:$M$38, 25, FALSE)</f>
        <v>3.4069881889763778</v>
      </c>
      <c r="V5" s="272">
        <f ca="1">HLOOKUP($B5, 'F-Class_NoSCR_Filtered'!$G$5:$M$38, 26, FALSE)</f>
        <v>355105.51181102364</v>
      </c>
      <c r="W5" s="272">
        <f ca="1">1-HLOOKUP($B5, 'F-Class_NoSCR_Filtered'!$G$5:$M$38, 30, FALSE)</f>
        <v>0.95660000000000001</v>
      </c>
      <c r="X5" s="51"/>
      <c r="Y5" s="51"/>
      <c r="Z5" s="50"/>
      <c r="AA5" s="50"/>
    </row>
    <row r="6" spans="1:27" x14ac:dyDescent="0.2">
      <c r="A6" s="10" t="s">
        <v>30</v>
      </c>
      <c r="B6" s="46" t="s">
        <v>4</v>
      </c>
      <c r="C6" s="51">
        <f ca="1">HLOOKUP($B6, 'F-Class_NoSCR_Filtered'!$G$5:$M$38, 8, FALSE)</f>
        <v>10180</v>
      </c>
      <c r="D6" s="51">
        <f ca="1">HLOOKUP($B6, 'F-Class_NoSCR_Filtered'!$G$5:$M$38, 9, FALSE)</f>
        <v>9880</v>
      </c>
      <c r="E6" s="272">
        <f ca="1">HLOOKUP($B6, 'F-Class_NoSCR_Filtered'!$G$5:$M$38, 32, FALSE)</f>
        <v>0.94000000000000006</v>
      </c>
      <c r="F6" s="272">
        <f ca="1">HLOOKUP($B6, 'F-Class_NoSCR_Filtered'!$G$5:$M$38, 33, FALSE)</f>
        <v>8.0399999999999991</v>
      </c>
      <c r="G6" s="272">
        <f ca="1">HLOOKUP($B6, 'F-Class_NoSCR_Filtered'!$G$5:$M$38, 4, FALSE)</f>
        <v>217</v>
      </c>
      <c r="H6" s="272">
        <f ca="1">HLOOKUP($B6, 'F-Class_NoSCR_Filtered'!$G$5:$M$38, 5, FALSE)</f>
        <v>225.9</v>
      </c>
      <c r="I6" s="272">
        <f>HLOOKUP($B6, 'F-Class_NoSCR_Filtered'!$G$5:$M$38, 29, FALSE)</f>
        <v>325</v>
      </c>
      <c r="J6" s="272">
        <f ca="1">HLOOKUP($B6, 'F-Class_NoSCR_Filtered'!$G$5:$M$38, 34, FALSE)</f>
        <v>9500</v>
      </c>
      <c r="K6" s="272">
        <f ca="1">HLOOKUP($B6, 'F-Class_NoSCR_Filtered'!$G$5:$M$38, 12, FALSE)</f>
        <v>80.057283464566936</v>
      </c>
      <c r="L6" s="272">
        <f ca="1">HLOOKUP($B6, 'F-Class_NoSCR_Filtered'!$G$5:$M$38, 13, FALSE)</f>
        <v>4.5088582677165352</v>
      </c>
      <c r="M6" s="272">
        <f ca="1">HLOOKUP($B6, 'F-Class_NoSCR_Filtered'!$G$5:$M$38, 14, FALSE)</f>
        <v>272936.22047244094</v>
      </c>
      <c r="N6" s="272">
        <f ca="1">HLOOKUP($B6, 'F-Class_NoSCR_Filtered'!$G$5:$M$38, 16, FALSE)</f>
        <v>77.698031496062995</v>
      </c>
      <c r="O6" s="272">
        <f ca="1">HLOOKUP($B6, 'F-Class_NoSCR_Filtered'!$G$5:$M$38, 17, FALSE)</f>
        <v>4.3759842519685037</v>
      </c>
      <c r="P6" s="272">
        <f ca="1">HLOOKUP($B6, 'F-Class_NoSCR_Filtered'!$G$5:$M$38, 18, FALSE)</f>
        <v>264892.91338582675</v>
      </c>
      <c r="Q6" s="272">
        <f ca="1">HLOOKUP($B6, 'F-Class_NoSCR_Filtered'!$G$5:$M$38, 20, FALSE)</f>
        <v>430.84645669291336</v>
      </c>
      <c r="R6" s="272">
        <f ca="1">HLOOKUP($B6, 'F-Class_NoSCR_Filtered'!$G$5:$M$38, 21, FALSE)</f>
        <v>3.5068897637795278</v>
      </c>
      <c r="S6" s="272">
        <f ca="1">HLOOKUP($B6, 'F-Class_NoSCR_Filtered'!$G$5:$M$38, 22, FALSE)</f>
        <v>363914.96062992123</v>
      </c>
      <c r="T6" s="272">
        <f ca="1">HLOOKUP($B6, 'F-Class_NoSCR_Filtered'!$G$5:$M$38, 24, FALSE)</f>
        <v>418.14960629921262</v>
      </c>
      <c r="U6" s="272">
        <f ca="1">HLOOKUP($B6, 'F-Class_NoSCR_Filtered'!$G$5:$M$38, 25, FALSE)</f>
        <v>3.4035433070866143</v>
      </c>
      <c r="V6" s="272">
        <f ca="1">HLOOKUP($B6, 'F-Class_NoSCR_Filtered'!$G$5:$M$38, 26, FALSE)</f>
        <v>353190.55118110235</v>
      </c>
      <c r="W6" s="272">
        <f ca="1">1-HLOOKUP($B6, 'F-Class_NoSCR_Filtered'!$G$5:$M$38, 30, FALSE)</f>
        <v>0.95660000000000001</v>
      </c>
      <c r="X6" s="51"/>
      <c r="Y6" s="51"/>
      <c r="Z6" s="50"/>
      <c r="AA6" s="50"/>
    </row>
    <row r="7" spans="1:27" x14ac:dyDescent="0.2">
      <c r="A7" s="10" t="s">
        <v>29</v>
      </c>
      <c r="B7" s="46" t="s">
        <v>5</v>
      </c>
      <c r="C7" s="51">
        <f ca="1">HLOOKUP($B7, 'F-Class_NoSCR_Filtered'!$G$5:$M$38, 8, FALSE)</f>
        <v>10180</v>
      </c>
      <c r="D7" s="51">
        <f ca="1">HLOOKUP($B7, 'F-Class_NoSCR_Filtered'!$G$5:$M$38, 9, FALSE)</f>
        <v>9880</v>
      </c>
      <c r="E7" s="272">
        <f ca="1">HLOOKUP($B7, 'F-Class_NoSCR_Filtered'!$G$5:$M$38, 32, FALSE)</f>
        <v>0.94000000000000006</v>
      </c>
      <c r="F7" s="272">
        <f ca="1">HLOOKUP($B7, 'F-Class_NoSCR_Filtered'!$G$5:$M$38, 33, FALSE)</f>
        <v>8.0399999999999991</v>
      </c>
      <c r="G7" s="272">
        <f ca="1">HLOOKUP($B7, 'F-Class_NoSCR_Filtered'!$G$5:$M$38, 4, FALSE)</f>
        <v>215.8</v>
      </c>
      <c r="H7" s="272">
        <f ca="1">HLOOKUP($B7, 'F-Class_NoSCR_Filtered'!$G$5:$M$38, 5, FALSE)</f>
        <v>224.9</v>
      </c>
      <c r="I7" s="272">
        <f>HLOOKUP($B7, 'F-Class_NoSCR_Filtered'!$G$5:$M$38, 29, FALSE)</f>
        <v>325</v>
      </c>
      <c r="J7" s="272">
        <f ca="1">HLOOKUP($B7, 'F-Class_NoSCR_Filtered'!$G$5:$M$38, 34, FALSE)</f>
        <v>9500</v>
      </c>
      <c r="K7" s="272">
        <f ca="1">HLOOKUP($B7, 'F-Class_NoSCR_Filtered'!$G$5:$M$38, 12, FALSE)</f>
        <v>80.057283464566936</v>
      </c>
      <c r="L7" s="272">
        <f ca="1">HLOOKUP($B7, 'F-Class_NoSCR_Filtered'!$G$5:$M$38, 13, FALSE)</f>
        <v>4.5088582677165352</v>
      </c>
      <c r="M7" s="272">
        <f ca="1">HLOOKUP($B7, 'F-Class_NoSCR_Filtered'!$G$5:$M$38, 14, FALSE)</f>
        <v>271733.85826771654</v>
      </c>
      <c r="N7" s="272">
        <f ca="1">HLOOKUP($B7, 'F-Class_NoSCR_Filtered'!$G$5:$M$38, 16, FALSE)</f>
        <v>77.698031496062995</v>
      </c>
      <c r="O7" s="272">
        <f ca="1">HLOOKUP($B7, 'F-Class_NoSCR_Filtered'!$G$5:$M$38, 17, FALSE)</f>
        <v>4.3759842519685037</v>
      </c>
      <c r="P7" s="272">
        <f ca="1">HLOOKUP($B7, 'F-Class_NoSCR_Filtered'!$G$5:$M$38, 18, FALSE)</f>
        <v>263725.9842519685</v>
      </c>
      <c r="Q7" s="272">
        <f ca="1">HLOOKUP($B7, 'F-Class_NoSCR_Filtered'!$G$5:$M$38, 20, FALSE)</f>
        <v>430.84645669291336</v>
      </c>
      <c r="R7" s="272">
        <f ca="1">HLOOKUP($B7, 'F-Class_NoSCR_Filtered'!$G$5:$M$38, 21, FALSE)</f>
        <v>3.4066929133858266</v>
      </c>
      <c r="S7" s="272">
        <f ca="1">HLOOKUP($B7, 'F-Class_NoSCR_Filtered'!$G$5:$M$38, 22, FALSE)</f>
        <v>362311.81102362205</v>
      </c>
      <c r="T7" s="272">
        <f ca="1">HLOOKUP($B7, 'F-Class_NoSCR_Filtered'!$G$5:$M$38, 24, FALSE)</f>
        <v>418.14960629921262</v>
      </c>
      <c r="U7" s="272">
        <f ca="1">HLOOKUP($B7, 'F-Class_NoSCR_Filtered'!$G$5:$M$38, 25, FALSE)</f>
        <v>3.3062992125984252</v>
      </c>
      <c r="V7" s="272">
        <f ca="1">HLOOKUP($B7, 'F-Class_NoSCR_Filtered'!$G$5:$M$38, 26, FALSE)</f>
        <v>351634.64566929132</v>
      </c>
      <c r="W7" s="272">
        <f ca="1">1-HLOOKUP($B7, 'F-Class_NoSCR_Filtered'!$G$5:$M$38, 30, FALSE)</f>
        <v>0.95660000000000001</v>
      </c>
      <c r="X7" s="51"/>
      <c r="Y7" s="51"/>
      <c r="Z7" s="50"/>
      <c r="AA7" s="50"/>
    </row>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W7"/>
  <sheetViews>
    <sheetView workbookViewId="0"/>
  </sheetViews>
  <sheetFormatPr defaultRowHeight="12.75" x14ac:dyDescent="0.2"/>
  <cols>
    <col min="1" max="1" width="7.1640625" style="10" bestFit="1" customWidth="1"/>
    <col min="2" max="2" width="19.83203125" style="10" bestFit="1" customWidth="1"/>
    <col min="3" max="4" width="15.6640625" style="10" bestFit="1" customWidth="1"/>
    <col min="5" max="5" width="15.33203125" style="10" bestFit="1" customWidth="1"/>
    <col min="6" max="6" width="16.1640625" style="10" bestFit="1" customWidth="1"/>
    <col min="7" max="8" width="17.83203125" style="10" bestFit="1" customWidth="1"/>
    <col min="9" max="9" width="23.83203125" style="10" bestFit="1" customWidth="1"/>
    <col min="10" max="10" width="23.33203125" style="10" bestFit="1" customWidth="1"/>
    <col min="11" max="11" width="21.6640625" style="10" bestFit="1" customWidth="1"/>
    <col min="12" max="12" width="20.83203125" style="10" bestFit="1" customWidth="1"/>
    <col min="13" max="13" width="21.1640625" style="10" bestFit="1" customWidth="1"/>
    <col min="14" max="14" width="21.6640625" style="10" bestFit="1" customWidth="1"/>
    <col min="15" max="15" width="20.83203125" style="10" bestFit="1" customWidth="1"/>
    <col min="16" max="16" width="21.1640625" style="10" bestFit="1" customWidth="1"/>
    <col min="17" max="17" width="22.5" style="10" bestFit="1" customWidth="1"/>
    <col min="18" max="18" width="21.5" style="10" bestFit="1" customWidth="1"/>
    <col min="19" max="19" width="22" style="10" bestFit="1" customWidth="1"/>
    <col min="20" max="20" width="22.5" style="10" bestFit="1" customWidth="1"/>
    <col min="21" max="21" width="21.5" style="10" bestFit="1" customWidth="1"/>
    <col min="22" max="22" width="22" style="10" bestFit="1" customWidth="1"/>
    <col min="23" max="23" width="13.33203125" style="10" bestFit="1" customWidth="1"/>
    <col min="24" max="16384" width="9.33203125" style="10"/>
  </cols>
  <sheetData>
    <row r="1" spans="1:23" x14ac:dyDescent="0.2">
      <c r="A1" s="47" t="s">
        <v>35</v>
      </c>
      <c r="B1" s="47" t="s">
        <v>53</v>
      </c>
      <c r="C1" s="49" t="s">
        <v>317</v>
      </c>
      <c r="D1" s="49" t="s">
        <v>318</v>
      </c>
      <c r="E1" s="49" t="s">
        <v>319</v>
      </c>
      <c r="F1" s="49" t="s">
        <v>320</v>
      </c>
      <c r="G1" s="49" t="s">
        <v>388</v>
      </c>
      <c r="H1" s="49" t="s">
        <v>389</v>
      </c>
      <c r="I1" s="49" t="s">
        <v>321</v>
      </c>
      <c r="J1" s="48" t="s">
        <v>398</v>
      </c>
      <c r="K1" s="49" t="s">
        <v>322</v>
      </c>
      <c r="L1" s="49" t="s">
        <v>323</v>
      </c>
      <c r="M1" s="49" t="s">
        <v>324</v>
      </c>
      <c r="N1" s="49" t="s">
        <v>325</v>
      </c>
      <c r="O1" s="49" t="s">
        <v>326</v>
      </c>
      <c r="P1" s="49" t="s">
        <v>327</v>
      </c>
      <c r="Q1" s="49" t="s">
        <v>328</v>
      </c>
      <c r="R1" s="49" t="s">
        <v>329</v>
      </c>
      <c r="S1" s="49" t="s">
        <v>330</v>
      </c>
      <c r="T1" s="49" t="s">
        <v>331</v>
      </c>
      <c r="U1" s="49" t="s">
        <v>332</v>
      </c>
      <c r="V1" s="49" t="s">
        <v>333</v>
      </c>
      <c r="W1" s="49" t="s">
        <v>334</v>
      </c>
    </row>
    <row r="2" spans="1:23" x14ac:dyDescent="0.2">
      <c r="A2" s="10" t="s">
        <v>32</v>
      </c>
      <c r="B2" s="46" t="s">
        <v>3</v>
      </c>
      <c r="C2" s="51">
        <f ca="1">HLOOKUP($B2, 'J-Class25ppm_SCR_Filtered'!$G$5:$L$38, 8, FALSE)</f>
        <v>9370</v>
      </c>
      <c r="D2" s="51">
        <f ca="1">HLOOKUP($B2, 'J-Class25ppm_SCR_Filtered'!$G$5:$L$38, 9, FALSE)</f>
        <v>9300</v>
      </c>
      <c r="E2" s="272">
        <f ca="1">HLOOKUP($B2, 'J-Class25ppm_SCR_Filtered'!$G$5:$L$38, 32, FALSE)</f>
        <v>1.3900000000000001</v>
      </c>
      <c r="F2" s="272">
        <f ca="1">HLOOKUP($B2, 'J-Class25ppm_SCR_Filtered'!$G$5:$L$38, 33, FALSE)</f>
        <v>10.93</v>
      </c>
      <c r="G2" s="272">
        <f ca="1">HLOOKUP($B2, 'J-Class25ppm_SCR_Filtered'!$G$5:$L$38, 4, FALSE)</f>
        <v>359</v>
      </c>
      <c r="H2" s="272">
        <f ca="1">HLOOKUP($B2, 'J-Class25ppm_SCR_Filtered'!$G$5:$L$38, 5, FALSE)</f>
        <v>371.1</v>
      </c>
      <c r="I2" s="272">
        <f>HLOOKUP($B2, 'J-Class25ppm_SCR_Filtered'!$G$5:$L$38, 29, FALSE)</f>
        <v>490</v>
      </c>
      <c r="J2" s="272">
        <f ca="1">HLOOKUP($B2, 'J-Class25ppm_SCR_Filtered'!$G$5:$L$38, 34, FALSE)</f>
        <v>26600</v>
      </c>
      <c r="K2" s="272">
        <f ca="1">HLOOKUP($B2, 'J-Class25ppm_SCR_Filtered'!$G$5:$L$38, 12, FALSE)</f>
        <v>26.484796573875801</v>
      </c>
      <c r="L2" s="272">
        <f ca="1">HLOOKUP($B2, 'J-Class25ppm_SCR_Filtered'!$G$5:$L$38, 13, FALSE)</f>
        <v>6.922162740899358</v>
      </c>
      <c r="M2" s="272">
        <f ca="1">HLOOKUP($B2, 'J-Class25ppm_SCR_Filtered'!$G$5:$L$38, 14, FALSE)</f>
        <v>415329.76445396146</v>
      </c>
      <c r="N2" s="272">
        <f ca="1">HLOOKUP($B2, 'J-Class25ppm_SCR_Filtered'!$G$5:$L$38, 16, FALSE)</f>
        <v>26.286937901498931</v>
      </c>
      <c r="O2" s="272">
        <f ca="1">HLOOKUP($B2, 'J-Class25ppm_SCR_Filtered'!$G$5:$L$38, 17, FALSE)</f>
        <v>6.8704496788008562</v>
      </c>
      <c r="P2" s="272">
        <f ca="1">HLOOKUP($B2, 'J-Class25ppm_SCR_Filtered'!$G$5:$L$38, 18, FALSE)</f>
        <v>412226.98072805139</v>
      </c>
      <c r="Q2" s="272">
        <f ca="1">HLOOKUP($B2, 'J-Class25ppm_SCR_Filtered'!$G$5:$L$38, 20, FALSE)</f>
        <v>96.308351177730188</v>
      </c>
      <c r="R2" s="272">
        <f ca="1">HLOOKUP($B2, 'J-Class25ppm_SCR_Filtered'!$G$5:$L$38, 21, FALSE)</f>
        <v>5.3170235546038542</v>
      </c>
      <c r="S2" s="272">
        <f ca="1">HLOOKUP($B2, 'J-Class25ppm_SCR_Filtered'!$G$5:$L$38, 22, FALSE)</f>
        <v>553773.01927194861</v>
      </c>
      <c r="T2" s="272">
        <f ca="1">HLOOKUP($B2, 'J-Class25ppm_SCR_Filtered'!$G$5:$L$38, 24, FALSE)</f>
        <v>95.58886509635974</v>
      </c>
      <c r="U2" s="272">
        <f ca="1">HLOOKUP($B2, 'J-Class25ppm_SCR_Filtered'!$G$5:$L$38, 25, FALSE)</f>
        <v>5.2773019271948609</v>
      </c>
      <c r="V2" s="272">
        <f ca="1">HLOOKUP($B2, 'J-Class25ppm_SCR_Filtered'!$G$5:$L$38, 26, FALSE)</f>
        <v>549635.97430406848</v>
      </c>
      <c r="W2" s="272">
        <f ca="1">1-HLOOKUP($B2, 'J-Class25ppm_SCR_Filtered'!$G$5:$L$38, 30, FALSE)</f>
        <v>0.95660000000000001</v>
      </c>
    </row>
    <row r="3" spans="1:23" x14ac:dyDescent="0.2">
      <c r="A3" s="10" t="s">
        <v>31</v>
      </c>
      <c r="B3" s="46" t="s">
        <v>28</v>
      </c>
      <c r="C3" s="51">
        <f ca="1">HLOOKUP($B3, 'J-Class25ppm_SCR_Filtered'!$G$5:$L$38, 8, FALSE)</f>
        <v>9370</v>
      </c>
      <c r="D3" s="51">
        <f ca="1">HLOOKUP($B3, 'J-Class25ppm_SCR_Filtered'!$G$5:$L$38, 9, FALSE)</f>
        <v>9300</v>
      </c>
      <c r="E3" s="272">
        <f ca="1">HLOOKUP($B3, 'J-Class25ppm_SCR_Filtered'!$G$5:$L$38, 32, FALSE)</f>
        <v>1.4300000000000002</v>
      </c>
      <c r="F3" s="272">
        <f ca="1">HLOOKUP($B3, 'J-Class25ppm_SCR_Filtered'!$G$5:$L$38, 33, FALSE)</f>
        <v>11.459999999999999</v>
      </c>
      <c r="G3" s="272">
        <f ca="1">HLOOKUP($B3, 'J-Class25ppm_SCR_Filtered'!$G$5:$L$38, 4, FALSE)</f>
        <v>358.7</v>
      </c>
      <c r="H3" s="272">
        <f ca="1">HLOOKUP($B3, 'J-Class25ppm_SCR_Filtered'!$G$5:$L$38, 5, FALSE)</f>
        <v>370.2</v>
      </c>
      <c r="I3" s="272">
        <f>HLOOKUP($B3, 'J-Class25ppm_SCR_Filtered'!$G$5:$L$38, 29, FALSE)</f>
        <v>490</v>
      </c>
      <c r="J3" s="272">
        <f ca="1">HLOOKUP($B3, 'J-Class25ppm_SCR_Filtered'!$G$5:$L$38, 34, FALSE)</f>
        <v>26600</v>
      </c>
      <c r="K3" s="272">
        <f ca="1">HLOOKUP($B3, 'J-Class25ppm_SCR_Filtered'!$G$5:$L$38, 12, FALSE)</f>
        <v>26.484796573875801</v>
      </c>
      <c r="L3" s="272">
        <f ca="1">HLOOKUP($B3, 'J-Class25ppm_SCR_Filtered'!$G$5:$L$38, 13, FALSE)</f>
        <v>6.922162740899358</v>
      </c>
      <c r="M3" s="272">
        <f ca="1">HLOOKUP($B3, 'J-Class25ppm_SCR_Filtered'!$G$5:$L$38, 14, FALSE)</f>
        <v>415329.76445396146</v>
      </c>
      <c r="N3" s="272">
        <f ca="1">HLOOKUP($B3, 'J-Class25ppm_SCR_Filtered'!$G$5:$L$38, 16, FALSE)</f>
        <v>26.286937901498931</v>
      </c>
      <c r="O3" s="272">
        <f ca="1">HLOOKUP($B3, 'J-Class25ppm_SCR_Filtered'!$G$5:$L$38, 17, FALSE)</f>
        <v>6.8704496788008562</v>
      </c>
      <c r="P3" s="272">
        <f ca="1">HLOOKUP($B3, 'J-Class25ppm_SCR_Filtered'!$G$5:$L$38, 18, FALSE)</f>
        <v>412226.98072805139</v>
      </c>
      <c r="Q3" s="272">
        <f ca="1">HLOOKUP($B3, 'J-Class25ppm_SCR_Filtered'!$G$5:$L$38, 20, FALSE)</f>
        <v>96.308351177730188</v>
      </c>
      <c r="R3" s="272">
        <f ca="1">HLOOKUP($B3, 'J-Class25ppm_SCR_Filtered'!$G$5:$L$38, 21, FALSE)</f>
        <v>5.3170235546038542</v>
      </c>
      <c r="S3" s="272">
        <f ca="1">HLOOKUP($B3, 'J-Class25ppm_SCR_Filtered'!$G$5:$L$38, 22, FALSE)</f>
        <v>553773.01927194861</v>
      </c>
      <c r="T3" s="272">
        <f ca="1">HLOOKUP($B3, 'J-Class25ppm_SCR_Filtered'!$G$5:$L$38, 24, FALSE)</f>
        <v>95.58886509635974</v>
      </c>
      <c r="U3" s="272">
        <f ca="1">HLOOKUP($B3, 'J-Class25ppm_SCR_Filtered'!$G$5:$L$38, 25, FALSE)</f>
        <v>5.2773019271948609</v>
      </c>
      <c r="V3" s="272">
        <f ca="1">HLOOKUP($B3, 'J-Class25ppm_SCR_Filtered'!$G$5:$L$38, 26, FALSE)</f>
        <v>549635.97430406848</v>
      </c>
      <c r="W3" s="272">
        <f ca="1">1-HLOOKUP($B3, 'J-Class25ppm_SCR_Filtered'!$G$5:$L$38, 30, FALSE)</f>
        <v>0.95660000000000001</v>
      </c>
    </row>
    <row r="4" spans="1:23" x14ac:dyDescent="0.2">
      <c r="A4" s="10" t="s">
        <v>54</v>
      </c>
      <c r="B4" s="46" t="s">
        <v>20</v>
      </c>
      <c r="C4" s="51">
        <f ca="1">HLOOKUP($B4, 'J-Class25ppm_SCR_Filtered'!$G$5:$L$38, 8, FALSE)</f>
        <v>9360</v>
      </c>
      <c r="D4" s="51">
        <f ca="1">HLOOKUP($B4, 'J-Class25ppm_SCR_Filtered'!$G$5:$L$38, 9, FALSE)</f>
        <v>9300</v>
      </c>
      <c r="E4" s="272">
        <f ca="1">HLOOKUP($B4, 'J-Class25ppm_SCR_Filtered'!$G$5:$L$38, 32, FALSE)</f>
        <v>1.3900000000000001</v>
      </c>
      <c r="F4" s="272">
        <f ca="1">HLOOKUP($B4, 'J-Class25ppm_SCR_Filtered'!$G$5:$L$38, 33, FALSE)</f>
        <v>10.93</v>
      </c>
      <c r="G4" s="272">
        <f ca="1">HLOOKUP($B4, 'J-Class25ppm_SCR_Filtered'!$G$5:$L$38, 4, FALSE)</f>
        <v>357.4</v>
      </c>
      <c r="H4" s="272">
        <f ca="1">HLOOKUP($B4, 'J-Class25ppm_SCR_Filtered'!$G$5:$L$38, 5, FALSE)</f>
        <v>370.2</v>
      </c>
      <c r="I4" s="272">
        <f>HLOOKUP($B4, 'J-Class25ppm_SCR_Filtered'!$G$5:$L$38, 29, FALSE)</f>
        <v>490</v>
      </c>
      <c r="J4" s="272">
        <f ca="1">HLOOKUP($B4, 'J-Class25ppm_SCR_Filtered'!$G$5:$L$38, 34, FALSE)</f>
        <v>26600</v>
      </c>
      <c r="K4" s="272">
        <f ca="1">HLOOKUP($B4, 'J-Class25ppm_SCR_Filtered'!$G$5:$L$38, 12, FALSE)</f>
        <v>26.456531049250536</v>
      </c>
      <c r="L4" s="272">
        <f ca="1">HLOOKUP($B4, 'J-Class25ppm_SCR_Filtered'!$G$5:$L$38, 13, FALSE)</f>
        <v>6.9147751605995715</v>
      </c>
      <c r="M4" s="272">
        <f ca="1">HLOOKUP($B4, 'J-Class25ppm_SCR_Filtered'!$G$5:$L$38, 14, FALSE)</f>
        <v>412481.3704496788</v>
      </c>
      <c r="N4" s="272">
        <f ca="1">HLOOKUP($B4, 'J-Class25ppm_SCR_Filtered'!$G$5:$L$38, 16, FALSE)</f>
        <v>26.286937901498931</v>
      </c>
      <c r="O4" s="272">
        <f ca="1">HLOOKUP($B4, 'J-Class25ppm_SCR_Filtered'!$G$5:$L$38, 17, FALSE)</f>
        <v>6.8704496788008562</v>
      </c>
      <c r="P4" s="272">
        <f ca="1">HLOOKUP($B4, 'J-Class25ppm_SCR_Filtered'!$G$5:$L$38, 18, FALSE)</f>
        <v>409837.2591006424</v>
      </c>
      <c r="Q4" s="272">
        <f ca="1">HLOOKUP($B4, 'J-Class25ppm_SCR_Filtered'!$G$5:$L$38, 20, FALSE)</f>
        <v>96.20556745182013</v>
      </c>
      <c r="R4" s="272">
        <f ca="1">HLOOKUP($B4, 'J-Class25ppm_SCR_Filtered'!$G$5:$L$38, 21, FALSE)</f>
        <v>5.2111349036402572</v>
      </c>
      <c r="S4" s="272">
        <f ca="1">HLOOKUP($B4, 'J-Class25ppm_SCR_Filtered'!$G$5:$L$38, 22, FALSE)</f>
        <v>549975.16059957177</v>
      </c>
      <c r="T4" s="272">
        <f ca="1">HLOOKUP($B4, 'J-Class25ppm_SCR_Filtered'!$G$5:$L$38, 24, FALSE)</f>
        <v>95.58886509635974</v>
      </c>
      <c r="U4" s="272">
        <f ca="1">HLOOKUP($B4, 'J-Class25ppm_SCR_Filtered'!$G$5:$L$38, 25, FALSE)</f>
        <v>5.1777301927194861</v>
      </c>
      <c r="V4" s="272">
        <f ca="1">HLOOKUP($B4, 'J-Class25ppm_SCR_Filtered'!$G$5:$L$38, 26, FALSE)</f>
        <v>546449.67880085658</v>
      </c>
      <c r="W4" s="272">
        <f ca="1">1-HLOOKUP($B4, 'J-Class25ppm_SCR_Filtered'!$G$5:$L$38, 30, FALSE)</f>
        <v>0.95660000000000001</v>
      </c>
    </row>
    <row r="5" spans="1:23" x14ac:dyDescent="0.2">
      <c r="A5" s="10" t="s">
        <v>36</v>
      </c>
      <c r="B5" s="46" t="s">
        <v>21</v>
      </c>
      <c r="C5" s="51">
        <f ca="1">HLOOKUP($B5, 'J-Class25ppm_SCR_Filtered'!$G$5:$L$38, 8, FALSE)</f>
        <v>9360</v>
      </c>
      <c r="D5" s="51">
        <f ca="1">HLOOKUP($B5, 'J-Class25ppm_SCR_Filtered'!$G$5:$L$38, 9, FALSE)</f>
        <v>9300</v>
      </c>
      <c r="E5" s="272">
        <f ca="1">HLOOKUP($B5, 'J-Class25ppm_SCR_Filtered'!$G$5:$L$38, 32, FALSE)</f>
        <v>1.3900000000000001</v>
      </c>
      <c r="F5" s="272">
        <f ca="1">HLOOKUP($B5, 'J-Class25ppm_SCR_Filtered'!$G$5:$L$38, 33, FALSE)</f>
        <v>10.93</v>
      </c>
      <c r="G5" s="272">
        <f ca="1">HLOOKUP($B5, 'J-Class25ppm_SCR_Filtered'!$G$5:$L$38, 4, FALSE)</f>
        <v>357.4</v>
      </c>
      <c r="H5" s="272">
        <f ca="1">HLOOKUP($B5, 'J-Class25ppm_SCR_Filtered'!$G$5:$L$38, 5, FALSE)</f>
        <v>370.2</v>
      </c>
      <c r="I5" s="272">
        <f>HLOOKUP($B5, 'J-Class25ppm_SCR_Filtered'!$G$5:$L$38, 29, FALSE)</f>
        <v>490</v>
      </c>
      <c r="J5" s="272">
        <f ca="1">HLOOKUP($B5, 'J-Class25ppm_SCR_Filtered'!$G$5:$L$38, 34, FALSE)</f>
        <v>26600</v>
      </c>
      <c r="K5" s="272">
        <f ca="1">HLOOKUP($B5, 'J-Class25ppm_SCR_Filtered'!$G$5:$L$38, 12, FALSE)</f>
        <v>26.456531049250536</v>
      </c>
      <c r="L5" s="272">
        <f ca="1">HLOOKUP($B5, 'J-Class25ppm_SCR_Filtered'!$G$5:$L$38, 13, FALSE)</f>
        <v>6.9147751605995715</v>
      </c>
      <c r="M5" s="272">
        <f ca="1">HLOOKUP($B5, 'J-Class25ppm_SCR_Filtered'!$G$5:$L$38, 14, FALSE)</f>
        <v>412481.3704496788</v>
      </c>
      <c r="N5" s="272">
        <f ca="1">HLOOKUP($B5, 'J-Class25ppm_SCR_Filtered'!$G$5:$L$38, 16, FALSE)</f>
        <v>26.286937901498931</v>
      </c>
      <c r="O5" s="272">
        <f ca="1">HLOOKUP($B5, 'J-Class25ppm_SCR_Filtered'!$G$5:$L$38, 17, FALSE)</f>
        <v>6.8704496788008562</v>
      </c>
      <c r="P5" s="272">
        <f ca="1">HLOOKUP($B5, 'J-Class25ppm_SCR_Filtered'!$G$5:$L$38, 18, FALSE)</f>
        <v>409837.2591006424</v>
      </c>
      <c r="Q5" s="272">
        <f ca="1">HLOOKUP($B5, 'J-Class25ppm_SCR_Filtered'!$G$5:$L$38, 20, FALSE)</f>
        <v>96.20556745182013</v>
      </c>
      <c r="R5" s="272">
        <f ca="1">HLOOKUP($B5, 'J-Class25ppm_SCR_Filtered'!$G$5:$L$38, 21, FALSE)</f>
        <v>5.2111349036402572</v>
      </c>
      <c r="S5" s="272">
        <f ca="1">HLOOKUP($B5, 'J-Class25ppm_SCR_Filtered'!$G$5:$L$38, 22, FALSE)</f>
        <v>549975.16059957177</v>
      </c>
      <c r="T5" s="272">
        <f ca="1">HLOOKUP($B5, 'J-Class25ppm_SCR_Filtered'!$G$5:$L$38, 24, FALSE)</f>
        <v>95.58886509635974</v>
      </c>
      <c r="U5" s="272">
        <f ca="1">HLOOKUP($B5, 'J-Class25ppm_SCR_Filtered'!$G$5:$L$38, 25, FALSE)</f>
        <v>5.1777301927194861</v>
      </c>
      <c r="V5" s="272">
        <f ca="1">HLOOKUP($B5, 'J-Class25ppm_SCR_Filtered'!$G$5:$L$38, 26, FALSE)</f>
        <v>546449.67880085658</v>
      </c>
      <c r="W5" s="272">
        <f ca="1">1-HLOOKUP($B5, 'J-Class25ppm_SCR_Filtered'!$G$5:$L$38, 30, FALSE)</f>
        <v>0.95660000000000001</v>
      </c>
    </row>
    <row r="6" spans="1:23" x14ac:dyDescent="0.2">
      <c r="A6" s="10" t="s">
        <v>30</v>
      </c>
      <c r="B6" s="46" t="s">
        <v>4</v>
      </c>
      <c r="C6" s="51">
        <f ca="1">HLOOKUP($B6, 'J-Class25ppm_SCR_Filtered'!$G$5:$L$38, 8, FALSE)</f>
        <v>9350</v>
      </c>
      <c r="D6" s="51">
        <f ca="1">HLOOKUP($B6, 'J-Class25ppm_SCR_Filtered'!$G$5:$L$38, 9, FALSE)</f>
        <v>9290</v>
      </c>
      <c r="E6" s="272">
        <f ca="1">HLOOKUP($B6, 'J-Class25ppm_SCR_Filtered'!$G$5:$L$38, 32, FALSE)</f>
        <v>1.3900000000000001</v>
      </c>
      <c r="F6" s="272">
        <f ca="1">HLOOKUP($B6, 'J-Class25ppm_SCR_Filtered'!$G$5:$L$38, 33, FALSE)</f>
        <v>10.91</v>
      </c>
      <c r="G6" s="272">
        <f ca="1">HLOOKUP($B6, 'J-Class25ppm_SCR_Filtered'!$G$5:$L$38, 4, FALSE)</f>
        <v>357.7</v>
      </c>
      <c r="H6" s="272">
        <f ca="1">HLOOKUP($B6, 'J-Class25ppm_SCR_Filtered'!$G$5:$L$38, 5, FALSE)</f>
        <v>369.2</v>
      </c>
      <c r="I6" s="272">
        <f>HLOOKUP($B6, 'J-Class25ppm_SCR_Filtered'!$G$5:$L$38, 29, FALSE)</f>
        <v>490</v>
      </c>
      <c r="J6" s="272">
        <f ca="1">HLOOKUP($B6, 'J-Class25ppm_SCR_Filtered'!$G$5:$L$38, 34, FALSE)</f>
        <v>26600</v>
      </c>
      <c r="K6" s="272">
        <f ca="1">HLOOKUP($B6, 'J-Class25ppm_SCR_Filtered'!$G$5:$L$38, 12, FALSE)</f>
        <v>26.428265524625267</v>
      </c>
      <c r="L6" s="272">
        <f ca="1">HLOOKUP($B6, 'J-Class25ppm_SCR_Filtered'!$G$5:$L$38, 13, FALSE)</f>
        <v>6.8072805139186299</v>
      </c>
      <c r="M6" s="272">
        <f ca="1">HLOOKUP($B6, 'J-Class25ppm_SCR_Filtered'!$G$5:$L$38, 14, FALSE)</f>
        <v>410839.40042826551</v>
      </c>
      <c r="N6" s="272">
        <f ca="1">HLOOKUP($B6, 'J-Class25ppm_SCR_Filtered'!$G$5:$L$38, 16, FALSE)</f>
        <v>26.258672376873662</v>
      </c>
      <c r="O6" s="272">
        <f ca="1">HLOOKUP($B6, 'J-Class25ppm_SCR_Filtered'!$G$5:$L$38, 17, FALSE)</f>
        <v>6.7635974304068522</v>
      </c>
      <c r="P6" s="272">
        <f ca="1">HLOOKUP($B6, 'J-Class25ppm_SCR_Filtered'!$G$5:$L$38, 18, FALSE)</f>
        <v>408202.9978586724</v>
      </c>
      <c r="Q6" s="272">
        <f ca="1">HLOOKUP($B6, 'J-Class25ppm_SCR_Filtered'!$G$5:$L$38, 20, FALSE)</f>
        <v>96.102783725910058</v>
      </c>
      <c r="R6" s="272">
        <f ca="1">HLOOKUP($B6, 'J-Class25ppm_SCR_Filtered'!$G$5:$L$38, 21, FALSE)</f>
        <v>5.2055674518201283</v>
      </c>
      <c r="S6" s="272">
        <f ca="1">HLOOKUP($B6, 'J-Class25ppm_SCR_Filtered'!$G$5:$L$38, 22, FALSE)</f>
        <v>547785.86723768734</v>
      </c>
      <c r="T6" s="272">
        <f ca="1">HLOOKUP($B6, 'J-Class25ppm_SCR_Filtered'!$G$5:$L$38, 24, FALSE)</f>
        <v>95.486081370449682</v>
      </c>
      <c r="U6" s="272">
        <f ca="1">HLOOKUP($B6, 'J-Class25ppm_SCR_Filtered'!$G$5:$L$38, 25, FALSE)</f>
        <v>5.172162740899358</v>
      </c>
      <c r="V6" s="272">
        <f ca="1">HLOOKUP($B6, 'J-Class25ppm_SCR_Filtered'!$G$5:$L$38, 26, FALSE)</f>
        <v>544270.66381156316</v>
      </c>
      <c r="W6" s="272">
        <f ca="1">1-HLOOKUP($B6, 'J-Class25ppm_SCR_Filtered'!$G$5:$L$38, 30, FALSE)</f>
        <v>0.95660000000000001</v>
      </c>
    </row>
    <row r="7" spans="1:23" x14ac:dyDescent="0.2">
      <c r="A7" s="10" t="s">
        <v>29</v>
      </c>
      <c r="B7" s="46" t="s">
        <v>5</v>
      </c>
      <c r="C7" s="51">
        <f ca="1">HLOOKUP($B7, 'J-Class25ppm_SCR_Filtered'!$G$5:$L$38, 8, FALSE)</f>
        <v>9350</v>
      </c>
      <c r="D7" s="51">
        <f ca="1">HLOOKUP($B7, 'J-Class25ppm_SCR_Filtered'!$G$5:$L$38, 9, FALSE)</f>
        <v>9280</v>
      </c>
      <c r="E7" s="272">
        <f ca="1">HLOOKUP($B7, 'J-Class25ppm_SCR_Filtered'!$G$5:$L$38, 32, FALSE)</f>
        <v>1.4</v>
      </c>
      <c r="F7" s="272">
        <f ca="1">HLOOKUP($B7, 'J-Class25ppm_SCR_Filtered'!$G$5:$L$38, 33, FALSE)</f>
        <v>10.91</v>
      </c>
      <c r="G7" s="272">
        <f ca="1">HLOOKUP($B7, 'J-Class25ppm_SCR_Filtered'!$G$5:$L$38, 4, FALSE)</f>
        <v>355.6</v>
      </c>
      <c r="H7" s="272">
        <f ca="1">HLOOKUP($B7, 'J-Class25ppm_SCR_Filtered'!$G$5:$L$38, 5, FALSE)</f>
        <v>367.4</v>
      </c>
      <c r="I7" s="272">
        <f>HLOOKUP($B7, 'J-Class25ppm_SCR_Filtered'!$G$5:$L$38, 29, FALSE)</f>
        <v>490</v>
      </c>
      <c r="J7" s="272">
        <f ca="1">HLOOKUP($B7, 'J-Class25ppm_SCR_Filtered'!$G$5:$L$38, 34, FALSE)</f>
        <v>26600</v>
      </c>
      <c r="K7" s="272">
        <f ca="1">HLOOKUP($B7, 'J-Class25ppm_SCR_Filtered'!$G$5:$L$38, 12, FALSE)</f>
        <v>26.428265524625267</v>
      </c>
      <c r="L7" s="272">
        <f ca="1">HLOOKUP($B7, 'J-Class25ppm_SCR_Filtered'!$G$5:$L$38, 13, FALSE)</f>
        <v>6.8072805139186299</v>
      </c>
      <c r="M7" s="272">
        <f ca="1">HLOOKUP($B7, 'J-Class25ppm_SCR_Filtered'!$G$5:$L$38, 14, FALSE)</f>
        <v>408436.83083511778</v>
      </c>
      <c r="N7" s="272">
        <f ca="1">HLOOKUP($B7, 'J-Class25ppm_SCR_Filtered'!$G$5:$L$38, 16, FALSE)</f>
        <v>26.230406852248393</v>
      </c>
      <c r="O7" s="272">
        <f ca="1">HLOOKUP($B7, 'J-Class25ppm_SCR_Filtered'!$G$5:$L$38, 17, FALSE)</f>
        <v>6.7563169164882231</v>
      </c>
      <c r="P7" s="272">
        <f ca="1">HLOOKUP($B7, 'J-Class25ppm_SCR_Filtered'!$G$5:$L$38, 18, FALSE)</f>
        <v>405379.01498929336</v>
      </c>
      <c r="Q7" s="272">
        <f ca="1">HLOOKUP($B7, 'J-Class25ppm_SCR_Filtered'!$G$5:$L$38, 20, FALSE)</f>
        <v>96.102783725910058</v>
      </c>
      <c r="R7" s="272">
        <f ca="1">HLOOKUP($B7, 'J-Class25ppm_SCR_Filtered'!$G$5:$L$38, 21, FALSE)</f>
        <v>5.2055674518201283</v>
      </c>
      <c r="S7" s="272">
        <f ca="1">HLOOKUP($B7, 'J-Class25ppm_SCR_Filtered'!$G$5:$L$38, 22, FALSE)</f>
        <v>544582.44111349038</v>
      </c>
      <c r="T7" s="272">
        <f ca="1">HLOOKUP($B7, 'J-Class25ppm_SCR_Filtered'!$G$5:$L$38, 24, FALSE)</f>
        <v>95.38329764453961</v>
      </c>
      <c r="U7" s="272">
        <f ca="1">HLOOKUP($B7, 'J-Class25ppm_SCR_Filtered'!$G$5:$L$38, 25, FALSE)</f>
        <v>5.166595289079229</v>
      </c>
      <c r="V7" s="272">
        <f ca="1">HLOOKUP($B7, 'J-Class25ppm_SCR_Filtered'!$G$5:$L$38, 26, FALSE)</f>
        <v>540505.35331905785</v>
      </c>
      <c r="W7" s="272">
        <f ca="1">1-HLOOKUP($B7, 'J-Class25ppm_SCR_Filtered'!$G$5:$L$38, 30, FALSE)</f>
        <v>0.95660000000000001</v>
      </c>
    </row>
  </sheetData>
  <pageMargins left="0.7" right="0.7" top="0.75" bottom="0.75" header="0.3" footer="0.3"/>
  <pageSetup scale="59" fitToWidth="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27</vt:i4>
      </vt:variant>
      <vt:variant>
        <vt:lpstr>Named Ranges</vt:lpstr>
      </vt:variant>
      <vt:variant>
        <vt:i4>7</vt:i4>
      </vt:variant>
    </vt:vector>
  </HeadingPairs>
  <TitlesOfParts>
    <vt:vector size="34" baseType="lpstr">
      <vt:lpstr>MODEL INPUTS -&gt;</vt:lpstr>
      <vt:lpstr>gen_params_CTs_reserves</vt:lpstr>
      <vt:lpstr>CTs_runtimes_scr</vt:lpstr>
      <vt:lpstr>nox_limits</vt:lpstr>
      <vt:lpstr>tech_params_aero</vt:lpstr>
      <vt:lpstr>tech_params_aero_noscr</vt:lpstr>
      <vt:lpstr>tech_params_f</vt:lpstr>
      <vt:lpstr>tech_params_f_noscr</vt:lpstr>
      <vt:lpstr>tech_params_j25</vt:lpstr>
      <vt:lpstr>tech_params_j25_noscr</vt:lpstr>
      <vt:lpstr>tech_params_j15_noscr</vt:lpstr>
      <vt:lpstr>tech_params_ccj</vt:lpstr>
      <vt:lpstr>FILTERED INPUTS -&gt;</vt:lpstr>
      <vt:lpstr>Aero_NoSCR_Filtered</vt:lpstr>
      <vt:lpstr>Aero_SCR_Filtered</vt:lpstr>
      <vt:lpstr>F-Class_NoSCR_Filtered</vt:lpstr>
      <vt:lpstr>F-Class_SCR_Filtered</vt:lpstr>
      <vt:lpstr>J-Class25ppm_NoSCR_Filtered</vt:lpstr>
      <vt:lpstr>J-Class25ppm_SCR_Filtered</vt:lpstr>
      <vt:lpstr>J-Class15ppm_NoSCR_Filtered</vt:lpstr>
      <vt:lpstr>J-Class_CC_Filtered</vt:lpstr>
      <vt:lpstr>B&amp;M DATA -&gt;</vt:lpstr>
      <vt:lpstr>Raw_Aeroderivative</vt:lpstr>
      <vt:lpstr>Raw_F-Class</vt:lpstr>
      <vt:lpstr>Raw_J-Class25ppm</vt:lpstr>
      <vt:lpstr>Raw_J-Class15ppm</vt:lpstr>
      <vt:lpstr>Raw_J-Class_CC</vt:lpstr>
      <vt:lpstr>Aero_SCR_Filtered!Print_Area</vt:lpstr>
      <vt:lpstr>'F-Class_NoSCR_Filtered'!Print_Area</vt:lpstr>
      <vt:lpstr>'F-Class_SCR_Filtered'!Print_Area</vt:lpstr>
      <vt:lpstr>'J-Class_CC_Filtered'!Print_Area</vt:lpstr>
      <vt:lpstr>'J-Class15ppm_NoSCR_Filtered'!Print_Area</vt:lpstr>
      <vt:lpstr>'J-Class25ppm_NoSCR_Filtered'!Print_Area</vt:lpstr>
      <vt:lpstr>'J-Class25ppm_SCR_Filtered'!Print_Area</vt:lpstr>
    </vt:vector>
  </TitlesOfParts>
  <Company>Analysis Group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Ellery, Berk</dc:creator>
  <cp:lastModifiedBy>Downie, Ned</cp:lastModifiedBy>
  <cp:lastPrinted>2016-07-07T19:35:52Z</cp:lastPrinted>
  <dcterms:created xsi:type="dcterms:W3CDTF">2016-02-17T16:35:50Z</dcterms:created>
  <dcterms:modified xsi:type="dcterms:W3CDTF">2020-07-27T16:52:43Z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{AA5891EE-2CCB-4304-9EF3-256D71BE2893}</vt:lpwstr>
  </property>
</Properties>
</file>