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ewyorkiso-my.sharepoint.com/personal/amslerkb_ad_nyiso_com/Documents/Desktop/Amsler/Planning/Queues/2026/July 2026/"/>
    </mc:Choice>
  </mc:AlternateContent>
  <xr:revisionPtr revIDLastSave="168" documentId="13_ncr:1_{DAE6F207-850C-4F40-A154-33526C5BCB01}" xr6:coauthVersionLast="47" xr6:coauthVersionMax="47" xr10:uidLastSave="{286D3CC9-1432-458B-93DB-5E6E15C96B8F}"/>
  <bookViews>
    <workbookView xWindow="0" yWindow="495" windowWidth="21600" windowHeight="11295" tabRatio="571" xr2:uid="{00000000-000D-0000-FFFF-FFFF00000000}"/>
  </bookViews>
  <sheets>
    <sheet name="NYISO Zonal Map" sheetId="13" r:id="rId1"/>
    <sheet name="Interconnection Queue" sheetId="1" r:id="rId2"/>
    <sheet name=" Cluster Projects" sheetId="7" r:id="rId3"/>
    <sheet name="Load Projects" sheetId="11" r:id="rId4"/>
    <sheet name="Load Project Tracking" sheetId="16" r:id="rId5"/>
    <sheet name="Affected System Studies" sheetId="9" r:id="rId6"/>
    <sheet name="Withdrawn" sheetId="6" r:id="rId7"/>
    <sheet name="Cluster Projects-Withdrawn" sheetId="8" r:id="rId8"/>
    <sheet name="In Service" sheetId="4" r:id="rId9"/>
  </sheets>
  <definedNames>
    <definedName name="_xlnm._FilterDatabase" localSheetId="2" hidden="1">' Cluster Projects'!$A$1:$W$91</definedName>
    <definedName name="_xlnm._FilterDatabase" localSheetId="7" hidden="1">'Cluster Projects-Withdrawn'!$A$2:$N$2</definedName>
    <definedName name="_xlnm._FilterDatabase" localSheetId="8" hidden="1">'In Service'!$A$2:$T$153</definedName>
    <definedName name="_xlnm._FilterDatabase" localSheetId="1" hidden="1">'Interconnection Queue'!$A$1:$AB$97</definedName>
    <definedName name="_xlnm._FilterDatabase" localSheetId="3" hidden="1">'Load Projects'!$A$1:$AE$93</definedName>
    <definedName name="_xlnm._FilterDatabase" localSheetId="6" hidden="1">Withdrawn!$A$1:$U$2516</definedName>
    <definedName name="PRINT" localSheetId="8">'In Service'!$A$1:$Q$159</definedName>
    <definedName name="PRINT" localSheetId="6">Withdrawn!$A$1:$N$736</definedName>
    <definedName name="PRINT">'Interconnection Queue'!$A$1:$W$1</definedName>
    <definedName name="_xlnm.Print_Area" localSheetId="8">'In Service'!$A$1:$Q$151</definedName>
    <definedName name="_xlnm.Print_Area" localSheetId="1">'Interconnection Queue'!$A$1:$X$116</definedName>
    <definedName name="_xlnm.Print_Area" localSheetId="6">Withdrawn!$A$2:$N$991</definedName>
    <definedName name="_xlnm.Print_Area">'Interconnection Queue'!$A$1:$W$1</definedName>
    <definedName name="_xlnm.Print_Titles" localSheetId="8">'In Service'!$1:$2</definedName>
    <definedName name="_xlnm.Print_Titles" localSheetId="1">'Interconnection Queue'!$1:$1</definedName>
    <definedName name="_xlnm.Print_Titles" localSheetId="6">Withdrawn!$1:$1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9" i="16" l="1" a="1"/>
  <c r="N89" i="16" s="1"/>
  <c r="M89" i="16" a="1"/>
  <c r="M89" i="16" s="1"/>
  <c r="L89" i="16" a="1"/>
  <c r="L89" i="16" s="1"/>
  <c r="K89" i="16" a="1"/>
  <c r="K89" i="16" s="1"/>
  <c r="J89" i="16" a="1"/>
  <c r="J89" i="16" s="1"/>
  <c r="I89" i="16" a="1"/>
  <c r="I89" i="16" s="1"/>
  <c r="H89" i="16" a="1"/>
  <c r="H89" i="16" s="1"/>
  <c r="G89" i="16" a="1"/>
  <c r="G89" i="16" s="1"/>
  <c r="F89" i="16" a="1"/>
  <c r="F89" i="16" s="1"/>
  <c r="E89" i="16" a="1"/>
  <c r="E89" i="16" s="1"/>
  <c r="D89" i="16" a="1"/>
  <c r="D89" i="16" s="1"/>
  <c r="N88" i="16" a="1"/>
  <c r="N88" i="16" s="1"/>
  <c r="M88" i="16" a="1"/>
  <c r="M88" i="16" s="1"/>
  <c r="L88" i="16" a="1"/>
  <c r="L88" i="16" s="1"/>
  <c r="K88" i="16" a="1"/>
  <c r="K88" i="16" s="1"/>
  <c r="J88" i="16" a="1"/>
  <c r="J88" i="16" s="1"/>
  <c r="I88" i="16" a="1"/>
  <c r="I88" i="16" s="1"/>
  <c r="H88" i="16" a="1"/>
  <c r="H88" i="16" s="1"/>
  <c r="G88" i="16" a="1"/>
  <c r="G88" i="16" s="1"/>
  <c r="F88" i="16" a="1"/>
  <c r="F88" i="16" s="1"/>
  <c r="E88" i="16" a="1"/>
  <c r="E88" i="16" s="1"/>
  <c r="D88" i="16" a="1"/>
  <c r="D88" i="16" s="1"/>
  <c r="N87" i="16" a="1"/>
  <c r="N87" i="16" s="1"/>
  <c r="M87" i="16" a="1"/>
  <c r="M87" i="16" s="1"/>
  <c r="L87" i="16" a="1"/>
  <c r="L87" i="16" s="1"/>
  <c r="K87" i="16" a="1"/>
  <c r="K87" i="16" s="1"/>
  <c r="J87" i="16" a="1"/>
  <c r="J87" i="16" s="1"/>
  <c r="I87" i="16" a="1"/>
  <c r="I87" i="16" s="1"/>
  <c r="H87" i="16" a="1"/>
  <c r="H87" i="16" s="1"/>
  <c r="G87" i="16" a="1"/>
  <c r="G87" i="16" s="1"/>
  <c r="F87" i="16" a="1"/>
  <c r="F87" i="16" s="1"/>
  <c r="E87" i="16" a="1"/>
  <c r="E87" i="16" s="1"/>
  <c r="D87" i="16" a="1"/>
  <c r="D87" i="16" s="1"/>
  <c r="N86" i="16" a="1"/>
  <c r="N86" i="16" s="1"/>
  <c r="M86" i="16" a="1"/>
  <c r="M86" i="16" s="1"/>
  <c r="L86" i="16" a="1"/>
  <c r="L86" i="16" s="1"/>
  <c r="K86" i="16" a="1"/>
  <c r="K86" i="16" s="1"/>
  <c r="J86" i="16" a="1"/>
  <c r="J86" i="16" s="1"/>
  <c r="I86" i="16" a="1"/>
  <c r="I86" i="16" s="1"/>
  <c r="H86" i="16" a="1"/>
  <c r="H86" i="16" s="1"/>
  <c r="G86" i="16" a="1"/>
  <c r="G86" i="16" s="1"/>
  <c r="F86" i="16" a="1"/>
  <c r="F86" i="16" s="1"/>
  <c r="E86" i="16" a="1"/>
  <c r="E86" i="16" s="1"/>
  <c r="D86" i="16" a="1"/>
  <c r="D86" i="16" s="1"/>
  <c r="N85" i="16" a="1"/>
  <c r="N85" i="16" s="1"/>
  <c r="M85" i="16" a="1"/>
  <c r="M85" i="16" s="1"/>
  <c r="L85" i="16" a="1"/>
  <c r="L85" i="16" s="1"/>
  <c r="K85" i="16" a="1"/>
  <c r="K85" i="16" s="1"/>
  <c r="J85" i="16" a="1"/>
  <c r="J85" i="16" s="1"/>
  <c r="I85" i="16" a="1"/>
  <c r="I85" i="16" s="1"/>
  <c r="H85" i="16" a="1"/>
  <c r="H85" i="16" s="1"/>
  <c r="G85" i="16" a="1"/>
  <c r="G85" i="16" s="1"/>
  <c r="F85" i="16" a="1"/>
  <c r="F85" i="16" s="1"/>
  <c r="E85" i="16" a="1"/>
  <c r="E85" i="16" s="1"/>
  <c r="D85" i="16" a="1"/>
  <c r="D85" i="16" s="1"/>
  <c r="N84" i="16" a="1"/>
  <c r="N84" i="16" s="1"/>
  <c r="M84" i="16" a="1"/>
  <c r="M84" i="16" s="1"/>
  <c r="L84" i="16" a="1"/>
  <c r="L84" i="16" s="1"/>
  <c r="K84" i="16" a="1"/>
  <c r="K84" i="16" s="1"/>
  <c r="J84" i="16" a="1"/>
  <c r="J84" i="16" s="1"/>
  <c r="I84" i="16" a="1"/>
  <c r="I84" i="16" s="1"/>
  <c r="H84" i="16" a="1"/>
  <c r="H84" i="16" s="1"/>
  <c r="G84" i="16" a="1"/>
  <c r="G84" i="16" s="1"/>
  <c r="F84" i="16" a="1"/>
  <c r="F84" i="16" s="1"/>
  <c r="E84" i="16" a="1"/>
  <c r="E84" i="16" s="1"/>
  <c r="D84" i="16" a="1"/>
  <c r="D84" i="16" s="1"/>
  <c r="N83" i="16" a="1"/>
  <c r="N83" i="16" s="1"/>
  <c r="M83" i="16" a="1"/>
  <c r="M83" i="16" s="1"/>
  <c r="L83" i="16" a="1"/>
  <c r="L83" i="16" s="1"/>
  <c r="K83" i="16" a="1"/>
  <c r="K83" i="16" s="1"/>
  <c r="J83" i="16" a="1"/>
  <c r="J83" i="16" s="1"/>
  <c r="I83" i="16" a="1"/>
  <c r="I83" i="16" s="1"/>
  <c r="H83" i="16" a="1"/>
  <c r="H83" i="16" s="1"/>
  <c r="G83" i="16" a="1"/>
  <c r="G83" i="16" s="1"/>
  <c r="F83" i="16" a="1"/>
  <c r="F83" i="16" s="1"/>
  <c r="E83" i="16" a="1"/>
  <c r="E83" i="16" s="1"/>
  <c r="D83" i="16" a="1"/>
  <c r="D83" i="16" s="1"/>
  <c r="N11" i="16"/>
  <c r="M11" i="16"/>
  <c r="L11" i="16"/>
  <c r="K11" i="16"/>
  <c r="J11" i="16"/>
  <c r="I11" i="16"/>
  <c r="H11" i="16"/>
  <c r="G11" i="16"/>
  <c r="F11" i="16"/>
  <c r="E11" i="16"/>
  <c r="D11" i="16"/>
  <c r="F13" i="16"/>
  <c r="F12" i="16"/>
  <c r="F10" i="16"/>
  <c r="F9" i="16"/>
  <c r="F8" i="16"/>
  <c r="F7" i="16"/>
  <c r="F6" i="16"/>
  <c r="F5" i="16"/>
  <c r="N52" i="16" a="1"/>
  <c r="N52" i="16" s="1"/>
  <c r="M52" i="16" a="1"/>
  <c r="M52" i="16" s="1"/>
  <c r="L52" i="16" a="1"/>
  <c r="L52" i="16" s="1"/>
  <c r="K52" i="16" a="1"/>
  <c r="K52" i="16" s="1"/>
  <c r="J52" i="16" a="1"/>
  <c r="J52" i="16" s="1"/>
  <c r="I52" i="16" a="1"/>
  <c r="I52" i="16" s="1"/>
  <c r="H52" i="16" a="1"/>
  <c r="H52" i="16" s="1"/>
  <c r="G52" i="16" a="1"/>
  <c r="G52" i="16" s="1"/>
  <c r="F52" i="16" a="1"/>
  <c r="F52" i="16" s="1"/>
  <c r="E52" i="16" a="1"/>
  <c r="E52" i="16" s="1"/>
  <c r="D52" i="16" a="1"/>
  <c r="D52" i="16" s="1"/>
  <c r="N51" i="16" a="1"/>
  <c r="N51" i="16" s="1"/>
  <c r="M51" i="16" a="1"/>
  <c r="M51" i="16" s="1"/>
  <c r="L51" i="16" a="1"/>
  <c r="L51" i="16" s="1"/>
  <c r="K51" i="16" a="1"/>
  <c r="K51" i="16" s="1"/>
  <c r="J51" i="16" a="1"/>
  <c r="J51" i="16" s="1"/>
  <c r="I51" i="16" a="1"/>
  <c r="I51" i="16" s="1"/>
  <c r="H51" i="16" a="1"/>
  <c r="H51" i="16" s="1"/>
  <c r="G51" i="16" a="1"/>
  <c r="G51" i="16" s="1"/>
  <c r="F51" i="16" a="1"/>
  <c r="F51" i="16" s="1"/>
  <c r="E51" i="16" a="1"/>
  <c r="E51" i="16" s="1"/>
  <c r="D51" i="16" a="1"/>
  <c r="D51" i="16" s="1"/>
  <c r="N50" i="16" a="1"/>
  <c r="N50" i="16" s="1"/>
  <c r="M50" i="16" a="1"/>
  <c r="M50" i="16" s="1"/>
  <c r="L50" i="16" a="1"/>
  <c r="L50" i="16" s="1"/>
  <c r="K50" i="16" a="1"/>
  <c r="K50" i="16" s="1"/>
  <c r="J50" i="16" a="1"/>
  <c r="J50" i="16" s="1"/>
  <c r="I50" i="16" a="1"/>
  <c r="I50" i="16" s="1"/>
  <c r="H50" i="16" a="1"/>
  <c r="H50" i="16" s="1"/>
  <c r="G50" i="16" a="1"/>
  <c r="G50" i="16" s="1"/>
  <c r="F50" i="16" a="1"/>
  <c r="F50" i="16" s="1"/>
  <c r="E50" i="16" a="1"/>
  <c r="E50" i="16" s="1"/>
  <c r="D50" i="16" a="1"/>
  <c r="D50" i="16" s="1"/>
  <c r="N49" i="16" a="1"/>
  <c r="N49" i="16" s="1"/>
  <c r="M49" i="16" a="1"/>
  <c r="M49" i="16" s="1"/>
  <c r="L49" i="16" a="1"/>
  <c r="L49" i="16" s="1"/>
  <c r="K49" i="16" a="1"/>
  <c r="K49" i="16" s="1"/>
  <c r="J49" i="16" a="1"/>
  <c r="J49" i="16" s="1"/>
  <c r="I49" i="16" a="1"/>
  <c r="I49" i="16" s="1"/>
  <c r="H49" i="16" a="1"/>
  <c r="H49" i="16" s="1"/>
  <c r="G49" i="16" a="1"/>
  <c r="G49" i="16" s="1"/>
  <c r="F49" i="16" a="1"/>
  <c r="F49" i="16" s="1"/>
  <c r="E49" i="16" a="1"/>
  <c r="E49" i="16" s="1"/>
  <c r="D49" i="16" a="1"/>
  <c r="D49" i="16" s="1"/>
  <c r="N48" i="16" a="1"/>
  <c r="N48" i="16" s="1"/>
  <c r="M48" i="16" a="1"/>
  <c r="M48" i="16" s="1"/>
  <c r="L48" i="16" a="1"/>
  <c r="L48" i="16" s="1"/>
  <c r="K48" i="16" a="1"/>
  <c r="K48" i="16" s="1"/>
  <c r="J48" i="16" a="1"/>
  <c r="J48" i="16" s="1"/>
  <c r="I48" i="16" a="1"/>
  <c r="I48" i="16" s="1"/>
  <c r="H48" i="16" a="1"/>
  <c r="H48" i="16" s="1"/>
  <c r="G48" i="16" a="1"/>
  <c r="G48" i="16" s="1"/>
  <c r="F48" i="16" a="1"/>
  <c r="F48" i="16" s="1"/>
  <c r="E48" i="16" a="1"/>
  <c r="E48" i="16" s="1"/>
  <c r="D48" i="16" a="1"/>
  <c r="D48" i="16" s="1"/>
  <c r="N47" i="16" a="1"/>
  <c r="N47" i="16" s="1"/>
  <c r="M47" i="16" a="1"/>
  <c r="M47" i="16" s="1"/>
  <c r="L47" i="16" a="1"/>
  <c r="L47" i="16" s="1"/>
  <c r="K47" i="16" a="1"/>
  <c r="K47" i="16" s="1"/>
  <c r="J47" i="16" a="1"/>
  <c r="J47" i="16" s="1"/>
  <c r="I47" i="16" a="1"/>
  <c r="I47" i="16" s="1"/>
  <c r="H47" i="16" a="1"/>
  <c r="H47" i="16" s="1"/>
  <c r="G47" i="16" a="1"/>
  <c r="G47" i="16" s="1"/>
  <c r="F47" i="16" a="1"/>
  <c r="F47" i="16" s="1"/>
  <c r="E47" i="16" a="1"/>
  <c r="E47" i="16" s="1"/>
  <c r="D47" i="16" a="1"/>
  <c r="D47" i="16" s="1"/>
  <c r="N46" i="16" a="1"/>
  <c r="N46" i="16" s="1"/>
  <c r="M46" i="16" a="1"/>
  <c r="M46" i="16" s="1"/>
  <c r="L46" i="16" a="1"/>
  <c r="L46" i="16" s="1"/>
  <c r="K46" i="16" a="1"/>
  <c r="K46" i="16" s="1"/>
  <c r="J46" i="16" a="1"/>
  <c r="J46" i="16" s="1"/>
  <c r="I46" i="16" a="1"/>
  <c r="I46" i="16" s="1"/>
  <c r="H46" i="16" a="1"/>
  <c r="H46" i="16" s="1"/>
  <c r="G46" i="16" a="1"/>
  <c r="G46" i="16" s="1"/>
  <c r="F46" i="16" a="1"/>
  <c r="F46" i="16" s="1"/>
  <c r="E46" i="16" a="1"/>
  <c r="E46" i="16" s="1"/>
  <c r="D46" i="16" a="1"/>
  <c r="D46" i="16" s="1"/>
  <c r="N45" i="16" a="1"/>
  <c r="N45" i="16" s="1"/>
  <c r="M45" i="16" a="1"/>
  <c r="M45" i="16" s="1"/>
  <c r="L45" i="16" a="1"/>
  <c r="L45" i="16" s="1"/>
  <c r="K45" i="16" a="1"/>
  <c r="K45" i="16" s="1"/>
  <c r="J45" i="16" a="1"/>
  <c r="J45" i="16" s="1"/>
  <c r="I45" i="16" a="1"/>
  <c r="I45" i="16" s="1"/>
  <c r="H45" i="16" a="1"/>
  <c r="H45" i="16" s="1"/>
  <c r="G45" i="16" a="1"/>
  <c r="G45" i="16" s="1"/>
  <c r="F45" i="16" a="1"/>
  <c r="F45" i="16" s="1"/>
  <c r="E45" i="16" a="1"/>
  <c r="E45" i="16" s="1"/>
  <c r="D45" i="16" a="1"/>
  <c r="D45" i="16" s="1"/>
  <c r="N44" i="16" a="1"/>
  <c r="N44" i="16" s="1"/>
  <c r="M44" i="16" a="1"/>
  <c r="M44" i="16" s="1"/>
  <c r="L44" i="16" a="1"/>
  <c r="L44" i="16" s="1"/>
  <c r="K44" i="16" a="1"/>
  <c r="K44" i="16" s="1"/>
  <c r="J44" i="16" a="1"/>
  <c r="J44" i="16" s="1"/>
  <c r="I44" i="16" a="1"/>
  <c r="I44" i="16" s="1"/>
  <c r="H44" i="16" a="1"/>
  <c r="H44" i="16" s="1"/>
  <c r="G44" i="16" a="1"/>
  <c r="G44" i="16" s="1"/>
  <c r="F44" i="16" a="1"/>
  <c r="F44" i="16" s="1"/>
  <c r="E44" i="16" a="1"/>
  <c r="E44" i="16" s="1"/>
  <c r="D44" i="16" a="1"/>
  <c r="D44" i="16" s="1"/>
  <c r="N43" i="16" a="1"/>
  <c r="N43" i="16" s="1"/>
  <c r="M43" i="16" a="1"/>
  <c r="M43" i="16" s="1"/>
  <c r="L43" i="16" a="1"/>
  <c r="L43" i="16" s="1"/>
  <c r="K43" i="16" a="1"/>
  <c r="K43" i="16" s="1"/>
  <c r="J43" i="16" a="1"/>
  <c r="J43" i="16" s="1"/>
  <c r="I43" i="16" a="1"/>
  <c r="I43" i="16" s="1"/>
  <c r="H43" i="16" a="1"/>
  <c r="H43" i="16" s="1"/>
  <c r="G43" i="16" a="1"/>
  <c r="G43" i="16" s="1"/>
  <c r="F43" i="16" a="1"/>
  <c r="F43" i="16" s="1"/>
  <c r="E43" i="16" a="1"/>
  <c r="E43" i="16" s="1"/>
  <c r="D43" i="16" a="1"/>
  <c r="D43" i="16" s="1"/>
  <c r="N13" i="16"/>
  <c r="M13" i="16"/>
  <c r="L13" i="16"/>
  <c r="K13" i="16"/>
  <c r="J13" i="16"/>
  <c r="I13" i="16"/>
  <c r="H13" i="16"/>
  <c r="G13" i="16"/>
  <c r="E13" i="16"/>
  <c r="D13" i="16"/>
  <c r="N12" i="16"/>
  <c r="M12" i="16"/>
  <c r="L12" i="16"/>
  <c r="K12" i="16"/>
  <c r="J12" i="16"/>
  <c r="I12" i="16"/>
  <c r="H12" i="16"/>
  <c r="G12" i="16"/>
  <c r="E12" i="16"/>
  <c r="D12" i="16"/>
  <c r="N10" i="16"/>
  <c r="M10" i="16"/>
  <c r="L10" i="16"/>
  <c r="K10" i="16"/>
  <c r="J10" i="16"/>
  <c r="I10" i="16"/>
  <c r="H10" i="16"/>
  <c r="G10" i="16"/>
  <c r="E10" i="16"/>
  <c r="D10" i="16"/>
  <c r="N9" i="16"/>
  <c r="M9" i="16"/>
  <c r="L9" i="16"/>
  <c r="K9" i="16"/>
  <c r="J9" i="16"/>
  <c r="I9" i="16"/>
  <c r="H9" i="16"/>
  <c r="G9" i="16"/>
  <c r="E9" i="16"/>
  <c r="D9" i="16"/>
  <c r="N8" i="16"/>
  <c r="M8" i="16"/>
  <c r="L8" i="16"/>
  <c r="K8" i="16"/>
  <c r="J8" i="16"/>
  <c r="I8" i="16"/>
  <c r="H8" i="16"/>
  <c r="G8" i="16"/>
  <c r="E8" i="16"/>
  <c r="D8" i="16"/>
  <c r="N7" i="16"/>
  <c r="M7" i="16"/>
  <c r="L7" i="16"/>
  <c r="K7" i="16"/>
  <c r="J7" i="16"/>
  <c r="I7" i="16"/>
  <c r="H7" i="16"/>
  <c r="G7" i="16"/>
  <c r="E7" i="16"/>
  <c r="D7" i="16"/>
  <c r="N6" i="16"/>
  <c r="M6" i="16"/>
  <c r="L6" i="16"/>
  <c r="K6" i="16"/>
  <c r="J6" i="16"/>
  <c r="I6" i="16"/>
  <c r="H6" i="16"/>
  <c r="G6" i="16"/>
  <c r="E6" i="16"/>
  <c r="D6" i="16"/>
  <c r="N5" i="16"/>
  <c r="M5" i="16"/>
  <c r="L5" i="16"/>
  <c r="K5" i="16"/>
  <c r="J5" i="16"/>
  <c r="I5" i="16"/>
  <c r="H5" i="16"/>
  <c r="G5" i="16"/>
  <c r="E5" i="16"/>
  <c r="D5" i="16"/>
  <c r="N4" i="16"/>
  <c r="M4" i="16"/>
  <c r="L4" i="16"/>
  <c r="K4" i="16"/>
  <c r="J4" i="16"/>
  <c r="I4" i="16"/>
  <c r="H4" i="16"/>
  <c r="G4" i="16"/>
  <c r="F4" i="16"/>
  <c r="E4" i="16"/>
  <c r="D4" i="16"/>
  <c r="O83" i="16" l="1"/>
  <c r="P83" i="16" s="1"/>
  <c r="O11" i="16"/>
  <c r="O89" i="16"/>
  <c r="O88" i="16"/>
  <c r="O87" i="16"/>
  <c r="O86" i="16"/>
  <c r="O85" i="16"/>
  <c r="J90" i="16"/>
  <c r="K90" i="16"/>
  <c r="L90" i="16"/>
  <c r="M90" i="16"/>
  <c r="N90" i="16"/>
  <c r="E90" i="16"/>
  <c r="O84" i="16"/>
  <c r="G90" i="16"/>
  <c r="I90" i="16"/>
  <c r="F90" i="16"/>
  <c r="H90" i="16"/>
  <c r="D90" i="16"/>
  <c r="O44" i="16"/>
  <c r="O52" i="16"/>
  <c r="O51" i="16"/>
  <c r="O50" i="16"/>
  <c r="O49" i="16"/>
  <c r="O48" i="16"/>
  <c r="O47" i="16"/>
  <c r="O46" i="16"/>
  <c r="O45" i="16"/>
  <c r="D53" i="16"/>
  <c r="O43" i="16"/>
  <c r="F53" i="16"/>
  <c r="H53" i="16"/>
  <c r="I53" i="16"/>
  <c r="J53" i="16"/>
  <c r="N53" i="16"/>
  <c r="K53" i="16"/>
  <c r="L53" i="16"/>
  <c r="M53" i="16"/>
  <c r="E53" i="16"/>
  <c r="O4" i="16"/>
  <c r="O13" i="16"/>
  <c r="O12" i="16"/>
  <c r="O10" i="16"/>
  <c r="O9" i="16"/>
  <c r="O8" i="16"/>
  <c r="O7" i="16"/>
  <c r="H14" i="16"/>
  <c r="O6" i="16"/>
  <c r="I14" i="16"/>
  <c r="J14" i="16"/>
  <c r="M14" i="16"/>
  <c r="D14" i="16"/>
  <c r="E14" i="16"/>
  <c r="F14" i="16"/>
  <c r="N14" i="16"/>
  <c r="O5" i="16"/>
  <c r="L14" i="16"/>
  <c r="K14" i="16"/>
  <c r="G14" i="16"/>
  <c r="G53" i="16"/>
  <c r="P84" i="16" l="1"/>
  <c r="P85" i="16" s="1"/>
  <c r="P86" i="16" s="1"/>
  <c r="P87" i="16" s="1"/>
  <c r="P88" i="16" s="1"/>
  <c r="P89" i="16" s="1"/>
  <c r="O53" i="16"/>
  <c r="O14" i="16"/>
  <c r="O90"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<sst xmlns="http://schemas.openxmlformats.org/spreadsheetml/2006/main" count="23751" uniqueCount="7783">
  <si>
    <t>Project Name</t>
  </si>
  <si>
    <t>Torne Valley Station</t>
  </si>
  <si>
    <t>Ramapo Energy</t>
  </si>
  <si>
    <t>Grassy Point</t>
  </si>
  <si>
    <t>Millennium 1</t>
  </si>
  <si>
    <t>Millennium 2</t>
  </si>
  <si>
    <t>CT-LI AC Tie-line</t>
  </si>
  <si>
    <t>Bowline Point Unit 3</t>
  </si>
  <si>
    <t>Heritage Station</t>
  </si>
  <si>
    <t>Glenville Energy Park</t>
  </si>
  <si>
    <t>North First Street</t>
  </si>
  <si>
    <t>Gotham Power - Bronx I</t>
  </si>
  <si>
    <t>Brookhaven Energy</t>
  </si>
  <si>
    <t>Kitchen</t>
  </si>
  <si>
    <t>Far Rochaway Gen Ext.</t>
  </si>
  <si>
    <t>E. F. Barrett Gen Ext</t>
  </si>
  <si>
    <t>Spagnoli Road GT Unit</t>
  </si>
  <si>
    <t>Spagnoli Road CC Unit</t>
  </si>
  <si>
    <t>Riverhead Gen Station</t>
  </si>
  <si>
    <t>Southampton Gen Ext.</t>
  </si>
  <si>
    <t>Holbrook Energy</t>
  </si>
  <si>
    <t>Ruland Energy</t>
  </si>
  <si>
    <t>Freeport Energy</t>
  </si>
  <si>
    <t>GenPower DC Tie-line</t>
  </si>
  <si>
    <t>AES Smithtown Gen</t>
  </si>
  <si>
    <t>Shoreham Gen Station</t>
  </si>
  <si>
    <t>Wading River Gen Ext.</t>
  </si>
  <si>
    <t>Fort Drum Gen Exp.</t>
  </si>
  <si>
    <t>CT-Ruland, LI DC Tie</t>
  </si>
  <si>
    <t>CT-Pilgrim, LI DC Tie</t>
  </si>
  <si>
    <t>Lovett #3 Repowering</t>
  </si>
  <si>
    <t>Hillburn Unit #2</t>
  </si>
  <si>
    <t>Hillburn #2 Conversion</t>
  </si>
  <si>
    <t>Owner/Developer</t>
  </si>
  <si>
    <t>NYSEG</t>
  </si>
  <si>
    <t>Sithe Energies</t>
  </si>
  <si>
    <t>Sunset Energy Fleet LLC</t>
  </si>
  <si>
    <t>American National Power</t>
  </si>
  <si>
    <t>Columbia Electric Corp.</t>
  </si>
  <si>
    <t>Millennium Power Gen Co. LLC</t>
  </si>
  <si>
    <t>AEP Resources Service Corp.</t>
  </si>
  <si>
    <t>NYPA</t>
  </si>
  <si>
    <t>NYC Energy LLC</t>
  </si>
  <si>
    <t>Twin Tier Power, LLC</t>
  </si>
  <si>
    <t>Glenville Energy Park, LLC</t>
  </si>
  <si>
    <t>York Research Corp.</t>
  </si>
  <si>
    <t>1st Rochdale Coop Group</t>
  </si>
  <si>
    <t>Caithness Energy, LLC</t>
  </si>
  <si>
    <t>KeySpan Energy, Inc.</t>
  </si>
  <si>
    <t>PP&amp;L Global, Inc.</t>
  </si>
  <si>
    <t>GenPower, LLC</t>
  </si>
  <si>
    <t>AES Long Island, LLC</t>
  </si>
  <si>
    <t>TransEnergie US, Ltd</t>
  </si>
  <si>
    <t>(MW)</t>
  </si>
  <si>
    <t>N/A</t>
  </si>
  <si>
    <t>S</t>
  </si>
  <si>
    <t>Point</t>
  </si>
  <si>
    <t>Coop Corn-Rock Tav Lines</t>
  </si>
  <si>
    <t>Shoreham, Long Island</t>
  </si>
  <si>
    <t>Ramapo</t>
  </si>
  <si>
    <t>Gowanus</t>
  </si>
  <si>
    <t>West Haverstraw</t>
  </si>
  <si>
    <t>Hell Gate/Bruckner</t>
  </si>
  <si>
    <t>Goethals</t>
  </si>
  <si>
    <t>Astoria</t>
  </si>
  <si>
    <t>Watercure-Oakdale 31 Line</t>
  </si>
  <si>
    <t>Independence (Oswego)</t>
  </si>
  <si>
    <t>Con Ed System</t>
  </si>
  <si>
    <t>Riverh'd-Brookh'n-Holb'k</t>
  </si>
  <si>
    <t>Far Rockaway</t>
  </si>
  <si>
    <t>Barrett</t>
  </si>
  <si>
    <t>Spagnoli Road</t>
  </si>
  <si>
    <t>Riverhead</t>
  </si>
  <si>
    <t>Southampton</t>
  </si>
  <si>
    <t>Holbrook</t>
  </si>
  <si>
    <t>Pilgrim</t>
  </si>
  <si>
    <t>Ruland Road</t>
  </si>
  <si>
    <t>Freeport</t>
  </si>
  <si>
    <t>Brookhaven</t>
  </si>
  <si>
    <t>LIPA System</t>
  </si>
  <si>
    <t>Shoreham</t>
  </si>
  <si>
    <t>Wading River</t>
  </si>
  <si>
    <t>Fort Drum</t>
  </si>
  <si>
    <t>Lovett</t>
  </si>
  <si>
    <t>Hillburn</t>
  </si>
  <si>
    <t xml:space="preserve">Utility </t>
  </si>
  <si>
    <t>CONED</t>
  </si>
  <si>
    <t>LIPA</t>
  </si>
  <si>
    <t>Far Rockaway Barge</t>
  </si>
  <si>
    <t>ENRON</t>
  </si>
  <si>
    <t>Greenpoint Energy Park</t>
  </si>
  <si>
    <t>GTM Energy, LLC</t>
  </si>
  <si>
    <t>Rainey-Farragut Lines</t>
  </si>
  <si>
    <t>PPL Kings Park</t>
  </si>
  <si>
    <t>Project Orange</t>
  </si>
  <si>
    <t>Project Orange Associates, LP</t>
  </si>
  <si>
    <t>Temple St.</t>
  </si>
  <si>
    <t>LSA Station A</t>
  </si>
  <si>
    <t>Lewis Staley Associates, Inc.</t>
  </si>
  <si>
    <t>LSA Station B</t>
  </si>
  <si>
    <t>Dunkirk-Gardenville Line</t>
  </si>
  <si>
    <t>Homer City-Stolle Rd Line</t>
  </si>
  <si>
    <t>Lockport II Gen Station</t>
  </si>
  <si>
    <t>Fortistar Power Marketing, LLC</t>
  </si>
  <si>
    <t>Wallkill Energy</t>
  </si>
  <si>
    <t>Titan Development, LLC</t>
  </si>
  <si>
    <t>Brookhaven Energy Ext.</t>
  </si>
  <si>
    <t>PPL Kings Park Ext.</t>
  </si>
  <si>
    <t>Ruland Energy Ext.</t>
  </si>
  <si>
    <t>Astoria Repowering-Phase 1</t>
  </si>
  <si>
    <t>Astoria Repowering-Phase 2</t>
  </si>
  <si>
    <t>West 49th Sreet</t>
  </si>
  <si>
    <t>Mill Creek Wind Plant</t>
  </si>
  <si>
    <t>Mill Creek Wind Plant, LLC</t>
  </si>
  <si>
    <t>Lowville</t>
  </si>
  <si>
    <t>Fresh Kills</t>
  </si>
  <si>
    <t>Wawayanda Energy Center</t>
  </si>
  <si>
    <t>Calpine Eastern Corporation</t>
  </si>
  <si>
    <t>Oceanside Energy Center</t>
  </si>
  <si>
    <t>FPL Energy, LLC</t>
  </si>
  <si>
    <t>Gotham Power - Bronx II</t>
  </si>
  <si>
    <t>Waterford</t>
  </si>
  <si>
    <t>Dover Energy</t>
  </si>
  <si>
    <t>Pl. Valley-Long Mt. Tie-Line</t>
  </si>
  <si>
    <t>W</t>
  </si>
  <si>
    <t>Buchanan Energy</t>
  </si>
  <si>
    <t>Buchanan</t>
  </si>
  <si>
    <t>Halfmoon Energy</t>
  </si>
  <si>
    <t>Rotterdam-Bear Swamp line</t>
  </si>
  <si>
    <t>Fortistar VP</t>
  </si>
  <si>
    <t>Fortistar VAN</t>
  </si>
  <si>
    <t>Indian Point Energy Center</t>
  </si>
  <si>
    <t>Fortistar, LLC</t>
  </si>
  <si>
    <t>Atlantic Energy, LLC</t>
  </si>
  <si>
    <t>Amerada Hess Corp.</t>
  </si>
  <si>
    <t>ConEd 138 kV (tbd)</t>
  </si>
  <si>
    <t>South Glens Falls Expansion</t>
  </si>
  <si>
    <t>NYSEG Solutions</t>
  </si>
  <si>
    <t>Mohican-Butler#18 line</t>
  </si>
  <si>
    <t>TransEnergie US Ltd.</t>
  </si>
  <si>
    <t>W49th St and/or Farragut</t>
  </si>
  <si>
    <t>Rock Tavern-Ramapo line</t>
  </si>
  <si>
    <t>Redhook Energy</t>
  </si>
  <si>
    <t>Blooming Grove Power</t>
  </si>
  <si>
    <t>NU CT-LI HVDC Cable</t>
  </si>
  <si>
    <t>W49th St or Farragut</t>
  </si>
  <si>
    <t>Jupiter PJM-NYC Cable</t>
  </si>
  <si>
    <t>Sullivan County Power Project</t>
  </si>
  <si>
    <t>Mirant</t>
  </si>
  <si>
    <t>Gowanus 138 or 345 kV</t>
  </si>
  <si>
    <t>TransGas Energy</t>
  </si>
  <si>
    <t>TransGas Energy, LLC</t>
  </si>
  <si>
    <t>SE Long Island</t>
  </si>
  <si>
    <t>Vernon-Glendale line</t>
  </si>
  <si>
    <t>Project Neptune DC NB-NYC</t>
  </si>
  <si>
    <t>W49th St</t>
  </si>
  <si>
    <t>River Hill Project</t>
  </si>
  <si>
    <t>NM-NG</t>
  </si>
  <si>
    <t>NM-NG 230 or 115 kV</t>
  </si>
  <si>
    <t>Liberty Generation</t>
  </si>
  <si>
    <t>Maspeth</t>
  </si>
  <si>
    <t>Titan Smith Street</t>
  </si>
  <si>
    <t>Reliant Energy</t>
  </si>
  <si>
    <t>PJM-Rainey HVDC</t>
  </si>
  <si>
    <t>Prattsburgh Wind Park</t>
  </si>
  <si>
    <t>Global Winds Harvest, Inc.</t>
  </si>
  <si>
    <t>Eelpot Rd-Flat St. line</t>
  </si>
  <si>
    <t>Cherry Valley Wind Park</t>
  </si>
  <si>
    <t>Prattsburgh Wind Park II</t>
  </si>
  <si>
    <t>Liberty Gen Co, LLC</t>
  </si>
  <si>
    <t>Prattsburgh Wind Farm</t>
  </si>
  <si>
    <t>ECOGEN, LLC</t>
  </si>
  <si>
    <t>Springwater Wind Farm</t>
  </si>
  <si>
    <t>NRG/ Berrians I GT Power, LLC</t>
  </si>
  <si>
    <t>Berrians GT Replacement</t>
  </si>
  <si>
    <t>CPN 3rd Turbine, Inc. (JFK)</t>
  </si>
  <si>
    <t>KeySpan Energy for LIPA</t>
  </si>
  <si>
    <t>Vernon</t>
  </si>
  <si>
    <t>Shore Road</t>
  </si>
  <si>
    <t>East Springfield</t>
  </si>
  <si>
    <t>Eelpot Rd</t>
  </si>
  <si>
    <t>Cross Hudson Project</t>
  </si>
  <si>
    <t>Bay Energy Project</t>
  </si>
  <si>
    <t>Bay Energy, LLC</t>
  </si>
  <si>
    <t>PJM-Newbridge Rd HVDC</t>
  </si>
  <si>
    <t>Northport-Norwalk Upgrade</t>
  </si>
  <si>
    <t>Northport</t>
  </si>
  <si>
    <t>Conjunction, LLC</t>
  </si>
  <si>
    <t>Grace Corona Generation</t>
  </si>
  <si>
    <t>Electrotek Concepts, Inc.</t>
  </si>
  <si>
    <t>Corona</t>
  </si>
  <si>
    <t>RG&amp;E</t>
  </si>
  <si>
    <t>N. Scotland/Leeds, ConEd</t>
  </si>
  <si>
    <t>Leeds-PV Reconductoring</t>
  </si>
  <si>
    <t>National Grid</t>
  </si>
  <si>
    <t>Linden 7</t>
  </si>
  <si>
    <t>East Coast Power, LLC</t>
  </si>
  <si>
    <t>Chautauqua Windpower, LLC</t>
  </si>
  <si>
    <t>Invenergy Wind, LLC</t>
  </si>
  <si>
    <t>Con Edison</t>
  </si>
  <si>
    <t>Empire Connection DC</t>
  </si>
  <si>
    <t>West Hill Windfarm</t>
  </si>
  <si>
    <t>NY Windpower, LLC</t>
  </si>
  <si>
    <t>Trigen-Nassau</t>
  </si>
  <si>
    <t>Trigen Nassau Gen Co., LLC</t>
  </si>
  <si>
    <t>Uniondale Substation</t>
  </si>
  <si>
    <t>Cherry Valley Wind Power</t>
  </si>
  <si>
    <t>Reunion Power, LLC</t>
  </si>
  <si>
    <t>West Side Switching Station</t>
  </si>
  <si>
    <t>Marcy,Edic,Porter - W49th St.</t>
  </si>
  <si>
    <t>Niagara Reinforcement Inter.</t>
  </si>
  <si>
    <t>Holtsville-Brentwood-Pilgrim</t>
  </si>
  <si>
    <t>Queue</t>
  </si>
  <si>
    <t>Pos.</t>
  </si>
  <si>
    <t>Gotham Power Zerega, LLC</t>
  </si>
  <si>
    <t>Boundless Energy, LLC</t>
  </si>
  <si>
    <t>NYPA/NM/CE</t>
  </si>
  <si>
    <t>UPC Wind Management, LLC</t>
  </si>
  <si>
    <t>NM/CONED</t>
  </si>
  <si>
    <t>Invenergy NY, LLC</t>
  </si>
  <si>
    <t>Canisteo Hills Windfarm</t>
  </si>
  <si>
    <t>Atlantic Renewable Energy Corp.</t>
  </si>
  <si>
    <t>Orion Energy NY I</t>
  </si>
  <si>
    <t>Orion Energy, LLC</t>
  </si>
  <si>
    <t>Orion Energy NY II</t>
  </si>
  <si>
    <t>Orion Energy NY III</t>
  </si>
  <si>
    <t>Sempra Generation</t>
  </si>
  <si>
    <t>46kV line</t>
  </si>
  <si>
    <t>Bishop</t>
  </si>
  <si>
    <t>Springwater 34.5kV line</t>
  </si>
  <si>
    <t>SP</t>
  </si>
  <si>
    <t>WP</t>
  </si>
  <si>
    <t>Date</t>
  </si>
  <si>
    <t>of IR</t>
  </si>
  <si>
    <t>River Hill Power Co., LLC</t>
  </si>
  <si>
    <t>Northeast Utilities Service Co.</t>
  </si>
  <si>
    <t>NIMO/Black River Power</t>
  </si>
  <si>
    <t>PG&amp;E/Liberty Gen. Co., LLC</t>
  </si>
  <si>
    <t>Entergy Power Gen. Corp.</t>
  </si>
  <si>
    <t>Pegasus Trans. Co., Ltd.</t>
  </si>
  <si>
    <t>Fortistar-Lockport Merchant</t>
  </si>
  <si>
    <t>Chautauqua Windpower</t>
  </si>
  <si>
    <t>Island Gen. Station</t>
  </si>
  <si>
    <t>Island Gen. Station #2</t>
  </si>
  <si>
    <t>Neptune DC PJM-NYC</t>
  </si>
  <si>
    <t>Ravenswood Repower Ph I</t>
  </si>
  <si>
    <t>Location</t>
  </si>
  <si>
    <t>Interconnection</t>
  </si>
  <si>
    <t>Bennett-Palmiter 115kV line</t>
  </si>
  <si>
    <t>Fuel</t>
  </si>
  <si>
    <t>Type/</t>
  </si>
  <si>
    <t>Availability</t>
  </si>
  <si>
    <t>of Studies</t>
  </si>
  <si>
    <t>DC</t>
  </si>
  <si>
    <t>SRIS</t>
  </si>
  <si>
    <t>SRIS, FS</t>
  </si>
  <si>
    <t>AC</t>
  </si>
  <si>
    <t>E13St, Rainey, or Farragut-345kV</t>
  </si>
  <si>
    <t>NU</t>
  </si>
  <si>
    <t>Holtsville &amp; Pilgrim 138kV</t>
  </si>
  <si>
    <t>Axtell Road-Grand Gorge 115kV</t>
  </si>
  <si>
    <t>West 49th St &amp; Farragut 345kV</t>
  </si>
  <si>
    <t>Leeds/Athens-Pl. Valley 345kV</t>
  </si>
  <si>
    <t>Indian Point 345kV</t>
  </si>
  <si>
    <t>Buchanan 345kV</t>
  </si>
  <si>
    <t>Newbridge Road 138kV</t>
  </si>
  <si>
    <t>Goethals 345kV</t>
  </si>
  <si>
    <t>Gowanus 138kV</t>
  </si>
  <si>
    <t>Eelpot Rd-Flat St. 115kV</t>
  </si>
  <si>
    <t>Dunkirk-S. Ripley 230kV</t>
  </si>
  <si>
    <t>Hell Gate/Bruckner 138kV</t>
  </si>
  <si>
    <t>Astoria 138kV</t>
  </si>
  <si>
    <t>Kent Ave 138kV</t>
  </si>
  <si>
    <t>Spagnoli Road 138kV</t>
  </si>
  <si>
    <t>Coop Corn-Rock Tav Lines 345kV</t>
  </si>
  <si>
    <t>W. Haverstraw 345kV</t>
  </si>
  <si>
    <t>Holbrook-Brookhaven 138kV</t>
  </si>
  <si>
    <t>Rotterdam 230kV</t>
  </si>
  <si>
    <t>Parkchester/Tremont 138kV</t>
  </si>
  <si>
    <t>Farragut 345kV</t>
  </si>
  <si>
    <t>Harrison Station 115kV</t>
  </si>
  <si>
    <t>Fresh Kills 138kV</t>
  </si>
  <si>
    <t>Goethals/Fresh Kills 138kV</t>
  </si>
  <si>
    <t>W49th Street 345kV</t>
  </si>
  <si>
    <t>Jamaica 138kV</t>
  </si>
  <si>
    <t>Shoreham-Holbrook lines 138kV</t>
  </si>
  <si>
    <t>Homer City-Watercure 345kV</t>
  </si>
  <si>
    <t>Rainey 345kV</t>
  </si>
  <si>
    <t>Willis-Plattsburgh 230kV</t>
  </si>
  <si>
    <t>FPL Energy</t>
  </si>
  <si>
    <t>Sterling Substation</t>
  </si>
  <si>
    <t>Noble Environmental Power, LLC</t>
  </si>
  <si>
    <t>Wethersfield Windfield 115kV</t>
  </si>
  <si>
    <t>Arcade Substation 115kV</t>
  </si>
  <si>
    <t>AES Somerset, LLC</t>
  </si>
  <si>
    <t>Bath-Montour Falls 115kV</t>
  </si>
  <si>
    <t>Genesee Wind Farm</t>
  </si>
  <si>
    <t>Batavia Substation 115kV</t>
  </si>
  <si>
    <t>St. Lawrence Wind Farm</t>
  </si>
  <si>
    <t>Lyme Substation</t>
  </si>
  <si>
    <t>St. Lawrence Wind Farm II</t>
  </si>
  <si>
    <t>Stolle Rd.-Meyer 230kV</t>
  </si>
  <si>
    <t>Oakfield-Lockport 115kV</t>
  </si>
  <si>
    <t>Machias Wind Farm</t>
  </si>
  <si>
    <t>Buffalo Rd. Wind Farm</t>
  </si>
  <si>
    <t>Everpower Global</t>
  </si>
  <si>
    <t>Cold Spring Wind</t>
  </si>
  <si>
    <t>Buffalo Rd. Wind Farm II</t>
  </si>
  <si>
    <t>Ripley Hill</t>
  </si>
  <si>
    <t>NYSEG/NM-NG</t>
  </si>
  <si>
    <t>Town of Spafford</t>
  </si>
  <si>
    <t>Jordanville Wind</t>
  </si>
  <si>
    <t>Porter-Rotterdam 230kV</t>
  </si>
  <si>
    <t>North Slope Wind</t>
  </si>
  <si>
    <t>Orangeville Wind</t>
  </si>
  <si>
    <t>PPM Energy, Inc.</t>
  </si>
  <si>
    <t>Mixer Road Wind</t>
  </si>
  <si>
    <t>Bennett-Bath 115kV</t>
  </si>
  <si>
    <t>H</t>
  </si>
  <si>
    <t>Orion Livingston</t>
  </si>
  <si>
    <t>Bayonne</t>
  </si>
  <si>
    <t>Calpine Energy Services</t>
  </si>
  <si>
    <t>Watkins Rd.-Inghams 115kV</t>
  </si>
  <si>
    <t>Inghams-Meco 115kV</t>
  </si>
  <si>
    <t>115kV</t>
  </si>
  <si>
    <t>Homer Hill-Gardenville 115kV</t>
  </si>
  <si>
    <t>Somerset Switch Yard</t>
  </si>
  <si>
    <t>Harbor Cable Project II</t>
  </si>
  <si>
    <t>Falconer-Homer Hill 115kV</t>
  </si>
  <si>
    <t>Roaring Brook</t>
  </si>
  <si>
    <t>Adirondak-Porter 230kV</t>
  </si>
  <si>
    <t>Roaring Brook Windpower, LLC</t>
  </si>
  <si>
    <t>Machias Wind Farm, LLC</t>
  </si>
  <si>
    <t>Willis-Plattsburgh WP-2 230kV</t>
  </si>
  <si>
    <t>Dunkirk-Falconer 115kV</t>
  </si>
  <si>
    <t>Cavallo Power</t>
  </si>
  <si>
    <t>NRG Energy</t>
  </si>
  <si>
    <t>130 MW Uprate</t>
  </si>
  <si>
    <t>Berrians GT</t>
  </si>
  <si>
    <t>CC</t>
  </si>
  <si>
    <t>NG</t>
  </si>
  <si>
    <t>Oak Point Yard</t>
  </si>
  <si>
    <t>Liberty Generating Co.</t>
  </si>
  <si>
    <t>Edic - Rock Tavern</t>
  </si>
  <si>
    <t>Goethal 345kV</t>
  </si>
  <si>
    <t>West Adams 115kV</t>
  </si>
  <si>
    <t>Coffeen St-Thousand Island 115kV</t>
  </si>
  <si>
    <t>Boonville-Lowville 115kV</t>
  </si>
  <si>
    <t>Batavia 115kV</t>
  </si>
  <si>
    <t>World Trade Center 138kV</t>
  </si>
  <si>
    <t>Avoca - Hillside 230kV</t>
  </si>
  <si>
    <t>Village of Arcade</t>
  </si>
  <si>
    <t>Dairy Hills Wind Farm, LLC</t>
  </si>
  <si>
    <t>Dairy Hills Wind Farm</t>
  </si>
  <si>
    <t>CRC Development, LLC</t>
  </si>
  <si>
    <t>Roundhouse Renewable</t>
  </si>
  <si>
    <t>City of Oneonta</t>
  </si>
  <si>
    <t>Cape Vincent</t>
  </si>
  <si>
    <t>Oneida-Fenner 115kV</t>
  </si>
  <si>
    <t>Nassau Generating</t>
  </si>
  <si>
    <t>SUEZ Energy Generating NA, Inc</t>
  </si>
  <si>
    <t>Stolle Rd - Homer City 345kV</t>
  </si>
  <si>
    <t>NM-NG/CH</t>
  </si>
  <si>
    <t>Last Update</t>
  </si>
  <si>
    <t>CT</t>
  </si>
  <si>
    <t>Garden City Substation 138kV</t>
  </si>
  <si>
    <t>Fortran</t>
  </si>
  <si>
    <t>Canadian Niagara Power, Inc.</t>
  </si>
  <si>
    <t>GenWy Wind, LLC</t>
  </si>
  <si>
    <t>GenWy Wind Farm</t>
  </si>
  <si>
    <t>Nicholville-Malone 115kV</t>
  </si>
  <si>
    <t>Cherry Flats</t>
  </si>
  <si>
    <t>AES Keystone Wind, LLC</t>
  </si>
  <si>
    <t>Gamesa Energy USA</t>
  </si>
  <si>
    <t>Paragon I Wind Generation</t>
  </si>
  <si>
    <t>Paragon II Wind Generation</t>
  </si>
  <si>
    <t>Huntley</t>
  </si>
  <si>
    <t>Tonawanda</t>
  </si>
  <si>
    <t>Armenia Mountain I</t>
  </si>
  <si>
    <t>Armenia Mountain II</t>
  </si>
  <si>
    <t>Arkwright Windpark</t>
  </si>
  <si>
    <t>TBD</t>
  </si>
  <si>
    <t>NRG Energy, Inc.</t>
  </si>
  <si>
    <t>Berrians GT II</t>
  </si>
  <si>
    <t>Linden</t>
  </si>
  <si>
    <t>Cherry Hill Windpark</t>
  </si>
  <si>
    <t>PPM Roaring Brook, LLC / PPM</t>
  </si>
  <si>
    <t>Ball Hill Windpark</t>
  </si>
  <si>
    <t>Orleans Wind</t>
  </si>
  <si>
    <t>Willis Substation 230kV</t>
  </si>
  <si>
    <t>Dunkirk-Gardenville 230kV</t>
  </si>
  <si>
    <t>AES Bainbridge, LLC</t>
  </si>
  <si>
    <t>Jennison</t>
  </si>
  <si>
    <t>C</t>
  </si>
  <si>
    <t>AES Somerset 2, LLC</t>
  </si>
  <si>
    <t>Somerset</t>
  </si>
  <si>
    <t>Cornell CHPP</t>
  </si>
  <si>
    <t>Cornell University</t>
  </si>
  <si>
    <t>Maple Ave. Substation 115kV</t>
  </si>
  <si>
    <t>Somerset Substation 345kV</t>
  </si>
  <si>
    <t>Seneca Energy II, LLC</t>
  </si>
  <si>
    <t>Seneca</t>
  </si>
  <si>
    <t>Shelby Substation - 115kV</t>
  </si>
  <si>
    <t>ConEd</t>
  </si>
  <si>
    <t>Gamesa Energy USA, LLC</t>
  </si>
  <si>
    <t>Canfield Wind</t>
  </si>
  <si>
    <t>Dean Wind</t>
  </si>
  <si>
    <t>Watercure-Oakdale 345kV</t>
  </si>
  <si>
    <t>Gowanus Substation 138kV</t>
  </si>
  <si>
    <t>Allegany Wind, LLC</t>
  </si>
  <si>
    <t>Allegany Wind</t>
  </si>
  <si>
    <t>Tonawanda Creek Wind, LLC</t>
  </si>
  <si>
    <t>Western Door Wind, LLC</t>
  </si>
  <si>
    <t>Tonawanda Creek Wind</t>
  </si>
  <si>
    <t>Western Door Wind</t>
  </si>
  <si>
    <t>BP Alternative Energy NA, Inc.</t>
  </si>
  <si>
    <t>Jericho Rise Wind Farm, LLC</t>
  </si>
  <si>
    <t>Jericho Rise Wind Farm</t>
  </si>
  <si>
    <t>Alabama Ledge Wind Farm, LLC</t>
  </si>
  <si>
    <t>Alabama Ledge Wind Farm</t>
  </si>
  <si>
    <t>D</t>
  </si>
  <si>
    <t>Freedom Substation 115kV</t>
  </si>
  <si>
    <t>Farmersville Windpark</t>
  </si>
  <si>
    <t>Stolle Rd - Farmer's Valley 345kV</t>
  </si>
  <si>
    <t>Oak Point Property, LLC</t>
  </si>
  <si>
    <t>Windfarm Prattsburgh, LLC</t>
  </si>
  <si>
    <t>Marble River, LLC</t>
  </si>
  <si>
    <t>Chateaugay II Windpark</t>
  </si>
  <si>
    <t>Brown's Race Uprate</t>
  </si>
  <si>
    <t>Astoria Energy, LLC</t>
  </si>
  <si>
    <t>Astoria Uprate</t>
  </si>
  <si>
    <t>Innovative Energy System, Inc.</t>
  </si>
  <si>
    <t>Brookfield Power US</t>
  </si>
  <si>
    <t>SIS</t>
  </si>
  <si>
    <t>PPM Energy, Inc</t>
  </si>
  <si>
    <t>Dutch Gap Wind</t>
  </si>
  <si>
    <t>In-City I, LLC</t>
  </si>
  <si>
    <t>Russell Station</t>
  </si>
  <si>
    <t>Russell Station II</t>
  </si>
  <si>
    <t>Russell Station 115kV</t>
  </si>
  <si>
    <t>M</t>
  </si>
  <si>
    <t>Hess Corporation</t>
  </si>
  <si>
    <t>Bayone Energy Center II</t>
  </si>
  <si>
    <r>
      <t>●</t>
    </r>
    <r>
      <rPr>
        <i/>
        <sz val="9.6"/>
        <rFont val="Arial"/>
        <family val="2"/>
      </rPr>
      <t xml:space="preserve"> </t>
    </r>
    <r>
      <rPr>
        <i/>
        <sz val="8"/>
        <rFont val="Arial"/>
        <family val="2"/>
      </rPr>
      <t>Availability of Studies  Key: None=Not Available, FES=Feasibility Study Available, SRIS=System Reliability Impact Study Available, FS=Facilities Study and/or ATRA Available</t>
    </r>
  </si>
  <si>
    <t>Casella Waste Systems</t>
  </si>
  <si>
    <t>Chemung Landfill</t>
  </si>
  <si>
    <t>Schenectady International, Inc.</t>
  </si>
  <si>
    <t>69kV</t>
  </si>
  <si>
    <t>Burrstone Energy</t>
  </si>
  <si>
    <t>Faxton/ St. Luke</t>
  </si>
  <si>
    <t>Laidlaw Energy Group Inc.</t>
  </si>
  <si>
    <t>Laidlaw Energy &amp; Env.</t>
  </si>
  <si>
    <t>13.2kV</t>
  </si>
  <si>
    <t>Modern Innovative Plant</t>
  </si>
  <si>
    <t>CPV Valley, LLC</t>
  </si>
  <si>
    <t>Brookfield Power</t>
  </si>
  <si>
    <t>Manhattan Cable</t>
  </si>
  <si>
    <t>World Trade Center 138 kV</t>
  </si>
  <si>
    <t>Marble River SPS</t>
  </si>
  <si>
    <t>Babcock &amp; Brown, LP</t>
  </si>
  <si>
    <t>Ripley-Westfield Wind</t>
  </si>
  <si>
    <t>Ripley - Dunkirk 230kV</t>
  </si>
  <si>
    <t>Moses-Willis-Plattsburgh 230kV</t>
  </si>
  <si>
    <t>In-City, LLC</t>
  </si>
  <si>
    <t>FES</t>
  </si>
  <si>
    <t>Niagara Shore Winds, LLC</t>
  </si>
  <si>
    <t>Niagara Shore Wind</t>
  </si>
  <si>
    <t>Beebee Station 34kV</t>
  </si>
  <si>
    <t>Delaware County Electric</t>
  </si>
  <si>
    <t>Delaware County Landfill</t>
  </si>
  <si>
    <t>Ripley-Westfield Wind II</t>
  </si>
  <si>
    <t>F</t>
  </si>
  <si>
    <t>Astoria Generating Company</t>
  </si>
  <si>
    <t>Gowanus Substation</t>
  </si>
  <si>
    <t>Schoharie Highlands</t>
  </si>
  <si>
    <t>Cross Hudson</t>
  </si>
  <si>
    <t>Seth Green</t>
  </si>
  <si>
    <t>11kV</t>
  </si>
  <si>
    <t>CityGreen Transmission</t>
  </si>
  <si>
    <t>CityGreen</t>
  </si>
  <si>
    <t>Berrians GT III</t>
  </si>
  <si>
    <t>Astoria 345kV</t>
  </si>
  <si>
    <t>Winergy Power, LLC</t>
  </si>
  <si>
    <t>WM Renewable Energy, LLC</t>
  </si>
  <si>
    <t>Winergy NYC Wind Farm</t>
  </si>
  <si>
    <t>Arthur Kill</t>
  </si>
  <si>
    <t>Madison County Landfill</t>
  </si>
  <si>
    <t>Canastota</t>
  </si>
  <si>
    <t>Hounsfield Wind</t>
  </si>
  <si>
    <t>Fitzpatrick - Edic 345kV</t>
  </si>
  <si>
    <t>State Line Wind</t>
  </si>
  <si>
    <t>Winergy Long Island Wind</t>
  </si>
  <si>
    <t>Benchmark Generator</t>
  </si>
  <si>
    <t>RP Wind NY, LLC</t>
  </si>
  <si>
    <t>Wo</t>
  </si>
  <si>
    <t>In City I, LLC</t>
  </si>
  <si>
    <t>Shell Wind Energy Inc.</t>
  </si>
  <si>
    <t>PSEG Fossil Bergen Unit 2</t>
  </si>
  <si>
    <t>Cayuga County Wind</t>
  </si>
  <si>
    <t>Airtricity Munnsville Wind Farm, LLC</t>
  </si>
  <si>
    <t>UniStar Nuclear Energy</t>
  </si>
  <si>
    <t>Nine Mile Point Station Unit #3</t>
  </si>
  <si>
    <t>Marshville - Sharon 69kV</t>
  </si>
  <si>
    <t>Rockledge Substation 115kV</t>
  </si>
  <si>
    <t>Noble Burke Windpark, LLC</t>
  </si>
  <si>
    <t>Noble Burke Windpark</t>
  </si>
  <si>
    <t>Goulds Substation 34.5kV</t>
  </si>
  <si>
    <t>Gowanus Substation 345kV</t>
  </si>
  <si>
    <t>Noble Chateaugay Windpark II, LLC</t>
  </si>
  <si>
    <t>South Pier Improvement</t>
  </si>
  <si>
    <t>Riverbank Power Corporation</t>
  </si>
  <si>
    <t>Riverbank Power A</t>
  </si>
  <si>
    <t>Riverbank Power D1</t>
  </si>
  <si>
    <t>Riverbank Power D2</t>
  </si>
  <si>
    <t>Riverbank Power G</t>
  </si>
  <si>
    <t>Massena 765kV</t>
  </si>
  <si>
    <t>West Haverstraw 345kV</t>
  </si>
  <si>
    <t>Moresville Energy Center</t>
  </si>
  <si>
    <t>Riverbank Power J</t>
  </si>
  <si>
    <t>Concord Wind</t>
  </si>
  <si>
    <t>Poletti Substation 345kV</t>
  </si>
  <si>
    <t>Horizon Wind Energy, LLC</t>
  </si>
  <si>
    <t>Paradise</t>
  </si>
  <si>
    <t>Chateaugay River</t>
  </si>
  <si>
    <t>Pomfret</t>
  </si>
  <si>
    <t>Machias I</t>
  </si>
  <si>
    <t>Machias II</t>
  </si>
  <si>
    <t>345kV</t>
  </si>
  <si>
    <t>Dunkirk - Falconer 115kV</t>
  </si>
  <si>
    <t>Z</t>
  </si>
  <si>
    <t>E</t>
  </si>
  <si>
    <t>A</t>
  </si>
  <si>
    <t>K</t>
  </si>
  <si>
    <t>J</t>
  </si>
  <si>
    <t>Long Island Cable, LLC</t>
  </si>
  <si>
    <t>LI Cable - Phase 1</t>
  </si>
  <si>
    <t>LI Cable - Phase 2a</t>
  </si>
  <si>
    <t>LI Cable - Phase 2b</t>
  </si>
  <si>
    <t>Ruland Road 138kV</t>
  </si>
  <si>
    <t>G</t>
  </si>
  <si>
    <t>B</t>
  </si>
  <si>
    <t>Willis 115 kV</t>
  </si>
  <si>
    <t>E, G</t>
  </si>
  <si>
    <t>Gardenville - Homer Hill 115kV</t>
  </si>
  <si>
    <t>Orange &amp; Rockland</t>
  </si>
  <si>
    <t>CCH Holdings Group, LLC</t>
  </si>
  <si>
    <t>Cross Hudson II</t>
  </si>
  <si>
    <t>Harrigan Hill Wind</t>
  </si>
  <si>
    <t>Lyon Mt - Willis 115kV</t>
  </si>
  <si>
    <t>Ashford Wind Farm, LLC</t>
  </si>
  <si>
    <t>Ashford Wind</t>
  </si>
  <si>
    <t>Otto-West Valley 34.5kV</t>
  </si>
  <si>
    <t>Leicester Wind</t>
  </si>
  <si>
    <t>Erie Boulevard Hydropower</t>
  </si>
  <si>
    <t>Deferiet 115 kV substation</t>
  </si>
  <si>
    <t>Highbank - Mortimer 115kV</t>
  </si>
  <si>
    <t>EC&amp;R Northeast, LLC</t>
  </si>
  <si>
    <t>Auburn Public Power Agency</t>
  </si>
  <si>
    <t>Auburn Sewage Treatment</t>
  </si>
  <si>
    <t>Auburn, NY</t>
  </si>
  <si>
    <t>Hamlin Wind, LLC</t>
  </si>
  <si>
    <t>Barre Wind, LLC</t>
  </si>
  <si>
    <t>Barre Wind Farm</t>
  </si>
  <si>
    <t>Hamlin Wind Farm</t>
  </si>
  <si>
    <t>West Hamlin 115kV</t>
  </si>
  <si>
    <t>Lockport - Mortimer 115 KV</t>
  </si>
  <si>
    <t>Tioga County Energy</t>
  </si>
  <si>
    <t>Invenergy Thermal Devel., LLC</t>
  </si>
  <si>
    <t>Oakdale - Watercure 345kV</t>
  </si>
  <si>
    <t>Clay HVDC</t>
  </si>
  <si>
    <t>Transmission Developers Inc.</t>
  </si>
  <si>
    <t>NM-NG/ConEd</t>
  </si>
  <si>
    <t>Clay to Farragut 345kV</t>
  </si>
  <si>
    <t>Chateaugay River Wind Farm, LLC</t>
  </si>
  <si>
    <t>Wingdale Energy Center</t>
  </si>
  <si>
    <t>Pleasant Valley - Long Mt.</t>
  </si>
  <si>
    <t>Gateway Wind Energy</t>
  </si>
  <si>
    <t>Princetown - Rotterdam</t>
  </si>
  <si>
    <t>Concord Casino</t>
  </si>
  <si>
    <t>Great Bend</t>
  </si>
  <si>
    <t>Coopers Corner - Rock Hill</t>
  </si>
  <si>
    <t>Jordanville Wind, LLC</t>
  </si>
  <si>
    <t>L</t>
  </si>
  <si>
    <t>SII Rotterdam Junction</t>
  </si>
  <si>
    <t>Milliken - Wright Ave. 115kV</t>
  </si>
  <si>
    <t>Noble Allegany Windpark, LLC</t>
  </si>
  <si>
    <t>Allegany Windpark</t>
  </si>
  <si>
    <t>Moresville Energy LLC</t>
  </si>
  <si>
    <t>Atlantic Wind, LLC</t>
  </si>
  <si>
    <t>Stone Church Wind</t>
  </si>
  <si>
    <t>Oswego</t>
  </si>
  <si>
    <t>Oswego complex 345kV</t>
  </si>
  <si>
    <t>Onondaga Renewables</t>
  </si>
  <si>
    <t>State Line Wind II</t>
  </si>
  <si>
    <t>CRC Renewables, LLC</t>
  </si>
  <si>
    <t>Geres Lock 115kV</t>
  </si>
  <si>
    <t>ConEd/NYPA</t>
  </si>
  <si>
    <t>AES Energy Storage, LLC</t>
  </si>
  <si>
    <t>Cayuga Energy Storage</t>
  </si>
  <si>
    <t>Somerset Energy Storage</t>
  </si>
  <si>
    <t>Milliken 115kV</t>
  </si>
  <si>
    <t>Somerset 69kV</t>
  </si>
  <si>
    <t>Monroe County</t>
  </si>
  <si>
    <t>Monroe County Landfill</t>
  </si>
  <si>
    <t>Sanford Rd.</t>
  </si>
  <si>
    <t>North Slope Wind Farm, LLC</t>
  </si>
  <si>
    <t>Green Power</t>
  </si>
  <si>
    <t>Cody Rd</t>
  </si>
  <si>
    <t>Fenner - Cortland 115kV</t>
  </si>
  <si>
    <t>Verplanck</t>
  </si>
  <si>
    <t>Arkwright Summit Wind Farm</t>
  </si>
  <si>
    <t>PS</t>
  </si>
  <si>
    <t>County Line - Brothertown 115kV</t>
  </si>
  <si>
    <t>C, J</t>
  </si>
  <si>
    <t>Steuben Wind</t>
  </si>
  <si>
    <t>ES</t>
  </si>
  <si>
    <t>Belltown Bio</t>
  </si>
  <si>
    <t>Synergy Bio</t>
  </si>
  <si>
    <t>Belltown Biogas, LLC</t>
  </si>
  <si>
    <t>Synergy Biogas, LKc</t>
  </si>
  <si>
    <t>King Ferry</t>
  </si>
  <si>
    <t>Steuben Rural</t>
  </si>
  <si>
    <t>Steuben County Landfill</t>
  </si>
  <si>
    <t>Madison Wind Expansion</t>
  </si>
  <si>
    <t>Quarry - Bath 34.5</t>
  </si>
  <si>
    <t>J, K</t>
  </si>
  <si>
    <t>H, J</t>
  </si>
  <si>
    <t>FitzPatrick Nuclear Station</t>
  </si>
  <si>
    <t>FitzPatrick Nuclear Uprate</t>
  </si>
  <si>
    <t>FitzPatrick Substation</t>
  </si>
  <si>
    <t>Far Rockaway 69kV</t>
  </si>
  <si>
    <t>State Line Wind Power, LLC</t>
  </si>
  <si>
    <t>AP Dutchess Properties Inc.</t>
  </si>
  <si>
    <t>Duer's Patent Project, LLC</t>
  </si>
  <si>
    <t>Beekmantown Windfarm</t>
  </si>
  <si>
    <t>Ripley-Westfield Wind LLC</t>
  </si>
  <si>
    <t>Wind Development Contract Co LLC</t>
  </si>
  <si>
    <t>State Line Wind Power LLC</t>
  </si>
  <si>
    <t>Concord Wind Power LLC</t>
  </si>
  <si>
    <t>ConEd/O&amp;R</t>
  </si>
  <si>
    <t>Cold Creek Spring Wind</t>
  </si>
  <si>
    <t>NextEra Energy Resources, LLC</t>
  </si>
  <si>
    <t>Sangerfield Wind</t>
  </si>
  <si>
    <t>NM-NG/NYSEG</t>
  </si>
  <si>
    <t>Enfield Energy, LLC</t>
  </si>
  <si>
    <t>Ellenburg II Windfield</t>
  </si>
  <si>
    <t>Brown's Race II</t>
  </si>
  <si>
    <t>Astoria West Substation 138kV</t>
  </si>
  <si>
    <t>Dunkirk - South Ripley 230kV</t>
  </si>
  <si>
    <t>Scriba Substation 345kV</t>
  </si>
  <si>
    <t>Transmission Reinforcement</t>
  </si>
  <si>
    <t>Clay 345kV - Sherman Creek 138 kV</t>
  </si>
  <si>
    <t>Hempstead Expansion</t>
  </si>
  <si>
    <t>Champlain Wind Link, LLC</t>
  </si>
  <si>
    <t>Champlain Wind Link I</t>
  </si>
  <si>
    <t>Champlain Wind Link II</t>
  </si>
  <si>
    <t>Plattsburgh - New Haven, VT 230kV</t>
  </si>
  <si>
    <t>Plattsburgh - New Haven, VT 345kV</t>
  </si>
  <si>
    <t>St. Elizabeth Medical Center</t>
  </si>
  <si>
    <t>Beacon Power</t>
  </si>
  <si>
    <t>Scotia Industrial Park</t>
  </si>
  <si>
    <t>Huntley Station 115kV</t>
  </si>
  <si>
    <t>Astoria East Substation 138kV</t>
  </si>
  <si>
    <t>Somerset Switch Yard 345kV</t>
  </si>
  <si>
    <t>West 49th St. Substation 345kV</t>
  </si>
  <si>
    <t>Pleasant Valley - Long Mt. 345kV</t>
  </si>
  <si>
    <t>Black Oak Rd 115kV</t>
  </si>
  <si>
    <t>Niagara - Kintigh 345kV</t>
  </si>
  <si>
    <t>Hempstead 138kV</t>
  </si>
  <si>
    <t>Franklin Wind</t>
  </si>
  <si>
    <t>Hyland Landfill</t>
  </si>
  <si>
    <t>Station 249</t>
  </si>
  <si>
    <t>Taylor Biomass</t>
  </si>
  <si>
    <t>CHGE</t>
  </si>
  <si>
    <t>Lake Erie Wind, LLC</t>
  </si>
  <si>
    <t>Lake Erie Wind</t>
  </si>
  <si>
    <t>Linden VFT, LLC</t>
  </si>
  <si>
    <t>Linden VFT Uprate</t>
  </si>
  <si>
    <t>Indian River - Black Rive 115kV</t>
  </si>
  <si>
    <t>South Ripley - Dunkirk 230kV</t>
  </si>
  <si>
    <t>SW</t>
  </si>
  <si>
    <t>TCI Renewable, LLC</t>
  </si>
  <si>
    <t>North Ridge Wind</t>
  </si>
  <si>
    <t>Nicholville - Parishville 115kV</t>
  </si>
  <si>
    <t>FES, SRIS, FS</t>
  </si>
  <si>
    <t>Roaring Brook Wind</t>
  </si>
  <si>
    <t>Cricket Valley Energy Center, LLC</t>
  </si>
  <si>
    <t>Cortland - Fenner 115kV</t>
  </si>
  <si>
    <t>Pattern Renewables</t>
  </si>
  <si>
    <t>West Point Transmission</t>
  </si>
  <si>
    <t>NY Power Pathway</t>
  </si>
  <si>
    <t>Oswego Substation 345kV</t>
  </si>
  <si>
    <t>F, H</t>
  </si>
  <si>
    <t>Watkins Glen Wind</t>
  </si>
  <si>
    <t>Leeds - Buchanan North 345kV</t>
  </si>
  <si>
    <t>Somerset - Kintigh 345kV</t>
  </si>
  <si>
    <t>US PowerGen Co.</t>
  </si>
  <si>
    <t>Luyster Creek Energy</t>
  </si>
  <si>
    <t>Monticello Hills Wind, LLC</t>
  </si>
  <si>
    <t>Monticello Hills Wind</t>
  </si>
  <si>
    <t>W. Winfield - Richfield Spring 46kV</t>
  </si>
  <si>
    <t>Kents Falls - Sciota 115kV</t>
  </si>
  <si>
    <t>Chateaugay Substation 34.5kV</t>
  </si>
  <si>
    <t>Bruce Hill Wind, LLC</t>
  </si>
  <si>
    <t>Bruce Hill Wind</t>
  </si>
  <si>
    <t>Rolling Upland Wind</t>
  </si>
  <si>
    <t>Rolling Upland Wind Farm, LLC</t>
  </si>
  <si>
    <t>Franklin Wind Farm, LLC</t>
  </si>
  <si>
    <t>Cape Vincent Wind Power, LLC</t>
  </si>
  <si>
    <t>Champlain Hudson SPS</t>
  </si>
  <si>
    <t>Astoria and Farragut Subsations</t>
  </si>
  <si>
    <t>Montour Falls Substation</t>
  </si>
  <si>
    <t>Cricket Valley Energy Center</t>
  </si>
  <si>
    <t>Dunkirk - Gardenville 230kV</t>
  </si>
  <si>
    <t>Clover Leaf Power, LLC</t>
  </si>
  <si>
    <t>Clover Leaf Hollers Ave</t>
  </si>
  <si>
    <t>Smokey Avenue Wind, LLC</t>
  </si>
  <si>
    <t>Smokey Avenue Wind</t>
  </si>
  <si>
    <t>Watkins Glen East</t>
  </si>
  <si>
    <t>Dry Lots Wind, LLC</t>
  </si>
  <si>
    <t>Dry Lots Wind</t>
  </si>
  <si>
    <t>River Rd Substation 46kV</t>
  </si>
  <si>
    <t>Ball Hill Windpark, LLC</t>
  </si>
  <si>
    <t>South Mountain Wind, LLC</t>
  </si>
  <si>
    <t>South Mountain Wind</t>
  </si>
  <si>
    <t>West Point Partners, LLC</t>
  </si>
  <si>
    <t>CPV Valley II</t>
  </si>
  <si>
    <t>Troupsburg Substation</t>
  </si>
  <si>
    <t>Monroe County Mill Seat</t>
  </si>
  <si>
    <t>Troups Creek Wind</t>
  </si>
  <si>
    <t>Ridgeline Energy, LLC</t>
  </si>
  <si>
    <t>Consolidated Edison Co. of NY</t>
  </si>
  <si>
    <t>Seneca II Expansion</t>
  </si>
  <si>
    <t>Horse Creek Wind</t>
  </si>
  <si>
    <t>Sanford Rd. 34.5kV</t>
  </si>
  <si>
    <t>Seneca - Waterloo 34.5kV</t>
  </si>
  <si>
    <t>Paragon Wind</t>
  </si>
  <si>
    <t>Astoria Generating Co.</t>
  </si>
  <si>
    <t>Bowline Gen. Station Unit #3</t>
  </si>
  <si>
    <t>Stony Ridge - Hillside 230kV</t>
  </si>
  <si>
    <t>E 179th St. Subsation 138kV</t>
  </si>
  <si>
    <t>Knickerbocker Pleasant Valley</t>
  </si>
  <si>
    <t>Knickerbocker - P. Valley 345kV</t>
  </si>
  <si>
    <t>Hudson Valley Reinforcement</t>
  </si>
  <si>
    <t>Grand Isle Intertie</t>
  </si>
  <si>
    <t>Atlantic Development, LLC</t>
  </si>
  <si>
    <t>Atlantice Development</t>
  </si>
  <si>
    <t>Cassadaga Wind, LLC</t>
  </si>
  <si>
    <t>Cassadaga Wind</t>
  </si>
  <si>
    <t>Dexter Stubstation</t>
  </si>
  <si>
    <t>Dexter Solar</t>
  </si>
  <si>
    <t>Enel Green Power North America</t>
  </si>
  <si>
    <t>Carrs Corners - Salamanca 115kV</t>
  </si>
  <si>
    <t>Oakdale - Delhi 115kV</t>
  </si>
  <si>
    <t>Axtell Road Substation 115 kV</t>
  </si>
  <si>
    <t>Schuyler - Whitesboro 46kV</t>
  </si>
  <si>
    <t>Griffiss Technology Park</t>
  </si>
  <si>
    <t>GUSC Energy, Inc.</t>
  </si>
  <si>
    <t>ST</t>
  </si>
  <si>
    <t>Boonville - Rome 115kV</t>
  </si>
  <si>
    <t>Number withdrawn year to date</t>
  </si>
  <si>
    <t>Station 137 11kV</t>
  </si>
  <si>
    <t>Number of new projects year to date</t>
  </si>
  <si>
    <t>Bath - Montour Falls 115 kV</t>
  </si>
  <si>
    <t>North America Transmission, LLC</t>
  </si>
  <si>
    <t>Edic - Fraser #2</t>
  </si>
  <si>
    <t>Edic - Fraser 345kV</t>
  </si>
  <si>
    <t>Scriba-Volney</t>
  </si>
  <si>
    <t>Exelon Corporation</t>
  </si>
  <si>
    <t>Scriba - Volney 345kV</t>
  </si>
  <si>
    <t>Baron Winds, LLC</t>
  </si>
  <si>
    <t>Baron Winds</t>
  </si>
  <si>
    <t>Hillside - Meyer 230kV</t>
  </si>
  <si>
    <t>Champlain Hudson Power Express</t>
  </si>
  <si>
    <t>EDP Renewables North America</t>
  </si>
  <si>
    <t>Black Oak Wind</t>
  </si>
  <si>
    <t>Black Oak Wind Farm, LLC</t>
  </si>
  <si>
    <t>Wood Street Transformer</t>
  </si>
  <si>
    <t>Wood St. 345/115kV</t>
  </si>
  <si>
    <t>NM-NG/Coned</t>
  </si>
  <si>
    <t>Gotham Power/Brooklyn</t>
  </si>
  <si>
    <t>Kent Ave</t>
  </si>
  <si>
    <t>Orion Wyoming</t>
  </si>
  <si>
    <t>South Perry 115kV</t>
  </si>
  <si>
    <t>Brown's Race Substation</t>
  </si>
  <si>
    <t>Linden Power I</t>
  </si>
  <si>
    <t>Goethal Substation</t>
  </si>
  <si>
    <t>WM Renewable Energy</t>
  </si>
  <si>
    <t>Oneida-Herkimer Landfill</t>
  </si>
  <si>
    <t>American Electric Power</t>
  </si>
  <si>
    <t>Mohawk Valley HVDC</t>
  </si>
  <si>
    <t>E, J</t>
  </si>
  <si>
    <t>Marcy - Mott Haven 345kV</t>
  </si>
  <si>
    <t>Montour - Coddington 115kV</t>
  </si>
  <si>
    <t>F, G</t>
  </si>
  <si>
    <t>N. Scotland-Leeds-P. Valley 345kV</t>
  </si>
  <si>
    <t>NYPA/ConEd</t>
  </si>
  <si>
    <t>East Coast Power LLC</t>
  </si>
  <si>
    <t>Caithness Long Island II, LLC</t>
  </si>
  <si>
    <t>Caithness Long Island II</t>
  </si>
  <si>
    <t>Linden Cogen Uprate</t>
  </si>
  <si>
    <t>Linden Cogen 345kV</t>
  </si>
  <si>
    <t>Sills Road Substation 138kV</t>
  </si>
  <si>
    <t>Proposed</t>
  </si>
  <si>
    <t xml:space="preserve"> In-Service</t>
  </si>
  <si>
    <t>COD</t>
  </si>
  <si>
    <t>NextEra Energy Transmission</t>
  </si>
  <si>
    <t>NM-NG/NYPA/ ConEd</t>
  </si>
  <si>
    <t>Marcy - PV 345</t>
  </si>
  <si>
    <t>Oakdale - Fraser 345</t>
  </si>
  <si>
    <t>Marcy - KB - PV 345</t>
  </si>
  <si>
    <t>Oakdale - Fraser 345kV</t>
  </si>
  <si>
    <t>E-G</t>
  </si>
  <si>
    <t>BCDC Transmission LLC</t>
  </si>
  <si>
    <t>BCDC Transmission</t>
  </si>
  <si>
    <t>NJ - Farragut Substation 345kV</t>
  </si>
  <si>
    <t>Marcy - P. Valley 345kV</t>
  </si>
  <si>
    <t>Arkwright Summit Wind Farm, LLC</t>
  </si>
  <si>
    <t>C, E</t>
  </si>
  <si>
    <t>Taylor Biomass Energy-Montgomery, LLC</t>
  </si>
  <si>
    <t>Marcy - KB - PV 345 (2)</t>
  </si>
  <si>
    <t>Marcy - KB - PV 345 (3)</t>
  </si>
  <si>
    <t>Marcy - KB - PV 345 (4)</t>
  </si>
  <si>
    <t>Marcy - NS - PV 345</t>
  </si>
  <si>
    <t>Marcy - NS - KB - PV 345</t>
  </si>
  <si>
    <t>Iberdrola USA</t>
  </si>
  <si>
    <t>New Scotland - P. Valley 345kV</t>
  </si>
  <si>
    <t>New Scotland - Hurley Ave 345kV</t>
  </si>
  <si>
    <t>NM-NG/Cen Hud</t>
  </si>
  <si>
    <t>Edic-N.Scotland-Leed-PV</t>
  </si>
  <si>
    <t>Edic - Pleasant Valley 345kV</t>
  </si>
  <si>
    <t>Edic-Princetown-N.Scotland-Leeds-PV</t>
  </si>
  <si>
    <t>Edic-Knickerbocker-PV</t>
  </si>
  <si>
    <t>Edic-Princetown-Knickerbocker-PV</t>
  </si>
  <si>
    <t>Edic-Prince.-N.Scotland-Knick.-PV</t>
  </si>
  <si>
    <t>Princetown - Rotterdam 230</t>
  </si>
  <si>
    <t>Princetown - Rotterdam 230kV</t>
  </si>
  <si>
    <t>Arkwright Summit</t>
  </si>
  <si>
    <t>Rochester Gas &amp; Electric</t>
  </si>
  <si>
    <t>Boundless Energy NE, LLC</t>
  </si>
  <si>
    <t>University of Rochester</t>
  </si>
  <si>
    <t>Leeds Path West</t>
  </si>
  <si>
    <t>Station 251</t>
  </si>
  <si>
    <t>NM-NG/NYPA/ Cen Hud/ConEd/NYSEG</t>
  </si>
  <si>
    <t>Leeds - Millwood 345kV</t>
  </si>
  <si>
    <t>G-J</t>
  </si>
  <si>
    <t>NS-Knickerbocker-PV</t>
  </si>
  <si>
    <t>Brookfield Wind Energy</t>
  </si>
  <si>
    <t>F-G</t>
  </si>
  <si>
    <t>Island Park Energy Center SCPP</t>
  </si>
  <si>
    <t>North Rockland Station</t>
  </si>
  <si>
    <t>H.Q. Energy Services U.S. Inc.</t>
  </si>
  <si>
    <t>Cedar Rapids Transmission</t>
  </si>
  <si>
    <t>Island Park Energy Center CCPP</t>
  </si>
  <si>
    <t>East Hampton Solar Farm, LLC</t>
  </si>
  <si>
    <t>East Hampton Solar Farm 2, LLC</t>
  </si>
  <si>
    <t>East Hampton - Phase 1</t>
  </si>
  <si>
    <t>East Hampton - Phase 2</t>
  </si>
  <si>
    <t>East Hampton - Phase 3</t>
  </si>
  <si>
    <t>Riverhead - Phase 2</t>
  </si>
  <si>
    <t>Riverhead - Phase 3</t>
  </si>
  <si>
    <t>Amagansett Substation 69KV</t>
  </si>
  <si>
    <t>Edwards Substation 69KV</t>
  </si>
  <si>
    <t>Boston Energy Trading</t>
  </si>
  <si>
    <t>East Garden City-Valley Stream</t>
  </si>
  <si>
    <t>Lighthouse Wind</t>
  </si>
  <si>
    <t>Cricket Valley Energy Center II</t>
  </si>
  <si>
    <t>Manorville Solar, LLC</t>
  </si>
  <si>
    <t>Manorville Solar</t>
  </si>
  <si>
    <t>Riverhead Solar Farm, LLC</t>
  </si>
  <si>
    <t>East Hampton Solar</t>
  </si>
  <si>
    <t>Riverhead Solar</t>
  </si>
  <si>
    <t>Erie Power</t>
  </si>
  <si>
    <t>Erie Power, LLC</t>
  </si>
  <si>
    <t>AES Somerset Substation 345kV</t>
  </si>
  <si>
    <t>Riverhead - Eastport 69kV</t>
  </si>
  <si>
    <t>Amagansett Substation 69kV</t>
  </si>
  <si>
    <t>East Hampton Expansion</t>
  </si>
  <si>
    <t>Jockey Hill Solar</t>
  </si>
  <si>
    <t>CenHud</t>
  </si>
  <si>
    <t>Hurley Substation 345kV</t>
  </si>
  <si>
    <t>Buell Substation 69kV</t>
  </si>
  <si>
    <t>Solar Alliance Freedom, Inc.</t>
  </si>
  <si>
    <t>Roseway Solar, LLC</t>
  </si>
  <si>
    <t>Sabin Solar Center, LLC</t>
  </si>
  <si>
    <t>Taconic Solar Center, LLC</t>
  </si>
  <si>
    <t>Shortsville Solar Center, LLC</t>
  </si>
  <si>
    <t>Stacy Solar Center, LLC</t>
  </si>
  <si>
    <t>Stockbridge Wind, LLC</t>
  </si>
  <si>
    <t>Alps HVDC</t>
  </si>
  <si>
    <t>Stockbridge Wind</t>
  </si>
  <si>
    <t>Stacy Solar</t>
  </si>
  <si>
    <t>Shortsville Solar</t>
  </si>
  <si>
    <t>Taconic Solar</t>
  </si>
  <si>
    <t>Blue Hill Solar</t>
  </si>
  <si>
    <t>Sabin Solar</t>
  </si>
  <si>
    <t>Roseway Solar</t>
  </si>
  <si>
    <t>Whitman - Oneida 115kV</t>
  </si>
  <si>
    <t>Alps Substation 345kV</t>
  </si>
  <si>
    <t>Substation #168 34.5kV</t>
  </si>
  <si>
    <t>Craryville Substation 34.5kV</t>
  </si>
  <si>
    <t>34.5kV</t>
  </si>
  <si>
    <t>Bellmont Wind</t>
  </si>
  <si>
    <t>Woodhull Solar</t>
  </si>
  <si>
    <t>Island Park Energy Center, LLC</t>
  </si>
  <si>
    <t>FTS Devco LLC</t>
  </si>
  <si>
    <t>Blue Hill Solar Center, LLC</t>
  </si>
  <si>
    <t>Blue Stores Substation 115kV</t>
  </si>
  <si>
    <t>Salisbury Substation 115kV</t>
  </si>
  <si>
    <t>Woodhull Substation</t>
  </si>
  <si>
    <t>ESA Solar NY, LLC</t>
  </si>
  <si>
    <t>RES America Developments Inc.</t>
  </si>
  <si>
    <t>Brainardsville, NY</t>
  </si>
  <si>
    <t>NM-NG/NYPA</t>
  </si>
  <si>
    <t>TDI-USA Holdings, Inc.</t>
  </si>
  <si>
    <t>Alps Interconnector, LLC</t>
  </si>
  <si>
    <t>Astoria Annex 345kV</t>
  </si>
  <si>
    <t>Astoria Annex Substation 345kV</t>
  </si>
  <si>
    <t>Maybrook - Rock Tavern 69kV</t>
  </si>
  <si>
    <t>Rock Tavern-Coopers Corners 345kV</t>
  </si>
  <si>
    <t>Plattsburgh 230kV-New Haven, VT 345kV</t>
  </si>
  <si>
    <t>Barrett Power Station 138kV</t>
  </si>
  <si>
    <t>Dennison - Alcoa 115kV</t>
  </si>
  <si>
    <t>E. Garden City-Valley Stream 138kV</t>
  </si>
  <si>
    <t>South Ripley Substation 230kV</t>
  </si>
  <si>
    <t>Coxsackie Substation 69kV</t>
  </si>
  <si>
    <t>Lighthouse Wind, LLC</t>
  </si>
  <si>
    <t>Dryden Solar</t>
  </si>
  <si>
    <t>Dryden Solar, LLC</t>
  </si>
  <si>
    <t>Warsaw Solar</t>
  </si>
  <si>
    <t>Wethersfield Substation 115kV</t>
  </si>
  <si>
    <t>Galloo Island Wind</t>
  </si>
  <si>
    <t>Ridge - Wildwood 69kV</t>
  </si>
  <si>
    <t>East River 1 Uprate</t>
  </si>
  <si>
    <t>East River 2 Uprate</t>
  </si>
  <si>
    <t>Pulaski Rd. Fuel Cell</t>
  </si>
  <si>
    <t>East River Complex</t>
  </si>
  <si>
    <t>Long Island Clean Energy Project LLC</t>
  </si>
  <si>
    <t>62 Weeks Rd. Fuel Cell</t>
  </si>
  <si>
    <t>138kV</t>
  </si>
  <si>
    <t>W49th St 345kV - Bergen 230kV</t>
  </si>
  <si>
    <t>Edic-PV 345</t>
  </si>
  <si>
    <t>Knickerbocker 115</t>
  </si>
  <si>
    <t>Knickerbocker 345</t>
  </si>
  <si>
    <t>Marcy-Princetown 345</t>
  </si>
  <si>
    <t>E, F</t>
  </si>
  <si>
    <t>Marcy - Princetown 345kV</t>
  </si>
  <si>
    <t>Greenbush - Churchtown 115kV</t>
  </si>
  <si>
    <t>Calverton Solar LLC</t>
  </si>
  <si>
    <t>Calverton Solar</t>
  </si>
  <si>
    <t>Hudson Transmission NY to PJM</t>
  </si>
  <si>
    <t>NM-NG/NYSEG/ CHGE</t>
  </si>
  <si>
    <t>Central Hudson Gas &amp; Electric</t>
  </si>
  <si>
    <t>Riverhead Solar Farm LLC</t>
  </si>
  <si>
    <t>OneEnergy Development, LLC</t>
  </si>
  <si>
    <t>Windy Hill Solar</t>
  </si>
  <si>
    <t>Hurley Ave PARs</t>
  </si>
  <si>
    <t>Edic-NS, Hurley PARs</t>
  </si>
  <si>
    <t>Edic-NS, Knickerbocker-PV</t>
  </si>
  <si>
    <t>Leeds - Pleasant Valley</t>
  </si>
  <si>
    <t>Edic-NS, NS-Leeds-PV</t>
  </si>
  <si>
    <t>Edic-NS, NS-Leeds, Leeds-PV</t>
  </si>
  <si>
    <t>NS-Leeds, Leeds-PV</t>
  </si>
  <si>
    <t>Edic-PV, Oakdale-Fraser 345kV</t>
  </si>
  <si>
    <t>Edic-PV, Oakdale-Fraser</t>
  </si>
  <si>
    <t>Edic-NS, Knickerbocker-PV 345kV</t>
  </si>
  <si>
    <t>Leeds - P. Valley 345kV</t>
  </si>
  <si>
    <t>Edic-NS, NS-Leeds, Leeds-PV 345kV</t>
  </si>
  <si>
    <t>NS-Leeds, Leeds-PV 345kV</t>
  </si>
  <si>
    <t>Edic-NS, NS-Leeds-PV 345kV</t>
  </si>
  <si>
    <t>Edic-NS, Hurley Ave 345kV</t>
  </si>
  <si>
    <t>CHGE/NM-NG/NYSEG</t>
  </si>
  <si>
    <t>CHGE/NM-NG/NYSEG/NYPA</t>
  </si>
  <si>
    <t>Black River-Lighthouse Hill 115kV</t>
  </si>
  <si>
    <t>Chadwicks - Yahnundadis 115kV</t>
  </si>
  <si>
    <t>Knickerbocker-PV</t>
  </si>
  <si>
    <t>LI Energy Storage System</t>
  </si>
  <si>
    <t>Buell Battery Storage</t>
  </si>
  <si>
    <t>Far Rockaway Battery Storage</t>
  </si>
  <si>
    <t>Glenwood Battery Storage</t>
  </si>
  <si>
    <t>Southampton Battery Storage</t>
  </si>
  <si>
    <t>East Hampton Substation 69kV</t>
  </si>
  <si>
    <t>Southampton 69kV</t>
  </si>
  <si>
    <t>Glenwood Substation 69kV</t>
  </si>
  <si>
    <t>Far Rockaway Substation 69kV</t>
  </si>
  <si>
    <t>Yaphank Fuel Cell Park, LLC</t>
  </si>
  <si>
    <t>EPCAL Fuel Cell Park, LLC</t>
  </si>
  <si>
    <t>Setauket Fuel Cell Park, LLC</t>
  </si>
  <si>
    <t>Yaphank Fuel Cell Park</t>
  </si>
  <si>
    <t>Setauket Fuel Cell Park</t>
  </si>
  <si>
    <t>EPCAL Fuel Cell Park</t>
  </si>
  <si>
    <t>Yaphank Substation 69kV</t>
  </si>
  <si>
    <t>Terryville Substation 69kV</t>
  </si>
  <si>
    <t>Alabama Ledge Wind Farm LLC</t>
  </si>
  <si>
    <t>Alabama Ledge Wind</t>
  </si>
  <si>
    <t>Edwards Substation 138kV</t>
  </si>
  <si>
    <t>Battenkill Substation 115kV</t>
  </si>
  <si>
    <t>Renovo Energy Center</t>
  </si>
  <si>
    <t>Tioga County Power</t>
  </si>
  <si>
    <t>ESC Tioga County Power, LLC</t>
  </si>
  <si>
    <t>Invenergy Wind Development LLC</t>
  </si>
  <si>
    <t>St. Johnsville - Marshville 115kV</t>
  </si>
  <si>
    <t>Patnode 230kV</t>
  </si>
  <si>
    <t>TDI-USA Holdings Corporation</t>
  </si>
  <si>
    <t>Sharon Solar LLC</t>
  </si>
  <si>
    <t>Regeneron Solar LLC</t>
  </si>
  <si>
    <t>Regeneron Solar</t>
  </si>
  <si>
    <t>Mariaville 2 Solar</t>
  </si>
  <si>
    <t>Lincoln Park DG LLC</t>
  </si>
  <si>
    <t>East Kingstson DG LLC</t>
  </si>
  <si>
    <t>NY DG Holding LLC</t>
  </si>
  <si>
    <t>Saugerties</t>
  </si>
  <si>
    <t>East Kingston</t>
  </si>
  <si>
    <t>Lincoln Park</t>
  </si>
  <si>
    <t>Sharon Solar</t>
  </si>
  <si>
    <t>Sharon Substation 69kV</t>
  </si>
  <si>
    <t>Mariaville, NY</t>
  </si>
  <si>
    <t>East Greenbush, NY</t>
  </si>
  <si>
    <t>Lincoln Park Substation</t>
  </si>
  <si>
    <t>East Kingston Substation</t>
  </si>
  <si>
    <t>Saugerties Substation</t>
  </si>
  <si>
    <t>Hammermill - Wine Creek 115kV</t>
  </si>
  <si>
    <t>Riverhead - Wildwood 69kV</t>
  </si>
  <si>
    <t>Empire State Connector Corp.</t>
  </si>
  <si>
    <t>Empire State Connector</t>
  </si>
  <si>
    <t>Central Hudson</t>
  </si>
  <si>
    <t>Hurley Ave &amp; Saugerties</t>
  </si>
  <si>
    <t>Ball Hill Wind</t>
  </si>
  <si>
    <t>NYPA/NM-NG/ ConEd</t>
  </si>
  <si>
    <t>Hurley Ave &amp; Saugerties 69kV</t>
  </si>
  <si>
    <t>Blue Circle</t>
  </si>
  <si>
    <t>North Catskill</t>
  </si>
  <si>
    <t>Erie Boulevard Hydropower, LP</t>
  </si>
  <si>
    <t>Blue Circle DG LLC</t>
  </si>
  <si>
    <t>North Catskill DG LLC</t>
  </si>
  <si>
    <t>North Catskill Substation</t>
  </si>
  <si>
    <t>Bayonne Energy Center</t>
  </si>
  <si>
    <t>Bayonne Energy Center II</t>
  </si>
  <si>
    <t>FC</t>
  </si>
  <si>
    <t>Glens Falls Hydro</t>
  </si>
  <si>
    <t>Henry St. - Glens Falls 34.5kV</t>
  </si>
  <si>
    <t>I/S</t>
  </si>
  <si>
    <t>Ogdensburg</t>
  </si>
  <si>
    <t>Lyons Fills Mill Hydro</t>
  </si>
  <si>
    <t>Orangeville</t>
  </si>
  <si>
    <t>Northbrook Lyons Falls</t>
  </si>
  <si>
    <t>AG Energy, LP</t>
  </si>
  <si>
    <t>Stony Creek 230kV</t>
  </si>
  <si>
    <t>North Ogdensburg Substation</t>
  </si>
  <si>
    <t>Falconer - Homer Hill 115kV</t>
  </si>
  <si>
    <t>Bennett 115kV</t>
  </si>
  <si>
    <t>RES Americas Developments Inc.</t>
  </si>
  <si>
    <t>Empire Wind</t>
  </si>
  <si>
    <t>PPL Electric Utilities</t>
  </si>
  <si>
    <t>Compass</t>
  </si>
  <si>
    <t>Canisteo Wind</t>
  </si>
  <si>
    <t>Stephentown - Greenbush 115kV</t>
  </si>
  <si>
    <t>W49th St 345kV</t>
  </si>
  <si>
    <t>Lackawanna - Ramapo 345kV</t>
  </si>
  <si>
    <t>Riverhead 69 kV</t>
  </si>
  <si>
    <t>Apex Clean Energy LLC</t>
  </si>
  <si>
    <t>Bull Run II Wind</t>
  </si>
  <si>
    <t>NYC Energy</t>
  </si>
  <si>
    <t>Dunkirk Unit 2</t>
  </si>
  <si>
    <t>Dunkirk Unit 3 &amp; 4</t>
  </si>
  <si>
    <t>Western NY Energy Link</t>
  </si>
  <si>
    <t>Moderate Power Transfer</t>
  </si>
  <si>
    <t>High Power Transfer</t>
  </si>
  <si>
    <t>Empire State Line</t>
  </si>
  <si>
    <t>Dunkirk Power LLC</t>
  </si>
  <si>
    <t>Hudson Avenue East 138kV</t>
  </si>
  <si>
    <t>Dunkirk 115kV</t>
  </si>
  <si>
    <t>Dunkirk 230kV</t>
  </si>
  <si>
    <t>Indian River 115kV</t>
  </si>
  <si>
    <t>Niagara - Stolle - Gardenville</t>
  </si>
  <si>
    <t>NYPA/NYSEG</t>
  </si>
  <si>
    <t>Niagara, Erie, Stolle, Gardenville</t>
  </si>
  <si>
    <t>LaFarge - PV 115 kV</t>
  </si>
  <si>
    <t>Number 3 Wind Energy</t>
  </si>
  <si>
    <t>Dysinger - Stolle 345kV</t>
  </si>
  <si>
    <t>Taylorville- Boonville 115 kV</t>
  </si>
  <si>
    <t>Ruland Rd. 138kV</t>
  </si>
  <si>
    <t>Great Valley Solar</t>
  </si>
  <si>
    <t>Delano Management LLC</t>
  </si>
  <si>
    <t>Empire Interconnection</t>
  </si>
  <si>
    <t>Freedom Substation</t>
  </si>
  <si>
    <t>Empire Interconnection LLC</t>
  </si>
  <si>
    <t>Glenwood</t>
  </si>
  <si>
    <t>AVANGRID</t>
  </si>
  <si>
    <t>Segment A</t>
  </si>
  <si>
    <t>Segment B</t>
  </si>
  <si>
    <t>Segment B Alt</t>
  </si>
  <si>
    <t>Connect NY Edic - PV</t>
  </si>
  <si>
    <t>Connect NY Edic - Ramapo</t>
  </si>
  <si>
    <t>Segment A Edic-New Scotland</t>
  </si>
  <si>
    <t>Segment B Knickerbocker-PV</t>
  </si>
  <si>
    <t>Alle Catt Wind</t>
  </si>
  <si>
    <t>Sky High Solar</t>
  </si>
  <si>
    <t>Empire State Line Alt</t>
  </si>
  <si>
    <t>Dysinger-Stolle</t>
  </si>
  <si>
    <t>Dysinger-Stolle-Gardenville</t>
  </si>
  <si>
    <t>Niagara-Dysinger-Stolle-Gardenville</t>
  </si>
  <si>
    <t>Edic - New Scotland 345kV</t>
  </si>
  <si>
    <t>NM-NG/NYSEG/ CHGE/ConEd</t>
  </si>
  <si>
    <t>Greenbush - PV 345kV</t>
  </si>
  <si>
    <t>Edic - PV 345kV</t>
  </si>
  <si>
    <t>Edic - Ramapo 345kV</t>
  </si>
  <si>
    <t>Dysinger-Stolle-Gardenville II</t>
  </si>
  <si>
    <t>Dysinger - Gardenville 345kV</t>
  </si>
  <si>
    <t>Niagara - Gardenville 345kV</t>
  </si>
  <si>
    <t>Mohawk Solar LLC</t>
  </si>
  <si>
    <t>Mohawk Solar</t>
  </si>
  <si>
    <t>Lookheed Martin</t>
  </si>
  <si>
    <t>Lockheed Matin MST Syracuse</t>
  </si>
  <si>
    <t>Caprock Solar</t>
  </si>
  <si>
    <t>Flotilla Solar</t>
  </si>
  <si>
    <t>Caspian Solar</t>
  </si>
  <si>
    <t>South Union - Sweden 115kV</t>
  </si>
  <si>
    <t>Brockport - Hamlin 115kV</t>
  </si>
  <si>
    <t>Sweden - South Union 115kV</t>
  </si>
  <si>
    <t>Lockheed Martin switch 13.8kV</t>
  </si>
  <si>
    <t>Double Lock Solar, LLC</t>
  </si>
  <si>
    <t>Double Lock Solar</t>
  </si>
  <si>
    <t>Hidden Meadow Solar</t>
  </si>
  <si>
    <t>Rock District Solar</t>
  </si>
  <si>
    <t>Tayandenega Solar</t>
  </si>
  <si>
    <t>Deer River Wind</t>
  </si>
  <si>
    <t>Astoria Generating Unit 4</t>
  </si>
  <si>
    <t>Segment A Base</t>
  </si>
  <si>
    <t>Segment A Double Circuit</t>
  </si>
  <si>
    <t>Segment A Enhanced</t>
  </si>
  <si>
    <t>Segment A 765</t>
  </si>
  <si>
    <t>Knickerbocker - PV 345kV</t>
  </si>
  <si>
    <t>Milan - Churchtown 115kV</t>
  </si>
  <si>
    <t>MA 1 &amp; 2 Rebuild</t>
  </si>
  <si>
    <t>Tribes Hill Solar, LLC</t>
  </si>
  <si>
    <t>Tribes Hill Solar</t>
  </si>
  <si>
    <t>Turkey Hollow Solar, LLC</t>
  </si>
  <si>
    <t>Turkey Hollow Solar</t>
  </si>
  <si>
    <t>Greene County</t>
  </si>
  <si>
    <t>D, E</t>
  </si>
  <si>
    <t>Sharon - Cobleskill 69kV</t>
  </si>
  <si>
    <t>St. Johnsville - Inghams 115kV</t>
  </si>
  <si>
    <t>Segment B Enhanced</t>
  </si>
  <si>
    <t>Canisteo Wind Energy LLC</t>
  </si>
  <si>
    <t>Mad River Wind</t>
  </si>
  <si>
    <t>Little Pond Solar, LLC</t>
  </si>
  <si>
    <t>Little Pond Solar</t>
  </si>
  <si>
    <t>Greene County Energy Properties, LLC</t>
  </si>
  <si>
    <t>Greene County Energy</t>
  </si>
  <si>
    <t>Bluestone Wind</t>
  </si>
  <si>
    <t>Bluestone Wind, LLC</t>
  </si>
  <si>
    <t>WNY STAMP</t>
  </si>
  <si>
    <t>Genesee County Economic Devel.</t>
  </si>
  <si>
    <t>Hecate Energy, LLC</t>
  </si>
  <si>
    <t>Heritage Wind</t>
  </si>
  <si>
    <t>Coxsackie - North Catskill 69kV</t>
  </si>
  <si>
    <t>Long Lane - Lafarge 115kV</t>
  </si>
  <si>
    <t>Volney - Marcy 345kV</t>
  </si>
  <si>
    <t>Mongaup - Shoemaker 69kV</t>
  </si>
  <si>
    <t>Afton - Stilesville 115kV</t>
  </si>
  <si>
    <t>Vermont Green Line Devco, LLC</t>
  </si>
  <si>
    <t>O&amp;R</t>
  </si>
  <si>
    <t>Astoria West Substation 138 kV</t>
  </si>
  <si>
    <t>Glenwood/Far Rockaway Station 69kV</t>
  </si>
  <si>
    <t>Sunny Knoll Solar</t>
  </si>
  <si>
    <t>Hills Solar</t>
  </si>
  <si>
    <t>Sunny Knoll Solar LLC</t>
  </si>
  <si>
    <t>Dog Corners Solar</t>
  </si>
  <si>
    <t>Watkins Rd Solar</t>
  </si>
  <si>
    <t>Fork Valley Solar</t>
  </si>
  <si>
    <t>Niagara Transmission Expansion</t>
  </si>
  <si>
    <t>Exelon Transmission Co., LLC</t>
  </si>
  <si>
    <t>Scipio Solar</t>
  </si>
  <si>
    <t>North Park Energy, LLC</t>
  </si>
  <si>
    <t>SW Energy</t>
  </si>
  <si>
    <t>Five Mile Rd Substation 115kV</t>
  </si>
  <si>
    <t>Caledonia I Solar</t>
  </si>
  <si>
    <t>Cypress Creek Renewables</t>
  </si>
  <si>
    <t>Keesog Solar</t>
  </si>
  <si>
    <t>Hood Cogen</t>
  </si>
  <si>
    <t>HP Hood LLC</t>
  </si>
  <si>
    <t>LeRoy Solar</t>
  </si>
  <si>
    <t>LeRoy, LLC</t>
  </si>
  <si>
    <t>Alle Catt II Wind</t>
  </si>
  <si>
    <t>North Catskill - Coxsackie 69kV</t>
  </si>
  <si>
    <t>NGrid</t>
  </si>
  <si>
    <t>LeRoy Substation 115kV</t>
  </si>
  <si>
    <t>Hecate Energy Riverhead, LLC</t>
  </si>
  <si>
    <t>Wildwood - Riverhead 69kV</t>
  </si>
  <si>
    <t>Hecate Energy Columbia County 1, LLC</t>
  </si>
  <si>
    <t>Columbia County 1</t>
  </si>
  <si>
    <t>Hecate Energy Columbia County 2, LLC</t>
  </si>
  <si>
    <t>Columbia County 2</t>
  </si>
  <si>
    <t>Columbia County 3</t>
  </si>
  <si>
    <t>Hecate Energy Craryville 3, LLC</t>
  </si>
  <si>
    <t>Empire State Connector Corporation</t>
  </si>
  <si>
    <t>Empire State Connector II</t>
  </si>
  <si>
    <t>Marcy - Astoria 345kV</t>
  </si>
  <si>
    <t>Woodruff Solar</t>
  </si>
  <si>
    <t>Badra Solar</t>
  </si>
  <si>
    <t>South Fork Wind Farm</t>
  </si>
  <si>
    <t>East Hampton 69kV</t>
  </si>
  <si>
    <t>Sugar Maple Solar</t>
  </si>
  <si>
    <t>Sabertooth Solar, LLC</t>
  </si>
  <si>
    <t>Sabertooth Solar</t>
  </si>
  <si>
    <t>West Point II HVDC</t>
  </si>
  <si>
    <t>Watkins Glen Solar</t>
  </si>
  <si>
    <t>High River Solar</t>
  </si>
  <si>
    <t>East Point Solar</t>
  </si>
  <si>
    <t>Saugerties Solar</t>
  </si>
  <si>
    <t>Alcoa Solar</t>
  </si>
  <si>
    <t>New Scotland - Buchanan South 345kV</t>
  </si>
  <si>
    <t>Willett - Lapeer 115kV</t>
  </si>
  <si>
    <t>Nicholville - Malone 115kV</t>
  </si>
  <si>
    <t>Eight Point Wind Energy Center</t>
  </si>
  <si>
    <t>Shoreham Solar</t>
  </si>
  <si>
    <t>Conti Enterprises, Inc.</t>
  </si>
  <si>
    <t>Puckett Solar</t>
  </si>
  <si>
    <t>Franklin Solar</t>
  </si>
  <si>
    <t>Whitehart Solar, LLC</t>
  </si>
  <si>
    <t>Whitehart Solar</t>
  </si>
  <si>
    <t>KCE NY 1, LLC</t>
  </si>
  <si>
    <t>KCE NY 1</t>
  </si>
  <si>
    <t>Slingshot 2 Solar</t>
  </si>
  <si>
    <t>Southtown 2 Solar</t>
  </si>
  <si>
    <t>Silver Lake Solar</t>
  </si>
  <si>
    <t>Cayuga Solar</t>
  </si>
  <si>
    <t>Cayuga Operating Co.</t>
  </si>
  <si>
    <t>13.8kV</t>
  </si>
  <si>
    <t>Bath - Montour Falls 115kV</t>
  </si>
  <si>
    <t>FES, SIS</t>
  </si>
  <si>
    <t>NRG Berrians East Development, LLC</t>
  </si>
  <si>
    <t>Grand Gorge - Axtell Road 115kV</t>
  </si>
  <si>
    <t>Woodruff Solar, LLC</t>
  </si>
  <si>
    <t>New Baltimore - Coxsackie 69 kV</t>
  </si>
  <si>
    <t>Mechanicville - Schaghticoke 34.5kV</t>
  </si>
  <si>
    <t>Moses - Willis 230kV</t>
  </si>
  <si>
    <t>Janis Solar</t>
  </si>
  <si>
    <t>NS Power Express</t>
  </si>
  <si>
    <t>GridAmerica Holdings Inc.</t>
  </si>
  <si>
    <t>Alps - Berkshire</t>
  </si>
  <si>
    <t>Hyatt Rd.- Border City 115kV</t>
  </si>
  <si>
    <t>Luther Forest 34.5kV Substation</t>
  </si>
  <si>
    <t>Milliken 34.5 Substation</t>
  </si>
  <si>
    <t>Alps - Berkshire 345kV</t>
  </si>
  <si>
    <t>Oneida - Cortland 115kV</t>
  </si>
  <si>
    <t>Rock District Solar, LLC</t>
  </si>
  <si>
    <t>Caledonia Solar LLC</t>
  </si>
  <si>
    <t>Fork Valley Solar LLC</t>
  </si>
  <si>
    <t>North Angola 34.5kV Substation</t>
  </si>
  <si>
    <t>North Country Solar</t>
  </si>
  <si>
    <t>Niagara Solar</t>
  </si>
  <si>
    <t>Rising Solar, LLC</t>
  </si>
  <si>
    <t>Daybreak Solar, LLC</t>
  </si>
  <si>
    <t>Flint Mine Solar</t>
  </si>
  <si>
    <t>Daybreak Solar</t>
  </si>
  <si>
    <t>Rising Solar</t>
  </si>
  <si>
    <t>Flint Mine Solar LLC</t>
  </si>
  <si>
    <t>Champagne Storage, LLC</t>
  </si>
  <si>
    <t>Champagne Storage</t>
  </si>
  <si>
    <t>Pattersonville</t>
  </si>
  <si>
    <t>Owego Solar LLC</t>
  </si>
  <si>
    <t>Owego Solar</t>
  </si>
  <si>
    <t>Granada Solar, LLC</t>
  </si>
  <si>
    <t>Grissom Solar</t>
  </si>
  <si>
    <t>Oakdale - Lafayette</t>
  </si>
  <si>
    <t>Jennison - Edic</t>
  </si>
  <si>
    <t>Multiple Areas</t>
  </si>
  <si>
    <t>South Owego - Stagecoach 115kV</t>
  </si>
  <si>
    <t>Vail Mills Substation 69kV</t>
  </si>
  <si>
    <t>Transmission Reinforcements</t>
  </si>
  <si>
    <t>Berrians East Replacement</t>
  </si>
  <si>
    <t>sPower Development Company, LLC</t>
  </si>
  <si>
    <t>Silver Lake Solar, LLC</t>
  </si>
  <si>
    <t>Oya Solar NY LP</t>
  </si>
  <si>
    <t>Thousand Island - Coffeen 115kV</t>
  </si>
  <si>
    <t>Thousand Island 115kV</t>
  </si>
  <si>
    <t>Meco - Rotterdam 115kV</t>
  </si>
  <si>
    <t>CR Fuel Cell, LLC</t>
  </si>
  <si>
    <t>Clare Rose</t>
  </si>
  <si>
    <t>BRT Fuel Cell, LLC</t>
  </si>
  <si>
    <t>Brookhaven Rail Terminal</t>
  </si>
  <si>
    <t>Yaphank Solid Waste Management</t>
  </si>
  <si>
    <t>Somerset Operating Company LLC</t>
  </si>
  <si>
    <t>Somerset Solar</t>
  </si>
  <si>
    <t>Plattsburgh Solar, LLC</t>
  </si>
  <si>
    <t>Moffitt Solar</t>
  </si>
  <si>
    <t>Renovo Energy Center, LLC</t>
  </si>
  <si>
    <t>Renovo Energy Center LLC</t>
  </si>
  <si>
    <t>Admiral Wind LLC</t>
  </si>
  <si>
    <t>Taku Wind LLC</t>
  </si>
  <si>
    <t>Taku Wind</t>
  </si>
  <si>
    <t>Mistral Wind LLC</t>
  </si>
  <si>
    <t>CVE North America, Inc.</t>
  </si>
  <si>
    <t>Volney Solar Park</t>
  </si>
  <si>
    <t>Kintigh Switchyard 69kV</t>
  </si>
  <si>
    <t>Northend - Woodruff Pond 46kV</t>
  </si>
  <si>
    <t>Solar Liberty Energy Systems, Inc.</t>
  </si>
  <si>
    <t>Westwood Rd</t>
  </si>
  <si>
    <t>Liberty Dr</t>
  </si>
  <si>
    <t>Eden Evans Rd</t>
  </si>
  <si>
    <t>EDP Renewables North America LLC</t>
  </si>
  <si>
    <t>Coldwater Solar</t>
  </si>
  <si>
    <t>Main St</t>
  </si>
  <si>
    <t>South Cooper Solar LLC</t>
  </si>
  <si>
    <t>Forest Glen Solar LLC</t>
  </si>
  <si>
    <t>South Cooper Solar</t>
  </si>
  <si>
    <t>Forest Glen Solar</t>
  </si>
  <si>
    <t>Martin Rd Solar LLC</t>
  </si>
  <si>
    <t>Bakerstand Solar LLC</t>
  </si>
  <si>
    <t>Bakerstand Solar</t>
  </si>
  <si>
    <t>Liberty Generating Alternative</t>
  </si>
  <si>
    <t>Clay Solar</t>
  </si>
  <si>
    <t>North Bergen Liberty Generation Center LLC</t>
  </si>
  <si>
    <t>Blue Stone Solar Energy, LLC</t>
  </si>
  <si>
    <t>LS Power Development, LLC</t>
  </si>
  <si>
    <t>Helix Ravenswood I</t>
  </si>
  <si>
    <t>Helix Ravenswood II</t>
  </si>
  <si>
    <t>Helix Ravenswood, LLC</t>
  </si>
  <si>
    <t>Vernon Battery Storage I</t>
  </si>
  <si>
    <t>Vernon Battery Storage II</t>
  </si>
  <si>
    <t>Regan Solar</t>
  </si>
  <si>
    <t>Grange Solar</t>
  </si>
  <si>
    <t>LI Solar Generation, LLC</t>
  </si>
  <si>
    <t>Calverton Solar Energy Center</t>
  </si>
  <si>
    <t>Shaw Solar</t>
  </si>
  <si>
    <t>Manny Corner Solar</t>
  </si>
  <si>
    <t>Robinson Solar</t>
  </si>
  <si>
    <t>Black Creek Solar</t>
  </si>
  <si>
    <t>Rainey Substation 345kV</t>
  </si>
  <si>
    <t>Long Island Offshore Wind</t>
  </si>
  <si>
    <t>Oneida - Fenner 115kV</t>
  </si>
  <si>
    <t>Lockport - Batavia 115kV</t>
  </si>
  <si>
    <t>South Oswego - Clay 115kV</t>
  </si>
  <si>
    <t>Machias - Maplehurst 34.5kV</t>
  </si>
  <si>
    <t>Erie St - Alden 34.5kV</t>
  </si>
  <si>
    <t>http://www3.dps.ny.gov/W/PSCWeb.nsf/All/286D2C179E9A5A8385257FBF003F1F7E?OpenDocument</t>
  </si>
  <si>
    <t>DPS/State - SIR Interconnection Queue (for Projects not subject to the NYISO process):</t>
  </si>
  <si>
    <t>Franklin Solar, LLC</t>
  </si>
  <si>
    <t>Akron - Attica 34.5kV</t>
  </si>
  <si>
    <t>Packard - Erie St 115 kV</t>
  </si>
  <si>
    <t>Shelton - Angola 34.5kV</t>
  </si>
  <si>
    <t>Golah - South Perry 69 kV</t>
  </si>
  <si>
    <t>Five Mile - Gardenville 115 kV</t>
  </si>
  <si>
    <t>Guilford 46kV</t>
  </si>
  <si>
    <t>Vincent Cors 34.5kV</t>
  </si>
  <si>
    <t>KCE NY 2</t>
  </si>
  <si>
    <t>Magruder Solar</t>
  </si>
  <si>
    <t>KCE NY 2, LLC</t>
  </si>
  <si>
    <t>ITC Lake Erie Connector, LLC</t>
  </si>
  <si>
    <t>Lake Erie Connector</t>
  </si>
  <si>
    <t>EPCAL 1</t>
  </si>
  <si>
    <t>EPCAL 2</t>
  </si>
  <si>
    <t>Bull Run Solar Energy Center</t>
  </si>
  <si>
    <t>Invenergy Solar Development North America LLC</t>
  </si>
  <si>
    <t>Modena - Galeville 115kV</t>
  </si>
  <si>
    <t>S. Ripley 230kV</t>
  </si>
  <si>
    <t>Bone Run Wind</t>
  </si>
  <si>
    <t>Tilden -Tully Center 115kV</t>
  </si>
  <si>
    <t>Five Mile - Homer Hill 115kV</t>
  </si>
  <si>
    <t>Shoreham Solar Commons LLC</t>
  </si>
  <si>
    <t>EDF Renewable Development Inc.</t>
  </si>
  <si>
    <t>East Walden Solar</t>
  </si>
  <si>
    <t>Goshen Solar</t>
  </si>
  <si>
    <t>Slate Hill 1 Solar</t>
  </si>
  <si>
    <t>Slate Hill 2 Solar</t>
  </si>
  <si>
    <t>Sunset Hill Solar, LLC</t>
  </si>
  <si>
    <t>Astoria Storage on Demand</t>
  </si>
  <si>
    <t>Renovo Energy Center Uprate</t>
  </si>
  <si>
    <t>Sunset Hill Solar</t>
  </si>
  <si>
    <t>South Fork Wind Farm II</t>
  </si>
  <si>
    <t>Coldenham Substation 115kV</t>
  </si>
  <si>
    <t>Eagle Creek Hydro Power, LLC</t>
  </si>
  <si>
    <t>Swinging Bridge Unit 3</t>
  </si>
  <si>
    <t>Ravenswood Energy Storage 1</t>
  </si>
  <si>
    <t>Ravenswood Energy Storage 2</t>
  </si>
  <si>
    <t>Ravenswood Gas</t>
  </si>
  <si>
    <t>Robinson Grid</t>
  </si>
  <si>
    <t>Long Island Offshore AC</t>
  </si>
  <si>
    <t>Bear Ridge Solar, LLC</t>
  </si>
  <si>
    <t>Bear Ridge Solar</t>
  </si>
  <si>
    <t>Anbaric Development Partners, LLC</t>
  </si>
  <si>
    <t>New Baltimore - Westerlo NW 69 kV</t>
  </si>
  <si>
    <t>FES, SIS, FS</t>
  </si>
  <si>
    <t>SIS, FS</t>
  </si>
  <si>
    <t>Golah - N. Lakeville 34.5KV</t>
  </si>
  <si>
    <t>Trenton Falls - Poland 46kV</t>
  </si>
  <si>
    <t>Watkins Rd - Ilion 115kV</t>
  </si>
  <si>
    <t>Stoner - Rotterdam 115kV</t>
  </si>
  <si>
    <t>Massena - Moses 230kV</t>
  </si>
  <si>
    <t>Saugerties - Woodstock 69kV</t>
  </si>
  <si>
    <t>Sugarloaf - Wisner 69kV</t>
  </si>
  <si>
    <t>East Walden Substation 69kV</t>
  </si>
  <si>
    <t>Rotterdam - Meco 115kV</t>
  </si>
  <si>
    <t>W. Yaphank - Yaphank 69kV</t>
  </si>
  <si>
    <t>W. Yaphank - North Bellport 69kV</t>
  </si>
  <si>
    <t>Dunkirk - Gardenville 115kV</t>
  </si>
  <si>
    <t>Clay - Lockheed 115kV</t>
  </si>
  <si>
    <t>Ephratah - Florida 115kV</t>
  </si>
  <si>
    <t>Stolle Rd - Five Mile Rd 345kV</t>
  </si>
  <si>
    <t>Eelpot Rd 345.5kV Substation</t>
  </si>
  <si>
    <t>Golah - South Perry 69kV</t>
  </si>
  <si>
    <t>Fairfield - Inghams 115kV</t>
  </si>
  <si>
    <t>Lockport - Mortimer 115kV</t>
  </si>
  <si>
    <t>Ephrata - Florida 69KV</t>
  </si>
  <si>
    <t>Battenkill 34.5kV Substation</t>
  </si>
  <si>
    <t>Taylorville - Boonville 115kV</t>
  </si>
  <si>
    <t>Riverhead - Brookhaven 138kV</t>
  </si>
  <si>
    <t>East Waldon Sutbation</t>
  </si>
  <si>
    <t>Shoemaker - Westtown</t>
  </si>
  <si>
    <t>North Queens Substation</t>
  </si>
  <si>
    <t>Oya Solar NY, LP</t>
  </si>
  <si>
    <t>Chaumont Solar</t>
  </si>
  <si>
    <t>High Bridge Wind, LLC</t>
  </si>
  <si>
    <t>High Bridge Wind</t>
  </si>
  <si>
    <t>E. Norwich - Jennison 115kV</t>
  </si>
  <si>
    <t>Swing Bridge 69 kV</t>
  </si>
  <si>
    <t>Bethlehem Battery</t>
  </si>
  <si>
    <t>Alder Creek Solar</t>
  </si>
  <si>
    <t>Cayuga Solar LLC</t>
  </si>
  <si>
    <t>Somerset Solar Development LLC</t>
  </si>
  <si>
    <t>Alder Creek Solar, LLC</t>
  </si>
  <si>
    <t>SED NY Holdings LLC</t>
  </si>
  <si>
    <t>NM-NG/O&amp;R CHGE/ConEd</t>
  </si>
  <si>
    <t>NM-NG/ NYPA</t>
  </si>
  <si>
    <t>NM-NG/ConEd/ O&amp;R/CHGE</t>
  </si>
  <si>
    <t>Edwards - Brookhaven 69kV</t>
  </si>
  <si>
    <t>EDF Renewables Development, Inc.</t>
  </si>
  <si>
    <t>Cortland Energy Center, LLC</t>
  </si>
  <si>
    <t>East Light Energy Center, LLC</t>
  </si>
  <si>
    <t>Excelsior Energy Center, LLC</t>
  </si>
  <si>
    <t>Cortland Energy Center</t>
  </si>
  <si>
    <t>East Light Energy Center</t>
  </si>
  <si>
    <t>Excelsior Energy Center</t>
  </si>
  <si>
    <t>Empire State Solar, LLC</t>
  </si>
  <si>
    <t>Lyonsdale Biomass, LLC</t>
  </si>
  <si>
    <t>Brewster Solar, LLC</t>
  </si>
  <si>
    <t>York Solar, LLC</t>
  </si>
  <si>
    <t>Niagara Falls Solar, LLC</t>
  </si>
  <si>
    <t>Alden Solar, LLC</t>
  </si>
  <si>
    <t>Machias Solar, LLC</t>
  </si>
  <si>
    <t>Arcade Solar, LLC</t>
  </si>
  <si>
    <t>ELP Ticonderoga Solar LLC</t>
  </si>
  <si>
    <t>Equinor Wind US LLC</t>
  </si>
  <si>
    <t>Hecate Energy Cody Road LLC</t>
  </si>
  <si>
    <t>Manchester Solar</t>
  </si>
  <si>
    <t>Lyonsdale Solar</t>
  </si>
  <si>
    <t>Brewster Solar</t>
  </si>
  <si>
    <t>York Solar</t>
  </si>
  <si>
    <t>Niagara Falls Solar</t>
  </si>
  <si>
    <t>Alden Solar</t>
  </si>
  <si>
    <t>Champlain Solar</t>
  </si>
  <si>
    <t>Quiet Meadows Solar</t>
  </si>
  <si>
    <t>Machias Solar</t>
  </si>
  <si>
    <t>Arcade Solar</t>
  </si>
  <si>
    <t>Ticonderoga Solar</t>
  </si>
  <si>
    <t>Meads Hill Solar</t>
  </si>
  <si>
    <t>Cody Road</t>
  </si>
  <si>
    <t>Shoemaker-Westtown 69kV</t>
  </si>
  <si>
    <t>Hyatt Substation 34.5kV</t>
  </si>
  <si>
    <t>Moraine Substation 115kV</t>
  </si>
  <si>
    <t>Meco - Rotterdam 115 kV</t>
  </si>
  <si>
    <t>Mason Corners-Sciota Flatrock 115kV</t>
  </si>
  <si>
    <t>Fivemile - Gardenville 115kV</t>
  </si>
  <si>
    <t>Arcade - Bliss 115kv</t>
  </si>
  <si>
    <t>Milliken Substation 34.5kV</t>
  </si>
  <si>
    <t>Hartley Substation 69kV</t>
  </si>
  <si>
    <t>Lyonsdale Substation 115kV</t>
  </si>
  <si>
    <t>Oneida - Oneida Energy 115kV</t>
  </si>
  <si>
    <t>Cold Springs - Pulteny 34.5kV</t>
  </si>
  <si>
    <t>Oakdale Battery Storage LLC</t>
  </si>
  <si>
    <t>Oakdale Battery Storage</t>
  </si>
  <si>
    <t>Duke Energy Renewables Solar, LLC</t>
  </si>
  <si>
    <t>Albany Substation 115kV</t>
  </si>
  <si>
    <t>Bethlehem Solar</t>
  </si>
  <si>
    <t>13.2kV Substation</t>
  </si>
  <si>
    <t>Bluestone Battery Storage</t>
  </si>
  <si>
    <t>Hornell Solar</t>
  </si>
  <si>
    <t>Energy Storage Resources, LLC</t>
  </si>
  <si>
    <t>White Creek Solar LLC</t>
  </si>
  <si>
    <t>Huckleberry Ridge Energy</t>
  </si>
  <si>
    <t>White Creek Solar</t>
  </si>
  <si>
    <t>Consolidated Edison Co. of NY, Inc.</t>
  </si>
  <si>
    <t>Pawling - Croton Falls 115kV</t>
  </si>
  <si>
    <t>Line #863 - 69kV</t>
  </si>
  <si>
    <t>Line #181 - 115kV</t>
  </si>
  <si>
    <t>Heelstone Development, LLC</t>
  </si>
  <si>
    <t>Horseshoe Solar</t>
  </si>
  <si>
    <t>Granada Solar, LLC (Conti)</t>
  </si>
  <si>
    <t>KCE NY 11 LLC</t>
  </si>
  <si>
    <t>KCE NY 11</t>
  </si>
  <si>
    <t>Calpine Mid Atlantic Development, LLC</t>
  </si>
  <si>
    <t>Bethpage Storage</t>
  </si>
  <si>
    <t>Stony Brook Storage</t>
  </si>
  <si>
    <t>Goldenrod Solar</t>
  </si>
  <si>
    <t>Blue Star Solar</t>
  </si>
  <si>
    <t>Rising Solar II</t>
  </si>
  <si>
    <t>Monarda Solar</t>
  </si>
  <si>
    <t>Bennett 34.5kV</t>
  </si>
  <si>
    <t>East Walden - Modena 115kV</t>
  </si>
  <si>
    <t>Jones - Mortimer 115kV</t>
  </si>
  <si>
    <t>Market Hill - Johnstown 69kV</t>
  </si>
  <si>
    <t>Mohican - Luther Forest 115kV</t>
  </si>
  <si>
    <t>Battenkill - Eastover 115kV</t>
  </si>
  <si>
    <t>Montour Falls - Greenidge 115kV</t>
  </si>
  <si>
    <t>South Perry - Meyer 230kV</t>
  </si>
  <si>
    <t>Sithe Independence</t>
  </si>
  <si>
    <t>Darby Solar</t>
  </si>
  <si>
    <t>Sugarloaf Substation - 69kV</t>
  </si>
  <si>
    <t>Bay State Wind LLC</t>
  </si>
  <si>
    <t>NY Wind Brookhaven</t>
  </si>
  <si>
    <t>NY Wind Gowanus</t>
  </si>
  <si>
    <t>North County Energy Storage</t>
  </si>
  <si>
    <t>KCE NY 8a</t>
  </si>
  <si>
    <t>Mistral Wind Alternative</t>
  </si>
  <si>
    <t>Hollyhock Solar, LLC</t>
  </si>
  <si>
    <t>Hollyhock Solar</t>
  </si>
  <si>
    <t>Charboneau Solar, LLC</t>
  </si>
  <si>
    <t>Charboneau Solar</t>
  </si>
  <si>
    <t>Puckett Solar, LLC</t>
  </si>
  <si>
    <t>Greenidge Generation LLC</t>
  </si>
  <si>
    <t>Greenidge Load</t>
  </si>
  <si>
    <t>New Scotland - North Catskill 115kV</t>
  </si>
  <si>
    <t>Moses - Adirondack 230kV</t>
  </si>
  <si>
    <t>Pine Grove Substation 13.2kV</t>
  </si>
  <si>
    <t>Brookhaven 138kV</t>
  </si>
  <si>
    <t>Holbrook 138kV</t>
  </si>
  <si>
    <t>Willet 34.5kV</t>
  </si>
  <si>
    <t>Grumman Substation 69kV</t>
  </si>
  <si>
    <t>Astoria Generating Company LP</t>
  </si>
  <si>
    <t>Gowanus Gas Turbine Facility Repowering</t>
  </si>
  <si>
    <t>Hecate Energy Gedney Hill LLC</t>
  </si>
  <si>
    <t>Gedney Hill Solar</t>
  </si>
  <si>
    <t>Hecate Energy Johnstown LLC</t>
  </si>
  <si>
    <t>Johnstown Solar</t>
  </si>
  <si>
    <t>Willis Substation 115kV</t>
  </si>
  <si>
    <t>KCE NY8 LLC</t>
  </si>
  <si>
    <t>Leeds - New Scotland 115kV</t>
  </si>
  <si>
    <t>Ticonderoga - Hague Road 115kV</t>
  </si>
  <si>
    <t>Ladentown Substation 345kV</t>
  </si>
  <si>
    <t>Hudson Transmission Partners</t>
  </si>
  <si>
    <t>Segment B Base</t>
  </si>
  <si>
    <t>Tayandenega Solar, LLC</t>
  </si>
  <si>
    <t>Cobleskill - Schoharie 69kV</t>
  </si>
  <si>
    <t>Homer City - Mainesburg 345kV</t>
  </si>
  <si>
    <t>Thousand Island - Lyme 115kV</t>
  </si>
  <si>
    <t>New Baltimore - Westerlo 69kV</t>
  </si>
  <si>
    <t>Greenidge 115kV</t>
  </si>
  <si>
    <t>N. Akron - Attica 34.5 kV</t>
  </si>
  <si>
    <t>Marcy South SSR Detection</t>
  </si>
  <si>
    <t>Hornell Storage</t>
  </si>
  <si>
    <t>High Bridge Battery</t>
  </si>
  <si>
    <t>Erie-Wyoming County Solar</t>
  </si>
  <si>
    <t>Levy Grid, LLC</t>
  </si>
  <si>
    <t>ConnectGen Chautauqua County LLC</t>
  </si>
  <si>
    <t>ConnectGen Erie-Wyoming LLC</t>
  </si>
  <si>
    <t>Ravenswood Development, LLC</t>
  </si>
  <si>
    <t>Fraser - Annex 345 kV Substation</t>
  </si>
  <si>
    <t>Stolle Road - High Sheldon 230kV</t>
  </si>
  <si>
    <t>Orangeville Energy Storage LLC</t>
  </si>
  <si>
    <t>Danskammer Energy LLC</t>
  </si>
  <si>
    <t>Atlantic Shores Offshore Wind 7</t>
  </si>
  <si>
    <t>Atlantic Shores Offshore Wind 8</t>
  </si>
  <si>
    <t>Atlantic Shores Offshore Wind 9</t>
  </si>
  <si>
    <t>Danskammer Energy Center</t>
  </si>
  <si>
    <t>Rainey - Farragut 345kV</t>
  </si>
  <si>
    <t>Arcade - Five Mile 115kV</t>
  </si>
  <si>
    <t>Homer City - Mainsburg 345kV</t>
  </si>
  <si>
    <t>Marcy - Gowanus 345kV</t>
  </si>
  <si>
    <t>NY Wind Canal</t>
  </si>
  <si>
    <t>Sta 82 - Sta 128 115kV</t>
  </si>
  <si>
    <t>Brookhaven - Sills 138kV</t>
  </si>
  <si>
    <t>Canal Substation 138kV</t>
  </si>
  <si>
    <t>Shoreham Substation 138kV</t>
  </si>
  <si>
    <t>West 49th St Substation 345kV</t>
  </si>
  <si>
    <t>esVolta, LP</t>
  </si>
  <si>
    <t>Prattsburgh Wind, LLC</t>
  </si>
  <si>
    <t>Ladybug Energy Storage</t>
  </si>
  <si>
    <t>Bluebird Energy Storage</t>
  </si>
  <si>
    <t>Appleseed Energy Storage</t>
  </si>
  <si>
    <t>Rich Road Solar Energy Center</t>
  </si>
  <si>
    <t>East Garden City 345kV Substation</t>
  </si>
  <si>
    <t>Edora B Solar Energy Center</t>
  </si>
  <si>
    <t>Edora C Solar Energy Center</t>
  </si>
  <si>
    <t>Suffragette Solar Energy Center</t>
  </si>
  <si>
    <t>Moraine Solar Energy Center</t>
  </si>
  <si>
    <t>Morris Ridge Solar Energy Center</t>
  </si>
  <si>
    <t>Fresh Kills 345kV</t>
  </si>
  <si>
    <t>Bunker Solar Energy Center</t>
  </si>
  <si>
    <t>Yonkers Grid, LLC</t>
  </si>
  <si>
    <t>KCE NY 10, LLC</t>
  </si>
  <si>
    <t>KCE NY 10</t>
  </si>
  <si>
    <t>Oxbow Hill Solar, LLC</t>
  </si>
  <si>
    <t>Oxbow Hill Solar</t>
  </si>
  <si>
    <t>Poseidon Offshore</t>
  </si>
  <si>
    <t>I</t>
  </si>
  <si>
    <t>Sprainbrook Substation</t>
  </si>
  <si>
    <t>Dunwoodie Substation</t>
  </si>
  <si>
    <t>Leeds Substation</t>
  </si>
  <si>
    <t>Barrett Ridge Energy, LLC</t>
  </si>
  <si>
    <t>Seven Creek Energy, LLC</t>
  </si>
  <si>
    <t>Dimension NY 1 LLC</t>
  </si>
  <si>
    <t>Hecate Energy Cider Solar LLC</t>
  </si>
  <si>
    <t>Diamond Generating Corporation</t>
  </si>
  <si>
    <t>Quogue Energy Storage, LLC</t>
  </si>
  <si>
    <t>Setauket Energy Storage, LLC</t>
  </si>
  <si>
    <t>Wildwood Energy Storage, LLC</t>
  </si>
  <si>
    <t>NRG Astoria Storage LLC</t>
  </si>
  <si>
    <t>Barrett Ridge Energy</t>
  </si>
  <si>
    <t>Seven Creek Energy</t>
  </si>
  <si>
    <t>Cider Solar</t>
  </si>
  <si>
    <t>Bayonne Energy Center III</t>
  </si>
  <si>
    <t>NNC TTC Increase</t>
  </si>
  <si>
    <t>Quogue Energy Storage</t>
  </si>
  <si>
    <t>Port Jeff 1-Terryville Energy Storage</t>
  </si>
  <si>
    <t>Port Jeff 2-Terryville Energy Storage</t>
  </si>
  <si>
    <t>Port Jeff 2-Stony Brook Energy Storage</t>
  </si>
  <si>
    <t>Port Jeff -Mt. Sinai Energy Storage</t>
  </si>
  <si>
    <t>Wildwood Energy Storage</t>
  </si>
  <si>
    <t>Wildwood Shoreham Energy Storage</t>
  </si>
  <si>
    <t>Setauket Energy Storage</t>
  </si>
  <si>
    <t>Astoria Energy Storage 1</t>
  </si>
  <si>
    <t>LI Energy Storage System, LLC</t>
  </si>
  <si>
    <t>NRG Arthur Kill Storage LLC</t>
  </si>
  <si>
    <t>Arthur Kill Energy Storage 1</t>
  </si>
  <si>
    <t>Valley Solar</t>
  </si>
  <si>
    <t>Arthur Kill Energy Storage 2</t>
  </si>
  <si>
    <t>Astoria Energy Storage 2</t>
  </si>
  <si>
    <t>Dunkirk Substation 230kV</t>
  </si>
  <si>
    <t>Hecate Energy Albany 1 LLC</t>
  </si>
  <si>
    <t>Albany County 1</t>
  </si>
  <si>
    <t>Hecate Energy Greene 1 LLC</t>
  </si>
  <si>
    <t>Hecate Energy Greene 2 LLC</t>
  </si>
  <si>
    <t>Greene County 2</t>
  </si>
  <si>
    <t>Hecate Energy Greene County 3 LLC</t>
  </si>
  <si>
    <t>Greene County 3</t>
  </si>
  <si>
    <t>Hecate Energy Albany 2 LLC</t>
  </si>
  <si>
    <t>Albany County 2</t>
  </si>
  <si>
    <t>CS Hawthorn Solar</t>
  </si>
  <si>
    <t>Astoria Generating Company, LP</t>
  </si>
  <si>
    <t>Dock Battery Energy Storage 2</t>
  </si>
  <si>
    <t>Parking Lot Battery Energy Storage 2</t>
  </si>
  <si>
    <t>Astoria Energy Storage 3</t>
  </si>
  <si>
    <t>Astoria Energy Storage 4</t>
  </si>
  <si>
    <t>TJA Clean Energy, LLC</t>
  </si>
  <si>
    <t>Mitsubishi Hitachi Power Systems Americas, Inc.</t>
  </si>
  <si>
    <t>Boralex US Development, LLC</t>
  </si>
  <si>
    <t>NY37 Solar</t>
  </si>
  <si>
    <t>NY37 Energy Storage</t>
  </si>
  <si>
    <t>Bloom Energy Storage Center</t>
  </si>
  <si>
    <t>Rescue Energy Storage Center</t>
  </si>
  <si>
    <t>Chelsea Energy Storage Center</t>
  </si>
  <si>
    <t>Fairway Solar</t>
  </si>
  <si>
    <t>Somerset Operating Company, LLC</t>
  </si>
  <si>
    <t>Somerset Load</t>
  </si>
  <si>
    <t>Cayuga Operating Company, LLC</t>
  </si>
  <si>
    <t>Cayuga Load</t>
  </si>
  <si>
    <t>ConnectGen Madison County LLC</t>
  </si>
  <si>
    <t>Madison County Solar</t>
  </si>
  <si>
    <t>Niagara Dolomite Solar, LLC</t>
  </si>
  <si>
    <t>Niagara Dolomite Solar</t>
  </si>
  <si>
    <t>NY16 Solar</t>
  </si>
  <si>
    <t>NY16 Energy Storage</t>
  </si>
  <si>
    <t>NY13 Solar</t>
  </si>
  <si>
    <t>NY13 Energy Storage</t>
  </si>
  <si>
    <t>Columbia Solar Energy Center</t>
  </si>
  <si>
    <t>Genesee Road Solar Energy Center</t>
  </si>
  <si>
    <t>Ridge View Solar Energy Center</t>
  </si>
  <si>
    <t>Rosalen Solar Energy Center</t>
  </si>
  <si>
    <t>Tonawanda Solar</t>
  </si>
  <si>
    <t>Farwell Solar</t>
  </si>
  <si>
    <t>NY38 Solar</t>
  </si>
  <si>
    <t>Flat Hill Solar</t>
  </si>
  <si>
    <t>Pattersonville Solar Facility, LLC</t>
  </si>
  <si>
    <t>Ball Hill Wind Energy, LLC</t>
  </si>
  <si>
    <t>Sugar Loaf - Vernon 115kV</t>
  </si>
  <si>
    <t>Shoreham Substation 69kV</t>
  </si>
  <si>
    <t>Quogue Substation 69kV</t>
  </si>
  <si>
    <t>Port Jefferson - Terryville 69kV</t>
  </si>
  <si>
    <t>Port Jefferson - Stony Brook 69kV</t>
  </si>
  <si>
    <t>Port Jefferson - Mt. Sinai 69kV</t>
  </si>
  <si>
    <t>Wildwood Substation 138kV</t>
  </si>
  <si>
    <t>Arthur Kill 138kV</t>
  </si>
  <si>
    <t>Northside Substation 34.5kV</t>
  </si>
  <si>
    <t>North Troy - Hoosick 115kV</t>
  </si>
  <si>
    <t>Battenkill - Mohican 115kV</t>
  </si>
  <si>
    <t>Kintigh 345kV</t>
  </si>
  <si>
    <t>Milliken Substation</t>
  </si>
  <si>
    <t>Northport Substation 138kV</t>
  </si>
  <si>
    <t>Astoria West 138kV Substation</t>
  </si>
  <si>
    <t>Martin Rd Solar</t>
  </si>
  <si>
    <t>North Country Wind</t>
  </si>
  <si>
    <t>Tabletop Solar</t>
  </si>
  <si>
    <t>Invenergy Solar Project Development LLC</t>
  </si>
  <si>
    <t>Verona Solar Energy Center I</t>
  </si>
  <si>
    <t>Taproot Solar Energy Energy</t>
  </si>
  <si>
    <t>Verona Solar Energy Center II</t>
  </si>
  <si>
    <t>SL Portland, LLC</t>
  </si>
  <si>
    <t>SL Portland Solar</t>
  </si>
  <si>
    <t>SL Selkirk, LLC</t>
  </si>
  <si>
    <t>SL Selkirk Solar</t>
  </si>
  <si>
    <t>SL York, LLC</t>
  </si>
  <si>
    <t>SL York Solar</t>
  </si>
  <si>
    <t>Pirates Island</t>
  </si>
  <si>
    <t>Empire Community Solar LLC</t>
  </si>
  <si>
    <t>Holley Road Solar</t>
  </si>
  <si>
    <t>Brookside Solar, LLC</t>
  </si>
  <si>
    <t>Brookside Solar</t>
  </si>
  <si>
    <t>New Bremen Solar, LLC</t>
  </si>
  <si>
    <t>New Bremen Solar</t>
  </si>
  <si>
    <t>Riverside Solar, LLC</t>
  </si>
  <si>
    <t>Riverside Solar</t>
  </si>
  <si>
    <t>Garnet Energy Center</t>
  </si>
  <si>
    <t>Blooming Farm LLC</t>
  </si>
  <si>
    <t>Grassy Knoll Solar</t>
  </si>
  <si>
    <t>Empire State Land Holdings, LLC</t>
  </si>
  <si>
    <t>Turin Highlands Solar</t>
  </si>
  <si>
    <t>CH Uprate</t>
  </si>
  <si>
    <t>Sky Solar Inc.</t>
  </si>
  <si>
    <t>Hornell Center 16</t>
  </si>
  <si>
    <t>Peconic River II</t>
  </si>
  <si>
    <t>Queen City</t>
  </si>
  <si>
    <t>Meredith Woods</t>
  </si>
  <si>
    <t>Sharon - Cobleskill 69kV Substation</t>
  </si>
  <si>
    <t>Coffeen - West Adams 115kV Substation</t>
  </si>
  <si>
    <t>Fresh Kills 13.8kV</t>
  </si>
  <si>
    <t>East 13th Street 138kV Substation</t>
  </si>
  <si>
    <t>Bouckville Substation</t>
  </si>
  <si>
    <t>Pannell - Clay 345kV</t>
  </si>
  <si>
    <t>Janis Solar, LLC</t>
  </si>
  <si>
    <t>Greene County 1</t>
  </si>
  <si>
    <t>Limestone Solar</t>
  </si>
  <si>
    <t>FourGen LLC</t>
  </si>
  <si>
    <t>Holtsville Fuel Cell</t>
  </si>
  <si>
    <t>Setauket Fuel Cell</t>
  </si>
  <si>
    <t>Montgomery Energy Storage 1, LLC</t>
  </si>
  <si>
    <t>Montgomery Energy Storage</t>
  </si>
  <si>
    <t>Road Property</t>
  </si>
  <si>
    <t>Hornell Center 16 BESS</t>
  </si>
  <si>
    <t>Bremen - Lowville 115kV</t>
  </si>
  <si>
    <t>Blooming Grove Substation 69kV</t>
  </si>
  <si>
    <t>Lockport - Oakfield 115kV</t>
  </si>
  <si>
    <t>Malone - Colton 115kV</t>
  </si>
  <si>
    <t>Fenner - Oneida 115kV</t>
  </si>
  <si>
    <t>Fenner - Whitman 115kV</t>
  </si>
  <si>
    <t>Clay - Edic 345kV</t>
  </si>
  <si>
    <t>Porter - Rotterdam 230kV</t>
  </si>
  <si>
    <t>New Scotland - Alps 345kV</t>
  </si>
  <si>
    <t>Golah - S. Perry 115 kV</t>
  </si>
  <si>
    <t>Mohican - Schaghticoke 115kV</t>
  </si>
  <si>
    <t>Branscomb Solar, LLC</t>
  </si>
  <si>
    <t>Homer Solar Energy Center</t>
  </si>
  <si>
    <t>Cortland - SUNY 115 kV</t>
  </si>
  <si>
    <t>Bluejay Solar</t>
  </si>
  <si>
    <t>Oak Orchard Solar</t>
  </si>
  <si>
    <t>Sithe/Independence Power Partners, LP</t>
  </si>
  <si>
    <t>Scriba-Volney Series Reactor</t>
  </si>
  <si>
    <t>Fowler Solar</t>
  </si>
  <si>
    <t>Lacona Solar</t>
  </si>
  <si>
    <t>Yacht Club Energy Storage</t>
  </si>
  <si>
    <t>Goethals Energy Storage</t>
  </si>
  <si>
    <t>Agilitas Energy, LLC</t>
  </si>
  <si>
    <t>South Conduit Avenue Energy Storage</t>
  </si>
  <si>
    <t>Liberty Avenue Energy Storage</t>
  </si>
  <si>
    <t>Holtsville 69kV</t>
  </si>
  <si>
    <t>CH Interconnection</t>
  </si>
  <si>
    <t>Harlem River Yard</t>
  </si>
  <si>
    <t>Astoria Energy Storage 5</t>
  </si>
  <si>
    <t>Massena Load</t>
  </si>
  <si>
    <t>Hartley Rd Energy Storage 1, LLC</t>
  </si>
  <si>
    <t>114 Hartley Rd-Goshen</t>
  </si>
  <si>
    <t>Hecate Grid Intrepid 1 LLC</t>
  </si>
  <si>
    <t>Intrepid Storage 69</t>
  </si>
  <si>
    <t>SunEast Manchester Solar LLC</t>
  </si>
  <si>
    <t>Loomis Creek Solar</t>
  </si>
  <si>
    <t>Staten Island 1 Battery Storage</t>
  </si>
  <si>
    <t>Hartley Battery Storage</t>
  </si>
  <si>
    <t>Loomis Creek ES</t>
  </si>
  <si>
    <t>Walden - Montgomery 69kV</t>
  </si>
  <si>
    <t>Gowanus 345kV</t>
  </si>
  <si>
    <t>Central Islip 138kV</t>
  </si>
  <si>
    <t>Ravenswood Energy Storage</t>
  </si>
  <si>
    <t>Stoney Ridge - Canadaigua 230kV</t>
  </si>
  <si>
    <t>Willis - Lyon Mt 115kV</t>
  </si>
  <si>
    <t>Eastover - Schaghticoke 115kV</t>
  </si>
  <si>
    <t>Harbor Front 115kV</t>
  </si>
  <si>
    <t>Hilltop Solar</t>
  </si>
  <si>
    <t>CWW 200 Wind</t>
  </si>
  <si>
    <t>CWW 300 Wind</t>
  </si>
  <si>
    <t>Sharon Springs Interconnection</t>
  </si>
  <si>
    <t>Comet Solar</t>
  </si>
  <si>
    <t>Farragut 345kV Substation</t>
  </si>
  <si>
    <t>Robinson Rd - Stolle Rd 230kV</t>
  </si>
  <si>
    <t>Watkins Rd - Inghams 115kV</t>
  </si>
  <si>
    <t>Intrepid Storage 138</t>
  </si>
  <si>
    <t>White Spring ES</t>
  </si>
  <si>
    <t>White Spring Solar</t>
  </si>
  <si>
    <t>Line Creek ES</t>
  </si>
  <si>
    <t>Line Creek Solar</t>
  </si>
  <si>
    <t>Far Rockaway Energy Storage Center</t>
  </si>
  <si>
    <t>RICAL LLC</t>
  </si>
  <si>
    <t>CBB</t>
  </si>
  <si>
    <t>Enel Energy Storage Holdings, LLC</t>
  </si>
  <si>
    <t>Enel NYPA Astoria</t>
  </si>
  <si>
    <t>JERA Americas Inc.</t>
  </si>
  <si>
    <t>Brunswick Energy Storage</t>
  </si>
  <si>
    <t>Willow Bay Energy Storage</t>
  </si>
  <si>
    <t>Astoria Energy Storage</t>
  </si>
  <si>
    <t>Hatchery Solar</t>
  </si>
  <si>
    <t>Saturn Energy Storage LLC</t>
  </si>
  <si>
    <t>Astoria BESS</t>
  </si>
  <si>
    <t>AE - ESS Petracca, LLC</t>
  </si>
  <si>
    <t>Petracca Place Energy Storage</t>
  </si>
  <si>
    <t>NYSD Energy Storage</t>
  </si>
  <si>
    <t>KCE NY 12, LLC</t>
  </si>
  <si>
    <t>KCE NY 12</t>
  </si>
  <si>
    <t>National Grid Generation LLC</t>
  </si>
  <si>
    <t>Far Rockaway Power Station Battery Energy Storage System (BESS)</t>
  </si>
  <si>
    <t>Glenwood Power Station Battery Energy Storage System</t>
  </si>
  <si>
    <t>Southampton Power Station Battery Energy Storage System (BESS)</t>
  </si>
  <si>
    <t>KCE NY 21, LLC</t>
  </si>
  <si>
    <t>KCE NY 21</t>
  </si>
  <si>
    <t>Vistra Operations Company, LLC</t>
  </si>
  <si>
    <t>Sithe Independence BESS</t>
  </si>
  <si>
    <t>Invenergy Solar Development LLC</t>
  </si>
  <si>
    <t>Verona Storage</t>
  </si>
  <si>
    <t>Helmer</t>
  </si>
  <si>
    <t>Port Jefferson Power Station Battery Energy Storage System (BESS)</t>
  </si>
  <si>
    <t>0005</t>
  </si>
  <si>
    <t>0006</t>
  </si>
  <si>
    <t>Sunset Energy Fleet</t>
  </si>
  <si>
    <t>0007</t>
  </si>
  <si>
    <t>0008</t>
  </si>
  <si>
    <t>0009</t>
  </si>
  <si>
    <t>0010</t>
  </si>
  <si>
    <t>0013</t>
  </si>
  <si>
    <t>0015</t>
  </si>
  <si>
    <t>0016</t>
  </si>
  <si>
    <t>0019</t>
  </si>
  <si>
    <t>0020</t>
  </si>
  <si>
    <t>0021</t>
  </si>
  <si>
    <t>0022</t>
  </si>
  <si>
    <t>0023</t>
  </si>
  <si>
    <t>0024</t>
  </si>
  <si>
    <t>0026</t>
  </si>
  <si>
    <t>Twin Tier Power</t>
  </si>
  <si>
    <t>0027</t>
  </si>
  <si>
    <t>0028</t>
  </si>
  <si>
    <t>0029</t>
  </si>
  <si>
    <t>0030</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</si>
  <si>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</si>
  <si>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</si>
  <si>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</si>
  <si>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</si>
  <si>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</si>
  <si>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</si>
  <si>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</si>
  <si>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</si>
  <si>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</si>
  <si>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</si>
  <si>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</si>
  <si>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</si>
  <si>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</si>
  <si>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</si>
  <si>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</si>
  <si>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</si>
  <si>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</si>
  <si>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</si>
  <si>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</si>
  <si>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</si>
  <si>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</si>
  <si>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</si>
  <si>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</si>
  <si>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0056</t>
  </si>
  <si>
    <t>0058</t>
  </si>
  <si>
    <t>0059</t>
  </si>
  <si>
    <t>0060</t>
  </si>
  <si>
    <t>0061</t>
  </si>
  <si>
    <t>0062</t>
  </si>
  <si>
    <t>0063</t>
  </si>
  <si>
    <t>0064</t>
  </si>
  <si>
    <t>0065</t>
  </si>
  <si>
    <t>0067</t>
  </si>
  <si>
    <t>0068</t>
  </si>
  <si>
    <t>0070</t>
  </si>
  <si>
    <t>0071</t>
  </si>
  <si>
    <t>0072</t>
  </si>
  <si>
    <t>0073</t>
  </si>
  <si>
    <t>0074</t>
  </si>
  <si>
    <t>0075</t>
  </si>
  <si>
    <t>0076</t>
  </si>
  <si>
    <t>0077</t>
  </si>
  <si>
    <t>0078</t>
  </si>
  <si>
    <t>KeySpan Ravenswood</t>
  </si>
  <si>
    <t>0086</t>
  </si>
  <si>
    <t>0087</t>
  </si>
  <si>
    <t>0088</t>
  </si>
  <si>
    <t>0089A</t>
  </si>
  <si>
    <t>0089B</t>
  </si>
  <si>
    <t>0090</t>
  </si>
  <si>
    <t>0091</t>
  </si>
  <si>
    <t>0092</t>
  </si>
  <si>
    <t>0093</t>
  </si>
  <si>
    <t>0096</t>
  </si>
  <si>
    <t>0097</t>
  </si>
  <si>
    <t>0098</t>
  </si>
  <si>
    <t>0100</t>
  </si>
  <si>
    <t>0101</t>
  </si>
  <si>
    <t>0102</t>
  </si>
  <si>
    <t>0103</t>
  </si>
  <si>
    <t>0104</t>
  </si>
  <si>
    <t>0105</t>
  </si>
  <si>
    <t>0106</t>
  </si>
  <si>
    <t>0108</t>
  </si>
  <si>
    <t>0109</t>
  </si>
  <si>
    <t>0110</t>
  </si>
  <si>
    <t>0111</t>
  </si>
  <si>
    <t>0112</t>
  </si>
  <si>
    <t>0113</t>
  </si>
  <si>
    <t>0114</t>
  </si>
  <si>
    <t>0116</t>
  </si>
  <si>
    <t>0117</t>
  </si>
  <si>
    <t>0118</t>
  </si>
  <si>
    <t>0119</t>
  </si>
  <si>
    <t>0120</t>
  </si>
  <si>
    <t>0124</t>
  </si>
  <si>
    <t>0126</t>
  </si>
  <si>
    <t>0127</t>
  </si>
  <si>
    <t>0127A</t>
  </si>
  <si>
    <t>0130</t>
  </si>
  <si>
    <t>0137</t>
  </si>
  <si>
    <t>0140</t>
  </si>
  <si>
    <t>0141A</t>
  </si>
  <si>
    <t>0142</t>
  </si>
  <si>
    <t>0147</t>
  </si>
  <si>
    <t>0148</t>
  </si>
  <si>
    <t>0150</t>
  </si>
  <si>
    <t>0151</t>
  </si>
  <si>
    <t>0152</t>
  </si>
  <si>
    <t>0154</t>
  </si>
  <si>
    <t>0155</t>
  </si>
  <si>
    <t>0157</t>
  </si>
  <si>
    <t>0158</t>
  </si>
  <si>
    <t>0159</t>
  </si>
  <si>
    <t>0160</t>
  </si>
  <si>
    <t>0162</t>
  </si>
  <si>
    <t>Niagara Windpower</t>
  </si>
  <si>
    <t>0163</t>
  </si>
  <si>
    <t>Clipper Windpower Dev. Co. Inc.</t>
  </si>
  <si>
    <t>0164</t>
  </si>
  <si>
    <t>0165</t>
  </si>
  <si>
    <t>0166</t>
  </si>
  <si>
    <t>0167</t>
  </si>
  <si>
    <t>0168</t>
  </si>
  <si>
    <t>0169</t>
  </si>
  <si>
    <t>0170</t>
  </si>
  <si>
    <t>0176</t>
  </si>
  <si>
    <t>0178</t>
  </si>
  <si>
    <t>0179</t>
  </si>
  <si>
    <t>0180</t>
  </si>
  <si>
    <t>0180A</t>
  </si>
  <si>
    <t>0181</t>
  </si>
  <si>
    <t>0183</t>
  </si>
  <si>
    <t>0184</t>
  </si>
  <si>
    <t>0186</t>
  </si>
  <si>
    <t>0187</t>
  </si>
  <si>
    <t>0188</t>
  </si>
  <si>
    <t>0189</t>
  </si>
  <si>
    <t>0190</t>
  </si>
  <si>
    <t>0191</t>
  </si>
  <si>
    <t>0192</t>
  </si>
  <si>
    <t>0193</t>
  </si>
  <si>
    <t>0194</t>
  </si>
  <si>
    <t>0195</t>
  </si>
  <si>
    <t>0196</t>
  </si>
  <si>
    <t>0197</t>
  </si>
  <si>
    <t>0198</t>
  </si>
  <si>
    <t>0200</t>
  </si>
  <si>
    <t>0201</t>
  </si>
  <si>
    <t>0202</t>
  </si>
  <si>
    <t>0203</t>
  </si>
  <si>
    <t>0204</t>
  </si>
  <si>
    <t>0204A</t>
  </si>
  <si>
    <t>0207</t>
  </si>
  <si>
    <t>0208</t>
  </si>
  <si>
    <t>0209</t>
  </si>
  <si>
    <t>0210</t>
  </si>
  <si>
    <t>0213</t>
  </si>
  <si>
    <t>0215</t>
  </si>
  <si>
    <t>0217</t>
  </si>
  <si>
    <t>0218</t>
  </si>
  <si>
    <t>Endless Mountain Wind</t>
  </si>
  <si>
    <t>0219</t>
  </si>
  <si>
    <t>0220</t>
  </si>
  <si>
    <t>0221</t>
  </si>
  <si>
    <t>0222</t>
  </si>
  <si>
    <t>0223</t>
  </si>
  <si>
    <t>0224</t>
  </si>
  <si>
    <t>0224B</t>
  </si>
  <si>
    <t>0225A</t>
  </si>
  <si>
    <t>0225B</t>
  </si>
  <si>
    <t>0226</t>
  </si>
  <si>
    <t>East 13th, West 49th</t>
  </si>
  <si>
    <t>0227</t>
  </si>
  <si>
    <t>0227A</t>
  </si>
  <si>
    <t>0228</t>
  </si>
  <si>
    <t>0229</t>
  </si>
  <si>
    <t>0230</t>
  </si>
  <si>
    <t>0231</t>
  </si>
  <si>
    <t>0235</t>
  </si>
  <si>
    <t>0236</t>
  </si>
  <si>
    <t>0237</t>
  </si>
  <si>
    <t>Homer Hill Ð Dugan Rd. 115kV</t>
  </si>
  <si>
    <t>0238</t>
  </si>
  <si>
    <t>Lockport Ð Batavia 115kV</t>
  </si>
  <si>
    <t>0239</t>
  </si>
  <si>
    <t>Greenidge Ð Haley Rd. 115kV</t>
  </si>
  <si>
    <t>0239A</t>
  </si>
  <si>
    <t>Youngstown Ð Sanborn 34.5kV</t>
  </si>
  <si>
    <t>0240</t>
  </si>
  <si>
    <t>0241</t>
  </si>
  <si>
    <t>0242</t>
  </si>
  <si>
    <t>0243</t>
  </si>
  <si>
    <t>0244</t>
  </si>
  <si>
    <t>Oakdale Ð Fraser 345kV</t>
  </si>
  <si>
    <t>0246</t>
  </si>
  <si>
    <t>0247</t>
  </si>
  <si>
    <t>0248</t>
  </si>
  <si>
    <t>0249</t>
  </si>
  <si>
    <t>0252</t>
  </si>
  <si>
    <t>0253</t>
  </si>
  <si>
    <t>0254</t>
  </si>
  <si>
    <t>0255</t>
  </si>
  <si>
    <t>0256</t>
  </si>
  <si>
    <t>0257</t>
  </si>
  <si>
    <t>0258</t>
  </si>
  <si>
    <t>0259</t>
  </si>
  <si>
    <t>0261</t>
  </si>
  <si>
    <t>0262</t>
  </si>
  <si>
    <t>0264</t>
  </si>
  <si>
    <t>0265</t>
  </si>
  <si>
    <t>Millwood - Farragut/Rainey 345kV</t>
  </si>
  <si>
    <t>0266</t>
  </si>
  <si>
    <t>0267</t>
  </si>
  <si>
    <t>0268</t>
  </si>
  <si>
    <t>0269</t>
  </si>
  <si>
    <t>0270</t>
  </si>
  <si>
    <t>0271</t>
  </si>
  <si>
    <t>0272</t>
  </si>
  <si>
    <t>0273</t>
  </si>
  <si>
    <t>0274</t>
  </si>
  <si>
    <t>0275</t>
  </si>
  <si>
    <t>0277</t>
  </si>
  <si>
    <t>0278</t>
  </si>
  <si>
    <t>Niagara - Rochester 345kV</t>
  </si>
  <si>
    <t>0279</t>
  </si>
  <si>
    <t>0280</t>
  </si>
  <si>
    <t>0281</t>
  </si>
  <si>
    <t>0282</t>
  </si>
  <si>
    <t>0283</t>
  </si>
  <si>
    <t>0285</t>
  </si>
  <si>
    <t>0286</t>
  </si>
  <si>
    <t>0287</t>
  </si>
  <si>
    <t>0288</t>
  </si>
  <si>
    <t>0290</t>
  </si>
  <si>
    <t>Paradise Station 115kV</t>
  </si>
  <si>
    <t>0291</t>
  </si>
  <si>
    <t>0292</t>
  </si>
  <si>
    <t>0293</t>
  </si>
  <si>
    <t>0295</t>
  </si>
  <si>
    <t>0296</t>
  </si>
  <si>
    <t>0297</t>
  </si>
  <si>
    <t>0298</t>
  </si>
  <si>
    <t>0299</t>
  </si>
  <si>
    <t>0300</t>
  </si>
  <si>
    <t>0301</t>
  </si>
  <si>
    <t>0302</t>
  </si>
  <si>
    <t>0303</t>
  </si>
  <si>
    <t>0304</t>
  </si>
  <si>
    <t>0305</t>
  </si>
  <si>
    <t>0306</t>
  </si>
  <si>
    <t>0307</t>
  </si>
  <si>
    <t>0310</t>
  </si>
  <si>
    <t>0311</t>
  </si>
  <si>
    <t>0312</t>
  </si>
  <si>
    <t>0313</t>
  </si>
  <si>
    <t>Mc Intyre Substation 115 kV</t>
  </si>
  <si>
    <t>0314</t>
  </si>
  <si>
    <t>0315</t>
  </si>
  <si>
    <t>0316</t>
  </si>
  <si>
    <t>0319</t>
  </si>
  <si>
    <t>0320</t>
  </si>
  <si>
    <t>0321</t>
  </si>
  <si>
    <t>0322</t>
  </si>
  <si>
    <t>0323</t>
  </si>
  <si>
    <t>0324</t>
  </si>
  <si>
    <t>0325</t>
  </si>
  <si>
    <t>Wyoming</t>
  </si>
  <si>
    <t>0327</t>
  </si>
  <si>
    <t>Offshore Wind</t>
  </si>
  <si>
    <t>0328</t>
  </si>
  <si>
    <t>0329</t>
  </si>
  <si>
    <t>0332</t>
  </si>
  <si>
    <t>0334</t>
  </si>
  <si>
    <t>0335</t>
  </si>
  <si>
    <t>0336</t>
  </si>
  <si>
    <t>0341</t>
  </si>
  <si>
    <t>Covanta Energy</t>
  </si>
  <si>
    <t>0343</t>
  </si>
  <si>
    <t>0344</t>
  </si>
  <si>
    <t>0345</t>
  </si>
  <si>
    <t>0346</t>
  </si>
  <si>
    <t>Spier - Rotterdam</t>
  </si>
  <si>
    <t>0347</t>
  </si>
  <si>
    <t>0348</t>
  </si>
  <si>
    <t>0350</t>
  </si>
  <si>
    <t>0351</t>
  </si>
  <si>
    <t>0352</t>
  </si>
  <si>
    <t>0354</t>
  </si>
  <si>
    <t>0356</t>
  </si>
  <si>
    <t>0357</t>
  </si>
  <si>
    <t>0359</t>
  </si>
  <si>
    <t>Verizon - Project Oasis</t>
  </si>
  <si>
    <t>0360</t>
  </si>
  <si>
    <t>0362</t>
  </si>
  <si>
    <t>0364</t>
  </si>
  <si>
    <t>0365</t>
  </si>
  <si>
    <t>0366</t>
  </si>
  <si>
    <t>0367</t>
  </si>
  <si>
    <t>North Rockland Transformer</t>
  </si>
  <si>
    <t>Line Y94 345kV</t>
  </si>
  <si>
    <t>0369</t>
  </si>
  <si>
    <t>0370</t>
  </si>
  <si>
    <t>Worcester - Schenevus 23kV</t>
  </si>
  <si>
    <t>0374</t>
  </si>
  <si>
    <t>0376</t>
  </si>
  <si>
    <t>0376A</t>
  </si>
  <si>
    <t>0377</t>
  </si>
  <si>
    <t>0379</t>
  </si>
  <si>
    <t>0381</t>
  </si>
  <si>
    <t>Clipper Wind Power Development</t>
  </si>
  <si>
    <t>0382</t>
  </si>
  <si>
    <t>0384</t>
  </si>
  <si>
    <t>0385</t>
  </si>
  <si>
    <t>0388</t>
  </si>
  <si>
    <t>0389</t>
  </si>
  <si>
    <t>0391</t>
  </si>
  <si>
    <t>0392</t>
  </si>
  <si>
    <t>0398</t>
  </si>
  <si>
    <t>0399</t>
  </si>
  <si>
    <t>0400</t>
  </si>
  <si>
    <t>0402</t>
  </si>
  <si>
    <t>0404</t>
  </si>
  <si>
    <t>0405</t>
  </si>
  <si>
    <t>0406</t>
  </si>
  <si>
    <t>0407</t>
  </si>
  <si>
    <t>0408</t>
  </si>
  <si>
    <t>0409</t>
  </si>
  <si>
    <t>0410</t>
  </si>
  <si>
    <t>0411</t>
  </si>
  <si>
    <t>0412</t>
  </si>
  <si>
    <t>0413</t>
  </si>
  <si>
    <t>0414</t>
  </si>
  <si>
    <t>0415</t>
  </si>
  <si>
    <t>0416</t>
  </si>
  <si>
    <t>0417</t>
  </si>
  <si>
    <t>0418</t>
  </si>
  <si>
    <t>0419</t>
  </si>
  <si>
    <t>0420</t>
  </si>
  <si>
    <t>0423</t>
  </si>
  <si>
    <t>0424</t>
  </si>
  <si>
    <t>0425</t>
  </si>
  <si>
    <t>0426</t>
  </si>
  <si>
    <t>0427</t>
  </si>
  <si>
    <t>0428</t>
  </si>
  <si>
    <t>0433</t>
  </si>
  <si>
    <t>0434</t>
  </si>
  <si>
    <t>0435</t>
  </si>
  <si>
    <t>0436</t>
  </si>
  <si>
    <t>Riverhead - Phase 1</t>
  </si>
  <si>
    <t>0437</t>
  </si>
  <si>
    <t>0438</t>
  </si>
  <si>
    <t>0439</t>
  </si>
  <si>
    <t>0440</t>
  </si>
  <si>
    <t>0441</t>
  </si>
  <si>
    <t>0442</t>
  </si>
  <si>
    <t>0443</t>
  </si>
  <si>
    <t>0446</t>
  </si>
  <si>
    <t>0447</t>
  </si>
  <si>
    <t>0448</t>
  </si>
  <si>
    <t>0450</t>
  </si>
  <si>
    <t>0451</t>
  </si>
  <si>
    <t>0452</t>
  </si>
  <si>
    <t>0453</t>
  </si>
  <si>
    <t>0454</t>
  </si>
  <si>
    <t>0455</t>
  </si>
  <si>
    <t>0456</t>
  </si>
  <si>
    <t>0457</t>
  </si>
  <si>
    <t>0459</t>
  </si>
  <si>
    <t>0460</t>
  </si>
  <si>
    <t>0463</t>
  </si>
  <si>
    <t>0464</t>
  </si>
  <si>
    <t>0469</t>
  </si>
  <si>
    <t>0470</t>
  </si>
  <si>
    <t>0471</t>
  </si>
  <si>
    <t>0472</t>
  </si>
  <si>
    <t>0473</t>
  </si>
  <si>
    <t>0475</t>
  </si>
  <si>
    <t>0476</t>
  </si>
  <si>
    <t>0478</t>
  </si>
  <si>
    <t>Hurley Ave 345kV</t>
  </si>
  <si>
    <t>0479</t>
  </si>
  <si>
    <t>0480</t>
  </si>
  <si>
    <t>0481</t>
  </si>
  <si>
    <t>0482</t>
  </si>
  <si>
    <t>0483</t>
  </si>
  <si>
    <t>0484</t>
  </si>
  <si>
    <t>0485</t>
  </si>
  <si>
    <t>0486</t>
  </si>
  <si>
    <t>0488</t>
  </si>
  <si>
    <t>0489</t>
  </si>
  <si>
    <t>0491</t>
  </si>
  <si>
    <t>0492</t>
  </si>
  <si>
    <t>0493</t>
  </si>
  <si>
    <t>0499</t>
  </si>
  <si>
    <t>0500</t>
  </si>
  <si>
    <t>0501</t>
  </si>
  <si>
    <t>0502</t>
  </si>
  <si>
    <t>0503</t>
  </si>
  <si>
    <t>0504</t>
  </si>
  <si>
    <t>0505A</t>
  </si>
  <si>
    <t>0507</t>
  </si>
  <si>
    <t>0508</t>
  </si>
  <si>
    <t>0509</t>
  </si>
  <si>
    <t>0512</t>
  </si>
  <si>
    <t>0514</t>
  </si>
  <si>
    <t>0515</t>
  </si>
  <si>
    <t>0525</t>
  </si>
  <si>
    <t>0527</t>
  </si>
  <si>
    <t>0528</t>
  </si>
  <si>
    <t>0529</t>
  </si>
  <si>
    <t>0533</t>
  </si>
  <si>
    <t>0534</t>
  </si>
  <si>
    <t>0536</t>
  </si>
  <si>
    <t>0544</t>
  </si>
  <si>
    <t>0547</t>
  </si>
  <si>
    <t>NYPA/NYSEG/ NM-NG</t>
  </si>
  <si>
    <t>0548</t>
  </si>
  <si>
    <t>0549</t>
  </si>
  <si>
    <t>0550</t>
  </si>
  <si>
    <t>0551</t>
  </si>
  <si>
    <t>0552</t>
  </si>
  <si>
    <t>0553</t>
  </si>
  <si>
    <t>0554</t>
  </si>
  <si>
    <t>0555</t>
  </si>
  <si>
    <t>0557</t>
  </si>
  <si>
    <t>0558</t>
  </si>
  <si>
    <t>0559</t>
  </si>
  <si>
    <t>0562</t>
  </si>
  <si>
    <t>0563</t>
  </si>
  <si>
    <t>0567</t>
  </si>
  <si>
    <t>0568</t>
  </si>
  <si>
    <t>0569</t>
  </si>
  <si>
    <t>0578</t>
  </si>
  <si>
    <t>0582</t>
  </si>
  <si>
    <t>0585</t>
  </si>
  <si>
    <t>0587</t>
  </si>
  <si>
    <t>0588</t>
  </si>
  <si>
    <t>Niagara - Gardenville</t>
  </si>
  <si>
    <t>0599</t>
  </si>
  <si>
    <t>0600</t>
  </si>
  <si>
    <t>0601</t>
  </si>
  <si>
    <t>0602</t>
  </si>
  <si>
    <t>0603</t>
  </si>
  <si>
    <t>0604</t>
  </si>
  <si>
    <t>0605</t>
  </si>
  <si>
    <t>0606</t>
  </si>
  <si>
    <t>0607</t>
  </si>
  <si>
    <t>0608</t>
  </si>
  <si>
    <t>0609</t>
  </si>
  <si>
    <t>0610</t>
  </si>
  <si>
    <t>0611</t>
  </si>
  <si>
    <t>Badra Solar, LLC</t>
  </si>
  <si>
    <t>0613</t>
  </si>
  <si>
    <t>0614</t>
  </si>
  <si>
    <t>0615</t>
  </si>
  <si>
    <t>0616</t>
  </si>
  <si>
    <t>0622</t>
  </si>
  <si>
    <t>Geronimo Solar Energy, LLC</t>
  </si>
  <si>
    <t>0623</t>
  </si>
  <si>
    <t>Chenango Forks 34.5kV Substation</t>
  </si>
  <si>
    <t>0625</t>
  </si>
  <si>
    <t>0626</t>
  </si>
  <si>
    <t>0627</t>
  </si>
  <si>
    <t>0628</t>
  </si>
  <si>
    <t>Hammondsport 34.5 kV Substation</t>
  </si>
  <si>
    <t>0630</t>
  </si>
  <si>
    <t>0633</t>
  </si>
  <si>
    <t>Willet - Tarbell 34.5 kV</t>
  </si>
  <si>
    <t>0634</t>
  </si>
  <si>
    <t>0635</t>
  </si>
  <si>
    <t>0636</t>
  </si>
  <si>
    <t>0639</t>
  </si>
  <si>
    <t>0640</t>
  </si>
  <si>
    <t>0641</t>
  </si>
  <si>
    <t>0642</t>
  </si>
  <si>
    <t>0643</t>
  </si>
  <si>
    <t>0645</t>
  </si>
  <si>
    <t>0646</t>
  </si>
  <si>
    <t>0647</t>
  </si>
  <si>
    <t>0648</t>
  </si>
  <si>
    <t>0651</t>
  </si>
  <si>
    <t>0652</t>
  </si>
  <si>
    <t>0653</t>
  </si>
  <si>
    <t>0656</t>
  </si>
  <si>
    <t>0658</t>
  </si>
  <si>
    <t>0659</t>
  </si>
  <si>
    <t>0660</t>
  </si>
  <si>
    <t>0661</t>
  </si>
  <si>
    <t>0662</t>
  </si>
  <si>
    <t>0663</t>
  </si>
  <si>
    <t>0664</t>
  </si>
  <si>
    <t>0665</t>
  </si>
  <si>
    <t>0672</t>
  </si>
  <si>
    <t>0673</t>
  </si>
  <si>
    <t>0674</t>
  </si>
  <si>
    <t>Vernon Substation</t>
  </si>
  <si>
    <t>0675</t>
  </si>
  <si>
    <t>0676</t>
  </si>
  <si>
    <t>0677</t>
  </si>
  <si>
    <t>0681</t>
  </si>
  <si>
    <t>0685</t>
  </si>
  <si>
    <t>0687</t>
  </si>
  <si>
    <t>0688</t>
  </si>
  <si>
    <t>0689</t>
  </si>
  <si>
    <t>0690</t>
  </si>
  <si>
    <t>0691</t>
  </si>
  <si>
    <t>0692</t>
  </si>
  <si>
    <t>0705</t>
  </si>
  <si>
    <t>0707</t>
  </si>
  <si>
    <t>0708</t>
  </si>
  <si>
    <t>0711</t>
  </si>
  <si>
    <t>Kintigh Substation 345 kV</t>
  </si>
  <si>
    <t>0712</t>
  </si>
  <si>
    <t>0714</t>
  </si>
  <si>
    <t>0723</t>
  </si>
  <si>
    <t>0724</t>
  </si>
  <si>
    <t>0725</t>
  </si>
  <si>
    <t>0726</t>
  </si>
  <si>
    <t>0727</t>
  </si>
  <si>
    <t>0728</t>
  </si>
  <si>
    <t>0729</t>
  </si>
  <si>
    <t>0732</t>
  </si>
  <si>
    <t>0733</t>
  </si>
  <si>
    <t>0736</t>
  </si>
  <si>
    <t>0739</t>
  </si>
  <si>
    <t>0747</t>
  </si>
  <si>
    <t>0749</t>
  </si>
  <si>
    <t>0750</t>
  </si>
  <si>
    <t>0752</t>
  </si>
  <si>
    <t>0753</t>
  </si>
  <si>
    <t>0757</t>
  </si>
  <si>
    <t>0761</t>
  </si>
  <si>
    <t>Athens Energy Center</t>
  </si>
  <si>
    <t>0772</t>
  </si>
  <si>
    <t>0773</t>
  </si>
  <si>
    <t>0793</t>
  </si>
  <si>
    <t>0794</t>
  </si>
  <si>
    <t>0795</t>
  </si>
  <si>
    <t>0817</t>
  </si>
  <si>
    <t>0818</t>
  </si>
  <si>
    <t>0819</t>
  </si>
  <si>
    <t>0820</t>
  </si>
  <si>
    <t>0821</t>
  </si>
  <si>
    <t>0886</t>
  </si>
  <si>
    <t>0358</t>
  </si>
  <si>
    <t>0371</t>
  </si>
  <si>
    <t>0383</t>
  </si>
  <si>
    <t>0401</t>
  </si>
  <si>
    <t>0494</t>
  </si>
  <si>
    <t>0511</t>
  </si>
  <si>
    <t>0530</t>
  </si>
  <si>
    <t>0532</t>
  </si>
  <si>
    <t>0537</t>
  </si>
  <si>
    <t>0538</t>
  </si>
  <si>
    <t>0539</t>
  </si>
  <si>
    <t>0542</t>
  </si>
  <si>
    <t>0655</t>
  </si>
  <si>
    <t>0657</t>
  </si>
  <si>
    <t>0743</t>
  </si>
  <si>
    <t>0771</t>
  </si>
  <si>
    <t>0829</t>
  </si>
  <si>
    <t>0831</t>
  </si>
  <si>
    <t>NY-19-0002 Sheredy</t>
  </si>
  <si>
    <t>0854</t>
  </si>
  <si>
    <t>0856</t>
  </si>
  <si>
    <t>0872</t>
  </si>
  <si>
    <t>0876</t>
  </si>
  <si>
    <t>0884</t>
  </si>
  <si>
    <t>0888</t>
  </si>
  <si>
    <t>0889</t>
  </si>
  <si>
    <t>8RX Moriches</t>
  </si>
  <si>
    <t>0890</t>
  </si>
  <si>
    <t>Knapps Corners</t>
  </si>
  <si>
    <t>0891</t>
  </si>
  <si>
    <t>Baron Blvd</t>
  </si>
  <si>
    <t>0896</t>
  </si>
  <si>
    <t>0897</t>
  </si>
  <si>
    <t>0898</t>
  </si>
  <si>
    <t>A, B</t>
  </si>
  <si>
    <t>Shelby</t>
  </si>
  <si>
    <t>0338</t>
  </si>
  <si>
    <t>0349</t>
  </si>
  <si>
    <t>0361</t>
  </si>
  <si>
    <t>0363</t>
  </si>
  <si>
    <t>0372</t>
  </si>
  <si>
    <t>0386</t>
  </si>
  <si>
    <t>0387</t>
  </si>
  <si>
    <t>0393</t>
  </si>
  <si>
    <t>0396</t>
  </si>
  <si>
    <t>0396A</t>
  </si>
  <si>
    <t>0421</t>
  </si>
  <si>
    <t>14</t>
  </si>
  <si>
    <t>0422</t>
  </si>
  <si>
    <t>Line Y88 345kV</t>
  </si>
  <si>
    <t>0444</t>
  </si>
  <si>
    <t>0445</t>
  </si>
  <si>
    <t>0449</t>
  </si>
  <si>
    <t>0458</t>
  </si>
  <si>
    <t>0461</t>
  </si>
  <si>
    <t>0462</t>
  </si>
  <si>
    <t>0465</t>
  </si>
  <si>
    <t>0466</t>
  </si>
  <si>
    <t>0467</t>
  </si>
  <si>
    <t>0468</t>
  </si>
  <si>
    <t>0474</t>
  </si>
  <si>
    <t>10/2021</t>
  </si>
  <si>
    <t>0477</t>
  </si>
  <si>
    <t>0487</t>
  </si>
  <si>
    <t>0496</t>
  </si>
  <si>
    <t>0498</t>
  </si>
  <si>
    <t>0506</t>
  </si>
  <si>
    <t>0510</t>
  </si>
  <si>
    <t>0513</t>
  </si>
  <si>
    <t>0516</t>
  </si>
  <si>
    <t>0518</t>
  </si>
  <si>
    <t>0520</t>
  </si>
  <si>
    <t>0523</t>
  </si>
  <si>
    <t>0524</t>
  </si>
  <si>
    <t>0526</t>
  </si>
  <si>
    <t>0531</t>
  </si>
  <si>
    <t>0540</t>
  </si>
  <si>
    <t>0541</t>
  </si>
  <si>
    <t>0545A</t>
  </si>
  <si>
    <t>0546</t>
  </si>
  <si>
    <t>0556</t>
  </si>
  <si>
    <t>0561</t>
  </si>
  <si>
    <t>0574</t>
  </si>
  <si>
    <t>0576</t>
  </si>
  <si>
    <t>0589</t>
  </si>
  <si>
    <t>0595</t>
  </si>
  <si>
    <t>0621</t>
  </si>
  <si>
    <t>0624</t>
  </si>
  <si>
    <t>0629</t>
  </si>
  <si>
    <t>0632</t>
  </si>
  <si>
    <t>0649</t>
  </si>
  <si>
    <t>0650</t>
  </si>
  <si>
    <t>0654</t>
  </si>
  <si>
    <t>0668</t>
  </si>
  <si>
    <t>0669</t>
  </si>
  <si>
    <t>0671</t>
  </si>
  <si>
    <t>0678</t>
  </si>
  <si>
    <t>0682</t>
  </si>
  <si>
    <t>0684</t>
  </si>
  <si>
    <t>0693</t>
  </si>
  <si>
    <t>0696</t>
  </si>
  <si>
    <t>0697</t>
  </si>
  <si>
    <t>0698</t>
  </si>
  <si>
    <t>0699</t>
  </si>
  <si>
    <t>0701</t>
  </si>
  <si>
    <t>0702</t>
  </si>
  <si>
    <t>0703</t>
  </si>
  <si>
    <t>Mountain- Lockport 115kV</t>
  </si>
  <si>
    <t>0713</t>
  </si>
  <si>
    <t>0715</t>
  </si>
  <si>
    <t>0718</t>
  </si>
  <si>
    <t>0719</t>
  </si>
  <si>
    <t>Border City - Station 168 115 KV</t>
  </si>
  <si>
    <t>0722</t>
  </si>
  <si>
    <t>0731</t>
  </si>
  <si>
    <t>0738</t>
  </si>
  <si>
    <t>0741</t>
  </si>
  <si>
    <t>0742</t>
  </si>
  <si>
    <t>0746</t>
  </si>
  <si>
    <t>04/2022</t>
  </si>
  <si>
    <t>0748</t>
  </si>
  <si>
    <t>0751</t>
  </si>
  <si>
    <t>0754</t>
  </si>
  <si>
    <t>0755</t>
  </si>
  <si>
    <t>0756</t>
  </si>
  <si>
    <t>0760</t>
  </si>
  <si>
    <t>Moses-Adirondack</t>
  </si>
  <si>
    <t>0762</t>
  </si>
  <si>
    <t>Invenergy Storage Development LLC</t>
  </si>
  <si>
    <t>Riverhead Storage Energy Center</t>
  </si>
  <si>
    <t>0763</t>
  </si>
  <si>
    <t>0764</t>
  </si>
  <si>
    <t>0765</t>
  </si>
  <si>
    <t>0767</t>
  </si>
  <si>
    <t>0768</t>
  </si>
  <si>
    <t>0769</t>
  </si>
  <si>
    <t>0775</t>
  </si>
  <si>
    <t>0778</t>
  </si>
  <si>
    <t>0780</t>
  </si>
  <si>
    <t>0781</t>
  </si>
  <si>
    <t>0782</t>
  </si>
  <si>
    <t>0786</t>
  </si>
  <si>
    <t>0788</t>
  </si>
  <si>
    <t>Atlantic Shores Offshore Wind Project 3, LLC</t>
  </si>
  <si>
    <t>0791</t>
  </si>
  <si>
    <t>0802</t>
  </si>
  <si>
    <t>0803</t>
  </si>
  <si>
    <t>0808</t>
  </si>
  <si>
    <t>0809</t>
  </si>
  <si>
    <t>0812</t>
  </si>
  <si>
    <t>0813</t>
  </si>
  <si>
    <t>0814</t>
  </si>
  <si>
    <t>CWW 300 MW DUN</t>
  </si>
  <si>
    <t>0816</t>
  </si>
  <si>
    <t>0823</t>
  </si>
  <si>
    <t>0824</t>
  </si>
  <si>
    <t>0826</t>
  </si>
  <si>
    <t>0830</t>
  </si>
  <si>
    <t>0836</t>
  </si>
  <si>
    <t>0837</t>
  </si>
  <si>
    <t>0838</t>
  </si>
  <si>
    <t>0839</t>
  </si>
  <si>
    <t>Swiftsure Energy Storage</t>
  </si>
  <si>
    <t>0841</t>
  </si>
  <si>
    <t>0842</t>
  </si>
  <si>
    <t>0844</t>
  </si>
  <si>
    <t>0845</t>
  </si>
  <si>
    <t>0846</t>
  </si>
  <si>
    <t>0847</t>
  </si>
  <si>
    <t>0851</t>
  </si>
  <si>
    <t>0853</t>
  </si>
  <si>
    <t>0861</t>
  </si>
  <si>
    <t>0862</t>
  </si>
  <si>
    <t>0867</t>
  </si>
  <si>
    <t>0868</t>
  </si>
  <si>
    <t>0875</t>
  </si>
  <si>
    <t>Dunkirk - Falconer 115 kV</t>
  </si>
  <si>
    <t>0877</t>
  </si>
  <si>
    <t>0879</t>
  </si>
  <si>
    <t>0892</t>
  </si>
  <si>
    <t>0893</t>
  </si>
  <si>
    <t>0894</t>
  </si>
  <si>
    <t>CHG&amp;E</t>
  </si>
  <si>
    <t>0895</t>
  </si>
  <si>
    <t>Volney - Scriba 345 kV</t>
  </si>
  <si>
    <t>0900</t>
  </si>
  <si>
    <t>0901</t>
  </si>
  <si>
    <t>0902</t>
  </si>
  <si>
    <t>0903</t>
  </si>
  <si>
    <t>South Conduit Ave</t>
  </si>
  <si>
    <t>Liberty Ave</t>
  </si>
  <si>
    <t>0906</t>
  </si>
  <si>
    <t>Fresh Kills Substation</t>
  </si>
  <si>
    <t>Hell Gate 138kV</t>
  </si>
  <si>
    <t>0908</t>
  </si>
  <si>
    <t>0909</t>
  </si>
  <si>
    <t>PetaWatt Holdings, Inc.</t>
  </si>
  <si>
    <t>Dennison 115kV substation</t>
  </si>
  <si>
    <t>Hartley Substation 13.2kV</t>
  </si>
  <si>
    <t>0911</t>
  </si>
  <si>
    <t>0914</t>
  </si>
  <si>
    <t>0915</t>
  </si>
  <si>
    <t>0916</t>
  </si>
  <si>
    <t>0917</t>
  </si>
  <si>
    <t>0919</t>
  </si>
  <si>
    <t>0920</t>
  </si>
  <si>
    <t>0921</t>
  </si>
  <si>
    <t>Schoharie 69 kV</t>
  </si>
  <si>
    <t>0922</t>
  </si>
  <si>
    <t>0923</t>
  </si>
  <si>
    <t>0924</t>
  </si>
  <si>
    <t>0926</t>
  </si>
  <si>
    <t>Astoria 138 kV substation</t>
  </si>
  <si>
    <t>0927</t>
  </si>
  <si>
    <t>0928</t>
  </si>
  <si>
    <t>0933</t>
  </si>
  <si>
    <t>Seven Creek Energy - Squab Hollow</t>
  </si>
  <si>
    <t>0934</t>
  </si>
  <si>
    <t>0937</t>
  </si>
  <si>
    <t>0938</t>
  </si>
  <si>
    <t>0940</t>
  </si>
  <si>
    <t>Edic-Clay 345kV Line</t>
  </si>
  <si>
    <t>0946</t>
  </si>
  <si>
    <t>0947</t>
  </si>
  <si>
    <t>Cayuga Grid, LLC</t>
  </si>
  <si>
    <t>Catskill Grid, LLC</t>
  </si>
  <si>
    <t>Sugar Maple Solar, LLC</t>
  </si>
  <si>
    <t>Empire Solar, LLC</t>
  </si>
  <si>
    <t>Empire Solar</t>
  </si>
  <si>
    <t>VESI 26 LLC</t>
  </si>
  <si>
    <t>Craillo Plaza</t>
  </si>
  <si>
    <t>NGrid Rensselaer 34.5/ 13.2KV Substation</t>
  </si>
  <si>
    <t>Barrett 138 kV Substation</t>
  </si>
  <si>
    <t>SWEB Development USA, LLC</t>
  </si>
  <si>
    <t>Bethpage Battery Energy Storage System</t>
  </si>
  <si>
    <t>Brookfield Power US Asset Management LLC</t>
  </si>
  <si>
    <t>Beardslee Solar</t>
  </si>
  <si>
    <t>Crooked Lake Storage</t>
  </si>
  <si>
    <t>Mohansic 13.2kV Substation</t>
  </si>
  <si>
    <t>Berry Place Storage</t>
  </si>
  <si>
    <t>Lakeville 34.5kV substation</t>
  </si>
  <si>
    <t>Yaphank Energy Storage, LLC</t>
  </si>
  <si>
    <t>Yaphank Energy Storage</t>
  </si>
  <si>
    <t>KCE NY 5 LLC</t>
  </si>
  <si>
    <t>KCE NY 5</t>
  </si>
  <si>
    <t>LaFarge - Pleasant Valley 115kV, Feura Bush - North Catskill 115kV</t>
  </si>
  <si>
    <t>Grissom Solar, LLC</t>
  </si>
  <si>
    <t>Regan Solar, LLC</t>
  </si>
  <si>
    <t>Mechanicville 34.5 kV</t>
  </si>
  <si>
    <t>East Fishkill Transformer</t>
  </si>
  <si>
    <t>East Fishkill 345kV/115kV</t>
  </si>
  <si>
    <t>CONED/CHG&amp;E</t>
  </si>
  <si>
    <t>None</t>
  </si>
  <si>
    <t>Marble River Wind Farm</t>
  </si>
  <si>
    <t>Willis-Plattsburgh WP-1 230kV</t>
  </si>
  <si>
    <t>Marble River II Wind Farm</t>
  </si>
  <si>
    <t>Luther Forest</t>
  </si>
  <si>
    <t>Round Lake 115kV</t>
  </si>
  <si>
    <t>Hudson Transmission</t>
  </si>
  <si>
    <t>Nine Mile Point Nuclear, LLC</t>
  </si>
  <si>
    <t>Nine Mile Point Uprate</t>
  </si>
  <si>
    <t>Scriba Station 345kV</t>
  </si>
  <si>
    <t>Bayonne Energy Center, LLC</t>
  </si>
  <si>
    <t>Fulton County Landfill</t>
  </si>
  <si>
    <t>Ontario</t>
  </si>
  <si>
    <t>Stephentown Regulation Services, LLC</t>
  </si>
  <si>
    <t>Stephentown</t>
  </si>
  <si>
    <t>Stephentown 115kV</t>
  </si>
  <si>
    <t>Stony Creek Wind Farm, LLC</t>
  </si>
  <si>
    <t>Stony Creek Wind Farm</t>
  </si>
  <si>
    <t>Stolle Rd - Meyer 230kV</t>
  </si>
  <si>
    <t>Broome Energy Resources, LLC</t>
  </si>
  <si>
    <t>Nanticoke Landfill</t>
  </si>
  <si>
    <t>Nanticoke Landfill Plant 34.5kV</t>
  </si>
  <si>
    <t>Green Island Power Authority</t>
  </si>
  <si>
    <t>Green Island Power</t>
  </si>
  <si>
    <t>Maplewood - Johnson Rd 115kV</t>
  </si>
  <si>
    <t>Ramapo-Sugarloaf</t>
  </si>
  <si>
    <t>Ramapo - Sugarloaf 138kV</t>
  </si>
  <si>
    <t>Astoria Energy II, LLC</t>
  </si>
  <si>
    <t>Astoria Energy II</t>
  </si>
  <si>
    <t>NYSEG/RG&amp;E</t>
  </si>
  <si>
    <t>Rochester SVC/PST Trans.</t>
  </si>
  <si>
    <t>Station 124 115kV</t>
  </si>
  <si>
    <t>Long Island Solar Farm LLC</t>
  </si>
  <si>
    <t>Upton Solar Farms</t>
  </si>
  <si>
    <t>8ER Substation 69kV</t>
  </si>
  <si>
    <t>Long Island Power Authority</t>
  </si>
  <si>
    <t>Northport Norwalk Harbor</t>
  </si>
  <si>
    <t>Northport 138kV</t>
  </si>
  <si>
    <t>Station 6 34.5 kV</t>
  </si>
  <si>
    <t>Albany Energy, LLC</t>
  </si>
  <si>
    <t>Albany Landfill</t>
  </si>
  <si>
    <t>Chautauqua County</t>
  </si>
  <si>
    <t>Chautauqua County Landfill</t>
  </si>
  <si>
    <t>Brookfield Renewable Power</t>
  </si>
  <si>
    <t>Stewarts Bridge Hydro</t>
  </si>
  <si>
    <t>Spier Falls - EJ West 115kV</t>
  </si>
  <si>
    <t>ConEd/CenHud</t>
  </si>
  <si>
    <t>Ramapo to Rock Tavern 345 kV</t>
  </si>
  <si>
    <t>Feeder 76 Ramapo to Rock Tavern</t>
  </si>
  <si>
    <t>Coopers Corners Shunt Reactor</t>
  </si>
  <si>
    <t>Coopers Corners 345 kV</t>
  </si>
  <si>
    <t>Eagle Creek Hydro, LLC</t>
  </si>
  <si>
    <t>Eagle Creek Hydro</t>
  </si>
  <si>
    <t>Rio 69kV Switchyard</t>
  </si>
  <si>
    <t>Invenergy NY LLC</t>
  </si>
  <si>
    <t>Marsh Hill Wind</t>
  </si>
  <si>
    <t>Jasper - Marshall Warriner 34.5kV</t>
  </si>
  <si>
    <t>Marcy South Reinforcement</t>
  </si>
  <si>
    <t>Marcy/Edic-Coopers Corners 345kV</t>
  </si>
  <si>
    <t>Trail Co.</t>
  </si>
  <si>
    <t>Farmers Valley Substation</t>
  </si>
  <si>
    <t>Homer City - Stolle Rd. 345kV</t>
  </si>
  <si>
    <t>Mainesburg Substation</t>
  </si>
  <si>
    <t>Homer City - Watercure 345kV</t>
  </si>
  <si>
    <t>Jericho Rise Wind</t>
  </si>
  <si>
    <t>Greenidge Generation</t>
  </si>
  <si>
    <t>Greenidge Unit #4</t>
  </si>
  <si>
    <t>Greenidge Substation 115kV</t>
  </si>
  <si>
    <t>Marcy South Series Comp</t>
  </si>
  <si>
    <t>Western NY Reactors &amp; Capacitors</t>
  </si>
  <si>
    <t>Packard - Huntley 230kV</t>
  </si>
  <si>
    <t>Fulton</t>
  </si>
  <si>
    <t>Fay St. 34.5kV</t>
  </si>
  <si>
    <t>FS</t>
  </si>
  <si>
    <t>Bethlehem Energy Center Uprate</t>
  </si>
  <si>
    <t>Bethlehem Energy Center</t>
  </si>
  <si>
    <t>Copenhagen Wind Farm, LLC</t>
  </si>
  <si>
    <t>Copenhagen Wind</t>
  </si>
  <si>
    <t>South Perry Transformer</t>
  </si>
  <si>
    <t>South Perry Substation 115kV</t>
  </si>
  <si>
    <t>Westover Energy Storage</t>
  </si>
  <si>
    <t>Westover 115kV</t>
  </si>
  <si>
    <t>County</t>
  </si>
  <si>
    <t>State</t>
  </si>
  <si>
    <t>Bronx</t>
  </si>
  <si>
    <t>NY</t>
  </si>
  <si>
    <t>Richmond</t>
  </si>
  <si>
    <t>Kings</t>
  </si>
  <si>
    <t>Suffolk</t>
  </si>
  <si>
    <t>Orange</t>
  </si>
  <si>
    <t>Sullivan</t>
  </si>
  <si>
    <t>Queens</t>
  </si>
  <si>
    <t>Rockland</t>
  </si>
  <si>
    <t>Schenectady</t>
  </si>
  <si>
    <t>Niagara</t>
  </si>
  <si>
    <t>Saratoga</t>
  </si>
  <si>
    <t>Richmond-NJ</t>
  </si>
  <si>
    <t>Chemung-PA</t>
  </si>
  <si>
    <t>Queens-NJ</t>
  </si>
  <si>
    <t>Yates</t>
  </si>
  <si>
    <t>Chautauqua</t>
  </si>
  <si>
    <t>Madison</t>
  </si>
  <si>
    <t>Greene-Dutchess</t>
  </si>
  <si>
    <t>Livingston</t>
  </si>
  <si>
    <t>Steuben</t>
  </si>
  <si>
    <t>Ostego</t>
  </si>
  <si>
    <t>Delaware</t>
  </si>
  <si>
    <t>Clinton</t>
  </si>
  <si>
    <t>Montgomery</t>
  </si>
  <si>
    <t>Herkimer</t>
  </si>
  <si>
    <t>Franklin</t>
  </si>
  <si>
    <t>Genesee</t>
  </si>
  <si>
    <t>Jefferson</t>
  </si>
  <si>
    <t>Cattaraugus</t>
  </si>
  <si>
    <t>Onondaga</t>
  </si>
  <si>
    <t>Oneida-Orange</t>
  </si>
  <si>
    <t>Lewis</t>
  </si>
  <si>
    <t>Otsego</t>
  </si>
  <si>
    <t>Nassau</t>
  </si>
  <si>
    <t>Franklin-Clinton</t>
  </si>
  <si>
    <t>Tioga</t>
  </si>
  <si>
    <t>PA</t>
  </si>
  <si>
    <t>Tioga - Bradford</t>
  </si>
  <si>
    <t>Bradford</t>
  </si>
  <si>
    <t>Tioga - Schuyler</t>
  </si>
  <si>
    <t>Chenango</t>
  </si>
  <si>
    <t>Orleans</t>
  </si>
  <si>
    <t>Rotterdam</t>
  </si>
  <si>
    <t>Chemung</t>
  </si>
  <si>
    <t>Cattaraugus-PA</t>
  </si>
  <si>
    <t>Monroe</t>
  </si>
  <si>
    <t>Albany</t>
  </si>
  <si>
    <t>Albany-Dutchess</t>
  </si>
  <si>
    <t>Albany-Westchester</t>
  </si>
  <si>
    <t>Allagany</t>
  </si>
  <si>
    <t>Broome</t>
  </si>
  <si>
    <t>Broome-Delaware</t>
  </si>
  <si>
    <t>Broome-Onondaga</t>
  </si>
  <si>
    <t>Cayuga</t>
  </si>
  <si>
    <t>Clay</t>
  </si>
  <si>
    <t>Clinton-Ellenburg</t>
  </si>
  <si>
    <t>Columbia</t>
  </si>
  <si>
    <t>Columbia-Dutchess</t>
  </si>
  <si>
    <t>Columbia-Rensselaer</t>
  </si>
  <si>
    <t>Cortland</t>
  </si>
  <si>
    <t>Dutchess</t>
  </si>
  <si>
    <t>Elk</t>
  </si>
  <si>
    <t>Erie</t>
  </si>
  <si>
    <t>Essex</t>
  </si>
  <si>
    <t>Greene</t>
  </si>
  <si>
    <t>Greene-Westchester</t>
  </si>
  <si>
    <t>Greene-Ulster</t>
  </si>
  <si>
    <t>Hudson</t>
  </si>
  <si>
    <t>NJ</t>
  </si>
  <si>
    <t>Jefferson-Oswego</t>
  </si>
  <si>
    <t>Lansing</t>
  </si>
  <si>
    <t>Machias</t>
  </si>
  <si>
    <t>Niagara Falls</t>
  </si>
  <si>
    <t>Niagara-Erie</t>
  </si>
  <si>
    <t>NJ-Kings</t>
  </si>
  <si>
    <t>Oneida</t>
  </si>
  <si>
    <t>Oneida-Albany</t>
  </si>
  <si>
    <t>Oneida-Bronx</t>
  </si>
  <si>
    <t>Oneida-Delaware</t>
  </si>
  <si>
    <t>Oneida-Dutchess</t>
  </si>
  <si>
    <t>Onieda</t>
  </si>
  <si>
    <t>Putnam</t>
  </si>
  <si>
    <t>Quebec - NY</t>
  </si>
  <si>
    <t>Rensselaer</t>
  </si>
  <si>
    <t>Rensselaer-Dutchess</t>
  </si>
  <si>
    <t>Schoharie</t>
  </si>
  <si>
    <t>Schuyler</t>
  </si>
  <si>
    <t>St. Lawrence</t>
  </si>
  <si>
    <t>St. Lawrence-Lewis</t>
  </si>
  <si>
    <t>Steuben - Otsego</t>
  </si>
  <si>
    <t>Steuben-Allegany</t>
  </si>
  <si>
    <t>Steuben-Schuyler</t>
  </si>
  <si>
    <t>Thompkins</t>
  </si>
  <si>
    <t>Ulster</t>
  </si>
  <si>
    <t>Union</t>
  </si>
  <si>
    <t>Washington</t>
  </si>
  <si>
    <t>Wawayanda</t>
  </si>
  <si>
    <t>Wayne</t>
  </si>
  <si>
    <t>Westchester</t>
  </si>
  <si>
    <t>Westfield</t>
  </si>
  <si>
    <t>York</t>
  </si>
  <si>
    <t>Yorktown</t>
  </si>
  <si>
    <r>
      <t>NOTES:</t>
    </r>
    <r>
      <rPr>
        <sz val="8"/>
        <rFont val="Arial"/>
        <family val="2"/>
      </rPr>
      <t/>
    </r>
  </si>
  <si>
    <t>0963</t>
  </si>
  <si>
    <t>0955</t>
  </si>
  <si>
    <t>0936</t>
  </si>
  <si>
    <t>0943</t>
  </si>
  <si>
    <t>0910</t>
  </si>
  <si>
    <t>0944</t>
  </si>
  <si>
    <t>0904</t>
  </si>
  <si>
    <t>0905</t>
  </si>
  <si>
    <t>0958</t>
  </si>
  <si>
    <t>0948</t>
  </si>
  <si>
    <t>0964</t>
  </si>
  <si>
    <t>0962</t>
  </si>
  <si>
    <t>Queue Pos.</t>
  </si>
  <si>
    <t>Date of IR</t>
  </si>
  <si>
    <t>SP (MW)</t>
  </si>
  <si>
    <t>WP (MW)</t>
  </si>
  <si>
    <t>Type/ Fuel</t>
  </si>
  <si>
    <t>Interconnection Point</t>
  </si>
  <si>
    <t>Availability of Studies</t>
  </si>
  <si>
    <t>Cahatauqua</t>
  </si>
  <si>
    <t>Westchester-Queens</t>
  </si>
  <si>
    <t>0309</t>
  </si>
  <si>
    <t>Allegany</t>
  </si>
  <si>
    <t>Greene, Westchester</t>
  </si>
  <si>
    <t>NY - Suffolk</t>
  </si>
  <si>
    <t>Alb.-Col.-Dutch.</t>
  </si>
  <si>
    <t>Chenango, Madison</t>
  </si>
  <si>
    <t>Chenango - Oneida</t>
  </si>
  <si>
    <t>Station 168 34.5 kV line #704</t>
  </si>
  <si>
    <t>8LR substation 69kV</t>
  </si>
  <si>
    <t>Brookhaven - Edwards Ave 138kV</t>
  </si>
  <si>
    <t>Cicero Storage</t>
  </si>
  <si>
    <t>Mortimer - Golah 115kV</t>
  </si>
  <si>
    <t>Quebec-NY</t>
  </si>
  <si>
    <t>North Queens Substation 27kV</t>
  </si>
  <si>
    <t>Peconic - Southold 69kV</t>
  </si>
  <si>
    <t>Churchtown Substation 115 kV</t>
  </si>
  <si>
    <t>Hartley Road Substation 69kV</t>
  </si>
  <si>
    <t>Haley Road Substation 115 kV</t>
  </si>
  <si>
    <t>Far Rockaway Substation 69 kV</t>
  </si>
  <si>
    <t>Shenandoah Substation</t>
  </si>
  <si>
    <t>Goethals Substation 345kV</t>
  </si>
  <si>
    <t>Fox Hills Substation 33kV</t>
  </si>
  <si>
    <t>South Perry - Meyer 230 kV</t>
  </si>
  <si>
    <t>Caledonia - Golah 34.5 kV</t>
  </si>
  <si>
    <t>Homer City - Pierce Brook 345kV</t>
  </si>
  <si>
    <t>Moriches Substation 69kV</t>
  </si>
  <si>
    <t>Old Forge - Raquette Lake 46 kV</t>
  </si>
  <si>
    <t>South Ripley - Dunkirk 230 kV</t>
  </si>
  <si>
    <t>0968</t>
  </si>
  <si>
    <t>Gouverneur Solar Project</t>
  </si>
  <si>
    <t>0969</t>
  </si>
  <si>
    <t>Modena Energy Storage I</t>
  </si>
  <si>
    <t>0970</t>
  </si>
  <si>
    <t>Modena Energy Storage II</t>
  </si>
  <si>
    <t>East Setauket Energy Storage</t>
  </si>
  <si>
    <t>0973</t>
  </si>
  <si>
    <t>Wildwood-Riverhead Energy Storage</t>
  </si>
  <si>
    <t>KCE NY 19 LLC</t>
  </si>
  <si>
    <t>KCE NY 19</t>
  </si>
  <si>
    <t>0975</t>
  </si>
  <si>
    <t>0976</t>
  </si>
  <si>
    <t>Esopus Valley Storage</t>
  </si>
  <si>
    <t>Hurley Ave 34.5kV Substation</t>
  </si>
  <si>
    <t>0977</t>
  </si>
  <si>
    <t>0978</t>
  </si>
  <si>
    <t>Hydroelectric Corporation</t>
  </si>
  <si>
    <t>North Country Data Center</t>
  </si>
  <si>
    <t>0980</t>
  </si>
  <si>
    <t>Heritage Storage</t>
  </si>
  <si>
    <t>Erie 34.5kV Substation</t>
  </si>
  <si>
    <t>0981</t>
  </si>
  <si>
    <t>Oblong Storage</t>
  </si>
  <si>
    <t>Pawling 46kV Substation</t>
  </si>
  <si>
    <t>West Babylon Power Station Battery Energy Storage System</t>
  </si>
  <si>
    <t>0983</t>
  </si>
  <si>
    <t>Winter Drive Energy Storage</t>
  </si>
  <si>
    <t>Lancaster</t>
  </si>
  <si>
    <t>Erie Street Substation -34.5kV</t>
  </si>
  <si>
    <t>0984</t>
  </si>
  <si>
    <t>Empire Energy Storage</t>
  </si>
  <si>
    <t>0985</t>
  </si>
  <si>
    <t>Bristol Energy Storage</t>
  </si>
  <si>
    <t>0986</t>
  </si>
  <si>
    <t>Pawling Energy Storage</t>
  </si>
  <si>
    <t>Bay State Wind</t>
  </si>
  <si>
    <t>0988</t>
  </si>
  <si>
    <t>Lancaster BESS</t>
  </si>
  <si>
    <t>0989</t>
  </si>
  <si>
    <t>Pawling BESS</t>
  </si>
  <si>
    <t>0990</t>
  </si>
  <si>
    <t>Mohansic BESS</t>
  </si>
  <si>
    <t>Westchester County</t>
  </si>
  <si>
    <t>The 13.2 kV 403 (1106340) line from Mohansic Substation running along Baldwin Rd</t>
  </si>
  <si>
    <t>0991</t>
  </si>
  <si>
    <t>Bristol BESS</t>
  </si>
  <si>
    <t>0992</t>
  </si>
  <si>
    <t>KCE NY 25, LLC</t>
  </si>
  <si>
    <t>KCE NY 25</t>
  </si>
  <si>
    <t>0993</t>
  </si>
  <si>
    <t>VESI 30 LLC</t>
  </si>
  <si>
    <t>Lighthouse Hill - Black River 115kV</t>
  </si>
  <si>
    <t>1/31/20</t>
  </si>
  <si>
    <t>William Floyd - Brookhaven 69kV</t>
  </si>
  <si>
    <t>North Gouverneur - Battle Hill 115kV</t>
  </si>
  <si>
    <t>Modena Substation</t>
  </si>
  <si>
    <t>Middleburg Tap - Middleburg 69kV</t>
  </si>
  <si>
    <t>Wildwood-Riverhead 138 kV</t>
  </si>
  <si>
    <t>Pawling - Haviland Hollow 46kV</t>
  </si>
  <si>
    <t>Middletown Station</t>
  </si>
  <si>
    <t>Athens Gen Co./ PG&amp;E</t>
  </si>
  <si>
    <t>Athens Gen</t>
  </si>
  <si>
    <t>Leeds-Pl.Val. 91 Line</t>
  </si>
  <si>
    <t>PSEG Power NY</t>
  </si>
  <si>
    <t>Albany 115kV</t>
  </si>
  <si>
    <t>CT-LI DC Tie-line</t>
  </si>
  <si>
    <t>SRIS,CY01</t>
  </si>
  <si>
    <t>East Coast Power-Linden Venture LP</t>
  </si>
  <si>
    <t>East Coast Power-Linden</t>
  </si>
  <si>
    <t>0012</t>
  </si>
  <si>
    <t>Linden Plant Improvement</t>
  </si>
  <si>
    <t>0014</t>
  </si>
  <si>
    <t>East Coast Power Linden</t>
  </si>
  <si>
    <t>SRIS,CY01,CY02</t>
  </si>
  <si>
    <t>Poletti Expansion</t>
  </si>
  <si>
    <t>SRIS, CY01</t>
  </si>
  <si>
    <t>Consolidated Edison of NY</t>
  </si>
  <si>
    <t>East River Repowering</t>
  </si>
  <si>
    <t>E. 13th St. 138kV</t>
  </si>
  <si>
    <t>SCS Energy, LLC</t>
  </si>
  <si>
    <t>Part I/S</t>
  </si>
  <si>
    <t>Canastota Wind Power, LLC</t>
  </si>
  <si>
    <t>Fenner Wind Energy Fac.</t>
  </si>
  <si>
    <t>Fenner-Whitman</t>
  </si>
  <si>
    <t>SRIS,CY02</t>
  </si>
  <si>
    <t>TransEnergie HQ</t>
  </si>
  <si>
    <t>Langlois Converter</t>
  </si>
  <si>
    <t>Langlois, Quebec</t>
  </si>
  <si>
    <t>Empire Generating Co., LLC</t>
  </si>
  <si>
    <t>Empire Generating</t>
  </si>
  <si>
    <t>Reynolds Road 345kV</t>
  </si>
  <si>
    <t>SRIS, CY05</t>
  </si>
  <si>
    <t>Harlem River Yards</t>
  </si>
  <si>
    <t>Hell Gate Substation</t>
  </si>
  <si>
    <t>Hell Gate</t>
  </si>
  <si>
    <t>Vernon Blvd</t>
  </si>
  <si>
    <t>N First St and Grand Ave</t>
  </si>
  <si>
    <t>Vernon-Greenwood line</t>
  </si>
  <si>
    <t>23rd St and 3rd Ave</t>
  </si>
  <si>
    <t>Fox Hills</t>
  </si>
  <si>
    <t>Fox Hills Substation</t>
  </si>
  <si>
    <t>Brentwood</t>
  </si>
  <si>
    <t>Project Neptune DC PJM-LI</t>
  </si>
  <si>
    <t>KeySpan Energy Development Corp.</t>
  </si>
  <si>
    <t>Glenwood Gas Plant</t>
  </si>
  <si>
    <t>Glenwood 69 kV</t>
  </si>
  <si>
    <t>Rock Tavern Transformer</t>
  </si>
  <si>
    <t>Rock Tavern</t>
  </si>
  <si>
    <t>Caithness Long Island, LLC</t>
  </si>
  <si>
    <t>Caithness Long Island</t>
  </si>
  <si>
    <t>Brookhaven-Holbrook or H'ville 138kV</t>
  </si>
  <si>
    <t>SRIS, CY06</t>
  </si>
  <si>
    <t>Holtsville Emergency Gen</t>
  </si>
  <si>
    <t>Holtsville</t>
  </si>
  <si>
    <t>Shoreham Emergency Gen</t>
  </si>
  <si>
    <t>Wading River Emergency Gen</t>
  </si>
  <si>
    <t>Linden VFT Inter-Tie</t>
  </si>
  <si>
    <t>Canandaigua Wind Farm</t>
  </si>
  <si>
    <t>Avoca 230kV line</t>
  </si>
  <si>
    <t>Rochester Transmission</t>
  </si>
  <si>
    <t>RG&amp;E System</t>
  </si>
  <si>
    <t>Entergy Nuclear Operations, Inc.</t>
  </si>
  <si>
    <t>Indian Point 2 Uprate</t>
  </si>
  <si>
    <t>Indian Point 3 Uprate</t>
  </si>
  <si>
    <t>Flat Rock Wind Power, LLC</t>
  </si>
  <si>
    <t>Flat Rock Wind Power</t>
  </si>
  <si>
    <t>Adirondack-Porter 230kV</t>
  </si>
  <si>
    <t>Constellation</t>
  </si>
  <si>
    <t>Ginna Uprate Project</t>
  </si>
  <si>
    <t>Ginna-115kV</t>
  </si>
  <si>
    <t>Sheldon Energy, LLC</t>
  </si>
  <si>
    <t>High Sheldon Windfarm</t>
  </si>
  <si>
    <t>Stolle Rd-Meyer 230kV</t>
  </si>
  <si>
    <t>SRIS, CY06,CY07</t>
  </si>
  <si>
    <t>LIPA Summer Mobile Gens</t>
  </si>
  <si>
    <t>Holtsville and Shoreham 138kV</t>
  </si>
  <si>
    <t>Mott Haven Substation</t>
  </si>
  <si>
    <t>Dunwoodie-Rainey lines</t>
  </si>
  <si>
    <t>LIPA Wading River Em Gen</t>
  </si>
  <si>
    <t>Sprain Brook-Sherman Creek</t>
  </si>
  <si>
    <t>I, J</t>
  </si>
  <si>
    <t>Sprain Brook &amp; Sherman Creek</t>
  </si>
  <si>
    <t>Hardscrabble Wind Power, LLC</t>
  </si>
  <si>
    <t>Fairfield Wind Project</t>
  </si>
  <si>
    <t>Valley-Inghams 115kV</t>
  </si>
  <si>
    <t>Innovative Energy Systems Inc.</t>
  </si>
  <si>
    <t>DANC</t>
  </si>
  <si>
    <t>Flat Rock Windpower, LLC</t>
  </si>
  <si>
    <t>Flat Rock Windpower</t>
  </si>
  <si>
    <t>Lowville-Boonville</t>
  </si>
  <si>
    <t>0057</t>
  </si>
  <si>
    <t>Flat Rock Wind Power 230 kV</t>
  </si>
  <si>
    <t>Adirondack-Porter line</t>
  </si>
  <si>
    <t>Empire Connection</t>
  </si>
  <si>
    <t>New Scotland / ConEd</t>
  </si>
  <si>
    <t>NM-NG/CONED</t>
  </si>
  <si>
    <t>Green Power Energy, LLC</t>
  </si>
  <si>
    <t>Cody Road Wind Farm</t>
  </si>
  <si>
    <t>Oneida-Cortland line</t>
  </si>
  <si>
    <t>Airtricity Developments, LLC</t>
  </si>
  <si>
    <t>Munnsville Windpower</t>
  </si>
  <si>
    <t>NYSEG Ckt 806</t>
  </si>
  <si>
    <t>PJM-Barrett HVDC</t>
  </si>
  <si>
    <t>Barrett 138 kV</t>
  </si>
  <si>
    <t>0131</t>
  </si>
  <si>
    <t>0132</t>
  </si>
  <si>
    <t>0134</t>
  </si>
  <si>
    <t>0128</t>
  </si>
  <si>
    <t>0129</t>
  </si>
  <si>
    <t>Clinton Windfield</t>
  </si>
  <si>
    <t>Bliss Windfield</t>
  </si>
  <si>
    <t>Altona Windfield</t>
  </si>
  <si>
    <t>Ellenburg Windfield</t>
  </si>
  <si>
    <t>Noble Wethersfield Windpark, LLC</t>
  </si>
  <si>
    <t>Wethersfield 230kV</t>
  </si>
  <si>
    <t>Stolle-Meyer 230kV</t>
  </si>
  <si>
    <t>FES,SRIS,CY07</t>
  </si>
  <si>
    <t>Howard Wind, LLC</t>
  </si>
  <si>
    <t>Howard Wind</t>
  </si>
  <si>
    <t>FES, SRIS, CY07</t>
  </si>
  <si>
    <t>Blenheim Gilboa Storage</t>
  </si>
  <si>
    <t>Valenti Rd., Gilboa 345kV</t>
  </si>
  <si>
    <t>Canandaigua II</t>
  </si>
  <si>
    <t>Meyer - Avoca 230kV</t>
  </si>
  <si>
    <t>SRIS, CY07</t>
  </si>
  <si>
    <t>Innovative Energy Systems</t>
  </si>
  <si>
    <t>Seneca Energy Expansion</t>
  </si>
  <si>
    <t>Minnesota Methane, LLC</t>
  </si>
  <si>
    <t>MM Albany Landfill</t>
  </si>
  <si>
    <t>Clinton II Windfield</t>
  </si>
  <si>
    <t>Bliss II Windfield</t>
  </si>
  <si>
    <t>Noble Chateaugay Windpark, LLC</t>
  </si>
  <si>
    <t>Chateaugay Windpark</t>
  </si>
  <si>
    <t>New Athens Generating Co., LLC</t>
  </si>
  <si>
    <t>Athens SPS Project</t>
  </si>
  <si>
    <t>Athens - Millwood</t>
  </si>
  <si>
    <t>Bio-Energy Partners</t>
  </si>
  <si>
    <t>High Acres Landfill</t>
  </si>
  <si>
    <t>Ithaca Transmission</t>
  </si>
  <si>
    <t>Oakdale - Lafayette 345kV</t>
  </si>
  <si>
    <t>FES, SRIS, CY09</t>
  </si>
  <si>
    <t>Erie Boulevard Hydro Power, LP</t>
  </si>
  <si>
    <t>Sherman Island Uprate</t>
  </si>
  <si>
    <t>Spier - Queensbury 115kV</t>
  </si>
  <si>
    <t>SRIS,CY08</t>
  </si>
  <si>
    <t>Steel Winds, LLC</t>
  </si>
  <si>
    <t>Steel Winds II</t>
  </si>
  <si>
    <t>Substation 11A 115kV</t>
  </si>
  <si>
    <t>SRIS, CY08</t>
  </si>
  <si>
    <t>Chautauqua Landfill</t>
  </si>
  <si>
    <t>FES,SIS,FS</t>
  </si>
  <si>
    <t>FES,SIS,CY09</t>
  </si>
  <si>
    <t>FES,FS</t>
  </si>
  <si>
    <t>SIS,CY10</t>
  </si>
  <si>
    <t>FES, SRIS, CY10</t>
  </si>
  <si>
    <t>Luther Forest Transmission</t>
  </si>
  <si>
    <t>Ngrid 115kV</t>
  </si>
  <si>
    <t>Corning Valley Trans.</t>
  </si>
  <si>
    <t>Avoca and Hillside 230kV</t>
  </si>
  <si>
    <t>CPV Valley Energy Center</t>
  </si>
  <si>
    <t>CityGreen Transmission Inc.</t>
  </si>
  <si>
    <t>CityGreen AC</t>
  </si>
  <si>
    <t>Millwood 345kV - Farragut/Rainey</t>
  </si>
  <si>
    <t>9/30/09</t>
  </si>
  <si>
    <t xml:space="preserve">Wsch'r/Bkln/Qns </t>
  </si>
  <si>
    <t>0317</t>
  </si>
  <si>
    <t>Northeast NY Reinforcement</t>
  </si>
  <si>
    <t>NGrid 230kV</t>
  </si>
  <si>
    <t>Western NY Reinforcement</t>
  </si>
  <si>
    <t>NGrid 115kV</t>
  </si>
  <si>
    <t>34.5 kV</t>
  </si>
  <si>
    <t>KCE NY 22, LLC</t>
  </si>
  <si>
    <t>KCE NY 22</t>
  </si>
  <si>
    <t>Alabama Solar Park LLC</t>
  </si>
  <si>
    <t>0996</t>
  </si>
  <si>
    <t>East Otto Solar Project</t>
  </si>
  <si>
    <t>Line 803 near Snake Run Road</t>
  </si>
  <si>
    <t xml:space="preserve">Station 146 34.5kV </t>
  </si>
  <si>
    <t>Sithe Independence 345kV</t>
  </si>
  <si>
    <t>0997</t>
  </si>
  <si>
    <t>212 Solar Development, LLC</t>
  </si>
  <si>
    <t>187 Finchville Turnpike, Mount Hope</t>
  </si>
  <si>
    <t>0998</t>
  </si>
  <si>
    <t>0 Highland Lake Rd - Wallkill</t>
  </si>
  <si>
    <t>0999</t>
  </si>
  <si>
    <t>Suffolk BESS</t>
  </si>
  <si>
    <t>1001</t>
  </si>
  <si>
    <t>Empire State Connector LLC</t>
  </si>
  <si>
    <t>Sayreville Station 345kV</t>
  </si>
  <si>
    <t>Old Forge-Raquette Lake 46 kV</t>
  </si>
  <si>
    <t>Station 55 34.5kV</t>
  </si>
  <si>
    <t>34.5kV line</t>
  </si>
  <si>
    <t xml:space="preserve">46kV line </t>
  </si>
  <si>
    <t>Cemetery Rd - Erie St 34.5 kV</t>
  </si>
  <si>
    <t>S Bristol-State Rt 28 34.5 kV</t>
  </si>
  <si>
    <t>Pawling-Corbin Rd 46 kV</t>
  </si>
  <si>
    <t>Dutchess BESS</t>
  </si>
  <si>
    <t>Webster BESS</t>
  </si>
  <si>
    <t>Highview Solar</t>
  </si>
  <si>
    <t>Livonia BESS</t>
  </si>
  <si>
    <t>Webb BESS</t>
  </si>
  <si>
    <t>Southold BESS</t>
  </si>
  <si>
    <t>EI Oceanside 2</t>
  </si>
  <si>
    <t>EI Oceanside</t>
  </si>
  <si>
    <t>1002</t>
  </si>
  <si>
    <t>2143 Mount Hope Road</t>
  </si>
  <si>
    <t>Oriden LLC</t>
  </si>
  <si>
    <t>Clear View Solar</t>
  </si>
  <si>
    <t>Renewable Energy Aggregators, Inc.</t>
  </si>
  <si>
    <t>Mifflin</t>
  </si>
  <si>
    <t>1005</t>
  </si>
  <si>
    <t>East End Energy Storage Center</t>
  </si>
  <si>
    <t>Edwards Ave. 138 kV Substation</t>
  </si>
  <si>
    <t>1006</t>
  </si>
  <si>
    <t>NYC Energy BNY Phase 1</t>
  </si>
  <si>
    <t>NYC Energy LLC - Phase 2</t>
  </si>
  <si>
    <t>KCE NY 26, LLC</t>
  </si>
  <si>
    <t>KCE NY 26</t>
  </si>
  <si>
    <t>Yellow Barn Solar</t>
  </si>
  <si>
    <t>Tompkins</t>
  </si>
  <si>
    <t>Vineyard Wind I</t>
  </si>
  <si>
    <t>Vineyard Wind II</t>
  </si>
  <si>
    <t>Branscomb Solar</t>
  </si>
  <si>
    <t>Corona 4kV</t>
  </si>
  <si>
    <t>Cuddleback - Shoemaker 69kV</t>
  </si>
  <si>
    <t>Cuddleback - Shoemaker</t>
  </si>
  <si>
    <t>Hudson Ave Substation</t>
  </si>
  <si>
    <t>IS</t>
  </si>
  <si>
    <t>Orange County</t>
  </si>
  <si>
    <t>Athens</t>
  </si>
  <si>
    <t>NY-NJ</t>
  </si>
  <si>
    <t>NY - Bergen</t>
  </si>
  <si>
    <t>Greene-W.Chester</t>
  </si>
  <si>
    <t>Warren</t>
  </si>
  <si>
    <t>Montgomary</t>
  </si>
  <si>
    <t>Orange/Rockland</t>
  </si>
  <si>
    <t>Orange, Rockland</t>
  </si>
  <si>
    <t>Oneida-Sullivan</t>
  </si>
  <si>
    <t>NY-PA</t>
  </si>
  <si>
    <t>Dolan Solar</t>
  </si>
  <si>
    <t>1013</t>
  </si>
  <si>
    <t>1014</t>
  </si>
  <si>
    <t>Suffolk County Energy Storage II</t>
  </si>
  <si>
    <t>Suffolk County Storage II</t>
  </si>
  <si>
    <t>Barrett Ridge Energy - PARs</t>
  </si>
  <si>
    <t>ConnectGEN Chautauqua County LLC</t>
  </si>
  <si>
    <t>South Ripley BESS</t>
  </si>
  <si>
    <t>South Ripley 230kV substation</t>
  </si>
  <si>
    <t>Somers Solar, LLC</t>
  </si>
  <si>
    <t>EI Steinway 1</t>
  </si>
  <si>
    <t>EI Steinway 2</t>
  </si>
  <si>
    <t>Astoria East 138 kV</t>
  </si>
  <si>
    <t>Stone Mill Solar</t>
  </si>
  <si>
    <t>Marshville Solar</t>
  </si>
  <si>
    <t>EI Fort Salonga</t>
  </si>
  <si>
    <t>Northport 138 kV</t>
  </si>
  <si>
    <t>EI East Shoreham</t>
  </si>
  <si>
    <t>Shoreham 138 kV</t>
  </si>
  <si>
    <t>EI Glenwood Landing</t>
  </si>
  <si>
    <t>Shore Road 345 kV</t>
  </si>
  <si>
    <t>West Babylon - Lindenhurst 69kV</t>
  </si>
  <si>
    <t>Port Jefferson 69 kV Substation</t>
  </si>
  <si>
    <t>Oneida - Rome 115kV</t>
  </si>
  <si>
    <t>1024</t>
  </si>
  <si>
    <t>1025</t>
  </si>
  <si>
    <t>1026</t>
  </si>
  <si>
    <t>1028</t>
  </si>
  <si>
    <t>1030</t>
  </si>
  <si>
    <t>KCE NY 27</t>
  </si>
  <si>
    <t>KCE NY 27, LLC</t>
  </si>
  <si>
    <t>Cuomo Hydro 1</t>
  </si>
  <si>
    <t>Cuomo Hydro 2</t>
  </si>
  <si>
    <t>Knickerbocker Solar</t>
  </si>
  <si>
    <t>Raquette Lake Energy Storage</t>
  </si>
  <si>
    <t>Half Moon Solar</t>
  </si>
  <si>
    <t>NY109 Solar</t>
  </si>
  <si>
    <t>Inghams - Rotterdam 115kV</t>
  </si>
  <si>
    <t>Cobleskill - Marshville 69kV</t>
  </si>
  <si>
    <t>1032</t>
  </si>
  <si>
    <t>1033</t>
  </si>
  <si>
    <t>1034</t>
  </si>
  <si>
    <t>Bonny Hill Solar</t>
  </si>
  <si>
    <t>Excelsior Reserve Energy</t>
  </si>
  <si>
    <t>Boralex US Development</t>
  </si>
  <si>
    <t>ConnectGen Montgomery County LLC</t>
  </si>
  <si>
    <t>Mill Point Solar</t>
  </si>
  <si>
    <t>129 Round Hill Road</t>
  </si>
  <si>
    <t>E Main Street, Wallkill</t>
  </si>
  <si>
    <t>30-35-90 Zwart Ln - Walden</t>
  </si>
  <si>
    <t>NY08 Solar</t>
  </si>
  <si>
    <t>Juno Power Management LLC</t>
  </si>
  <si>
    <t>Mainesburg ESS</t>
  </si>
  <si>
    <t>ELP Rotterdam Solar LLC</t>
  </si>
  <si>
    <t>ELP Rotterdam Solar</t>
  </si>
  <si>
    <t>Fort Edward Solar Farm (NY53)</t>
  </si>
  <si>
    <t>Hamilton</t>
  </si>
  <si>
    <t>Millwood 345kV Substation</t>
  </si>
  <si>
    <t>Marcy - New Scotland 345kV</t>
  </si>
  <si>
    <t>Blooming Grove substation</t>
  </si>
  <si>
    <t>Shoemaker - E Wallkill line</t>
  </si>
  <si>
    <t>CHG&amp;E WM Line</t>
  </si>
  <si>
    <t>Bath - Bath Muni 34.5 kV</t>
  </si>
  <si>
    <t>Moses - Adirondack 230 kV</t>
  </si>
  <si>
    <t>Mohican - Battenkill 115kV</t>
  </si>
  <si>
    <t>1044</t>
  </si>
  <si>
    <t>1053</t>
  </si>
  <si>
    <t>1054</t>
  </si>
  <si>
    <t>1057</t>
  </si>
  <si>
    <t>1060</t>
  </si>
  <si>
    <t>1062</t>
  </si>
  <si>
    <t>1063</t>
  </si>
  <si>
    <t>1064</t>
  </si>
  <si>
    <t>1065</t>
  </si>
  <si>
    <t>Delaware River Solar</t>
  </si>
  <si>
    <t>Broadway Road</t>
  </si>
  <si>
    <t>Barrett Energy Storage Center</t>
  </si>
  <si>
    <t>Millers Grove Solar</t>
  </si>
  <si>
    <t>Declaration Energy Center, LLC</t>
  </si>
  <si>
    <t>Declaration Energy Center</t>
  </si>
  <si>
    <t>Clean Energy Generation, LLC</t>
  </si>
  <si>
    <t>Holbrook Energy Center</t>
  </si>
  <si>
    <t>Holtsville Energy Center</t>
  </si>
  <si>
    <t>SED NY Holding LLC</t>
  </si>
  <si>
    <t>Madison Solar</t>
  </si>
  <si>
    <t>Con Edison Gowanus Substation</t>
  </si>
  <si>
    <t>Birdie Energy Storage, LLC</t>
  </si>
  <si>
    <t>Birdie Energy Storage</t>
  </si>
  <si>
    <t>Elmsford 138 kV Substation</t>
  </si>
  <si>
    <t>SWEB Development USA LLC</t>
  </si>
  <si>
    <t>NY Wind - New Bridge Road</t>
  </si>
  <si>
    <t>New Bridge Road 138kV</t>
  </si>
  <si>
    <t>NY Wind - Pilgrim</t>
  </si>
  <si>
    <t>Jaton</t>
  </si>
  <si>
    <t>AES DE DEVCO NC LLC</t>
  </si>
  <si>
    <t>Delight Farm</t>
  </si>
  <si>
    <t>Teele</t>
  </si>
  <si>
    <t>Morrow Farms LLC</t>
  </si>
  <si>
    <t>K. High</t>
  </si>
  <si>
    <t>Hance Road</t>
  </si>
  <si>
    <t>NY Wind - Mott Haven</t>
  </si>
  <si>
    <t>Chateaugay - Willis 115kV</t>
  </si>
  <si>
    <t>Suffolk BESS LLC</t>
  </si>
  <si>
    <t>1067</t>
  </si>
  <si>
    <t>1069</t>
  </si>
  <si>
    <t>1070</t>
  </si>
  <si>
    <t>1071</t>
  </si>
  <si>
    <t>1072</t>
  </si>
  <si>
    <t>1073</t>
  </si>
  <si>
    <t>1074</t>
  </si>
  <si>
    <t>1075</t>
  </si>
  <si>
    <t>1076</t>
  </si>
  <si>
    <t>1078</t>
  </si>
  <si>
    <t>1082</t>
  </si>
  <si>
    <t>1083</t>
  </si>
  <si>
    <t>1087</t>
  </si>
  <si>
    <t>Viridity Energy Solutions, Inc.</t>
  </si>
  <si>
    <t>Hudson Valley Storage</t>
  </si>
  <si>
    <t>Buchanan Point BESS</t>
  </si>
  <si>
    <t>Richardson Solar</t>
  </si>
  <si>
    <t>311 Douglas Road</t>
  </si>
  <si>
    <t>Katrina Falls</t>
  </si>
  <si>
    <t>Route 318</t>
  </si>
  <si>
    <t>Forrence Orchards</t>
  </si>
  <si>
    <t>Honey Ridge Solar 1</t>
  </si>
  <si>
    <t>Honey Ridge Solar</t>
  </si>
  <si>
    <t>Moss Ridge Solar 1</t>
  </si>
  <si>
    <t>Moss Ridge Solar</t>
  </si>
  <si>
    <t>Minisink Valley Solar 1, LLC</t>
  </si>
  <si>
    <t>Minisink Valley Solar</t>
  </si>
  <si>
    <t>Rutland Center Solar 1, LLC</t>
  </si>
  <si>
    <t>Rutland Center Solar</t>
  </si>
  <si>
    <t>Milliken 115 kV</t>
  </si>
  <si>
    <t>Kintigh 345 kV</t>
  </si>
  <si>
    <t>Mineral Basin Solar Power</t>
  </si>
  <si>
    <t>Clearfield</t>
  </si>
  <si>
    <t>KCE NY 28, LLC</t>
  </si>
  <si>
    <t>KCE NY 28</t>
  </si>
  <si>
    <t>CDG Owego 2</t>
  </si>
  <si>
    <t>CDG Owego 2, LLC</t>
  </si>
  <si>
    <t>Line 513 - 34.5KV</t>
  </si>
  <si>
    <t>Tremont BESS</t>
  </si>
  <si>
    <t>EGC BESS</t>
  </si>
  <si>
    <t>Oyster Shore BESS</t>
  </si>
  <si>
    <t>Buchanan Point BESS II</t>
  </si>
  <si>
    <t>Stony Ridge - Sullivan Park 115 kV</t>
  </si>
  <si>
    <t xml:space="preserve">E Kingston Substation </t>
  </si>
  <si>
    <t xml:space="preserve">Colton - Battle Hill, 115 kV </t>
  </si>
  <si>
    <t>Coopers Corners-Rock Tavern 345kV</t>
  </si>
  <si>
    <t>9/30/20</t>
  </si>
  <si>
    <t>1091</t>
  </si>
  <si>
    <t>1093</t>
  </si>
  <si>
    <t>1094</t>
  </si>
  <si>
    <t>1095</t>
  </si>
  <si>
    <t>1097</t>
  </si>
  <si>
    <t>1099</t>
  </si>
  <si>
    <t>1100</t>
  </si>
  <si>
    <t>ConnectGen Cayuga County LLC</t>
  </si>
  <si>
    <t>Wright Avenue - Cayuga 115kV</t>
  </si>
  <si>
    <t>ELP Middleburgh Solar LLC</t>
  </si>
  <si>
    <t>ELP Middleburgh Solar</t>
  </si>
  <si>
    <t>Con Edison Transmission, Inc.</t>
  </si>
  <si>
    <t>115kV Line Brady to Alcoa (5.82miles from Brady, 13.9 miles from Alcoa)</t>
  </si>
  <si>
    <t>Northland Power U.S. Projects</t>
  </si>
  <si>
    <t>Chautauqua Solar</t>
  </si>
  <si>
    <t>Hicksville Storage</t>
  </si>
  <si>
    <t>Chatauqua</t>
  </si>
  <si>
    <t>Brownfield Group, LLC</t>
  </si>
  <si>
    <t>Marcy - Rainey 345 kV</t>
  </si>
  <si>
    <t>Flat Creek Solar</t>
  </si>
  <si>
    <t>Westmorland Solar</t>
  </si>
  <si>
    <t>Hampton Corners Solar</t>
  </si>
  <si>
    <t>Chase Mills Solar</t>
  </si>
  <si>
    <t>Kingbird Solar</t>
  </si>
  <si>
    <t>Canal Solar</t>
  </si>
  <si>
    <t>Marcy - Rainey 345kV</t>
  </si>
  <si>
    <t>Attica - Darien Lake 34.5kV</t>
  </si>
  <si>
    <t xml:space="preserve">Bouckville Substation 46kV </t>
  </si>
  <si>
    <t>Hallock Hill - Kents Falls 115kV</t>
  </si>
  <si>
    <t xml:space="preserve">Hook Road - Elbridge 115 kV </t>
  </si>
  <si>
    <t>Ogdensburg - McIntyre115 kV</t>
  </si>
  <si>
    <t>Union Springs - Aurora 34.5 kV</t>
  </si>
  <si>
    <t>Station 218 - Station 181 34.5kV</t>
  </si>
  <si>
    <t>Dysinger - New Rochester 345kV</t>
  </si>
  <si>
    <t>Middleburgh - Cobleskill 115kV</t>
  </si>
  <si>
    <t>1101</t>
  </si>
  <si>
    <t>1104</t>
  </si>
  <si>
    <t>1106</t>
  </si>
  <si>
    <t>1107</t>
  </si>
  <si>
    <t>1110</t>
  </si>
  <si>
    <t>1111</t>
  </si>
  <si>
    <t>Chestertown BESS</t>
  </si>
  <si>
    <t>SWEB Development USA</t>
  </si>
  <si>
    <t>Troupsburg Solar</t>
  </si>
  <si>
    <t>Cypress Creek Renewables, LLC</t>
  </si>
  <si>
    <t>Thousand Island Solar</t>
  </si>
  <si>
    <t>Brockport BESS</t>
  </si>
  <si>
    <t>Allegany 2 Battery</t>
  </si>
  <si>
    <t>Buchanan Point BESS III</t>
  </si>
  <si>
    <t>Hurley BESS</t>
  </si>
  <si>
    <t>Kingston BESS</t>
  </si>
  <si>
    <t>Chestertown-Warrensburg #6</t>
  </si>
  <si>
    <t>Andover - Palmeter 115 kV line</t>
  </si>
  <si>
    <t>Hurley Ave Substation, 69 kV</t>
  </si>
  <si>
    <t>Boulevard Substation 69kV</t>
  </si>
  <si>
    <t>Mainesburg - Watercure 345kV</t>
  </si>
  <si>
    <t>Battle Hill - Balmat 115kV</t>
  </si>
  <si>
    <t>Porter - Watkins 115kV</t>
  </si>
  <si>
    <t>Station 13A - Station 121 115kV</t>
  </si>
  <si>
    <t>Black River 115kV Substation</t>
  </si>
  <si>
    <t>Shoemaker - Westtown 69kV</t>
  </si>
  <si>
    <t>Line 123975</t>
  </si>
  <si>
    <t>Huntley - Gardenville 115kV</t>
  </si>
  <si>
    <t>12/31/20</t>
  </si>
  <si>
    <t>1112</t>
  </si>
  <si>
    <t>1118</t>
  </si>
  <si>
    <t>1120</t>
  </si>
  <si>
    <t>1121</t>
  </si>
  <si>
    <t>1124</t>
  </si>
  <si>
    <t>Caithness LI Energy Storage, LLC</t>
  </si>
  <si>
    <t>CLIES 10MW</t>
  </si>
  <si>
    <t>CLIES 20 MW</t>
  </si>
  <si>
    <t>Wading River Energy Center</t>
  </si>
  <si>
    <t>Liberty Renewables Inc.</t>
  </si>
  <si>
    <t>Blue Hill Wind</t>
  </si>
  <si>
    <t>CLIES 70MW</t>
  </si>
  <si>
    <t>BWBP Origination, LLC</t>
  </si>
  <si>
    <t>Lyonsdale Marmon Rd</t>
  </si>
  <si>
    <t>Fuller Storage</t>
  </si>
  <si>
    <t>Catskills Renewable Connector</t>
  </si>
  <si>
    <t>Werner - Ravenswood</t>
  </si>
  <si>
    <t>Microgrid Networks, LLC</t>
  </si>
  <si>
    <t>East Fishkill</t>
  </si>
  <si>
    <t>KCE NY 29, LLC</t>
  </si>
  <si>
    <t>KCE NY 29</t>
  </si>
  <si>
    <t>Liberty Renewables</t>
  </si>
  <si>
    <t>Smokey Ave Wind</t>
  </si>
  <si>
    <t>Greene/Queens</t>
  </si>
  <si>
    <t>F, J</t>
  </si>
  <si>
    <t>Lyonsdale Substation</t>
  </si>
  <si>
    <t>NYPA/NM-NG</t>
  </si>
  <si>
    <t>Worcester - Schenevus 23 kV</t>
  </si>
  <si>
    <t>1127</t>
  </si>
  <si>
    <t>1128</t>
  </si>
  <si>
    <t>1129</t>
  </si>
  <si>
    <t>1131</t>
  </si>
  <si>
    <t>1132</t>
  </si>
  <si>
    <t>Richardson</t>
  </si>
  <si>
    <t>N. Ogdensburg - McIntyre 115 kV line</t>
  </si>
  <si>
    <t>CBB PARK LLC</t>
  </si>
  <si>
    <t>CBB PARK</t>
  </si>
  <si>
    <t>Allegany 2 Battery 2</t>
  </si>
  <si>
    <t>Boundless Energy NY, LLC</t>
  </si>
  <si>
    <t>Phoenix</t>
  </si>
  <si>
    <t>Hoffman Falls Wind</t>
  </si>
  <si>
    <t>Avangrid Networks, Inc.</t>
  </si>
  <si>
    <t>Excelsior Connect - Edic to Rainey</t>
  </si>
  <si>
    <t>Excelsior Connect - Edic to Farragut</t>
  </si>
  <si>
    <t>Oneida-Queens</t>
  </si>
  <si>
    <t>Oneida-Brooklyn</t>
  </si>
  <si>
    <t>Oneida-Manhattan &amp; Bronx</t>
  </si>
  <si>
    <t>NM-NG, NYPA, ConEd</t>
  </si>
  <si>
    <t>NM-NG, ConEd</t>
  </si>
  <si>
    <t>Bangor Solar</t>
  </si>
  <si>
    <t>Malone - Nicholville 115kV</t>
  </si>
  <si>
    <t>Worth Wind</t>
  </si>
  <si>
    <t>Station 55 - Station 73 34.5kV</t>
  </si>
  <si>
    <t>Dunwoodie 345kV Substation</t>
  </si>
  <si>
    <t>South Oswego - Clay 115 kV</t>
  </si>
  <si>
    <t>Montour Falls-Coddington 115kV</t>
  </si>
  <si>
    <t>1143</t>
  </si>
  <si>
    <t>1144</t>
  </si>
  <si>
    <t>1145</t>
  </si>
  <si>
    <t>Moraine Storage</t>
  </si>
  <si>
    <t>EDF Renewables Development</t>
  </si>
  <si>
    <t>Tracy Storage</t>
  </si>
  <si>
    <t>Homer Storage</t>
  </si>
  <si>
    <t>Honey Ridge Solar 1, LLC</t>
  </si>
  <si>
    <t>Wintergreen Solar</t>
  </si>
  <si>
    <t>Seventy-Seven Solar</t>
  </si>
  <si>
    <t>Taproot Solar</t>
  </si>
  <si>
    <t>Twinleaf Solar</t>
  </si>
  <si>
    <t>Minerva Power Connection LLC</t>
  </si>
  <si>
    <t>Minerva BESS I</t>
  </si>
  <si>
    <t>Manhattan</t>
  </si>
  <si>
    <t>Minerva BESS II</t>
  </si>
  <si>
    <t>HG-Phoenix</t>
  </si>
  <si>
    <t>Oceanside Energy Storage</t>
  </si>
  <si>
    <t>Galehead Development, LLC</t>
  </si>
  <si>
    <t>Wawayanda Solar 1, LLC</t>
  </si>
  <si>
    <t>Wawayanda Solar</t>
  </si>
  <si>
    <t>Marshville 115kV</t>
  </si>
  <si>
    <t>High Sheldon 230kV</t>
  </si>
  <si>
    <t>W 49th st 345kV</t>
  </si>
  <si>
    <t>Empire Offshore Wind LLC</t>
  </si>
  <si>
    <t>Beacon Wind LLC</t>
  </si>
  <si>
    <t>E,J</t>
  </si>
  <si>
    <t>NGrid/ConEd</t>
  </si>
  <si>
    <t>New Scotland-Leeds 345kV, Rainey-Farragut</t>
  </si>
  <si>
    <t>PJM/Queens</t>
  </si>
  <si>
    <t>1149</t>
  </si>
  <si>
    <t>1152</t>
  </si>
  <si>
    <t>1153</t>
  </si>
  <si>
    <t>1154</t>
  </si>
  <si>
    <t>Delaware/Queens</t>
  </si>
  <si>
    <t>Fraser 345kv and Mott Haven 345 kv</t>
  </si>
  <si>
    <t>Moss Ridge Solar 1, LLC</t>
  </si>
  <si>
    <t>York Run Solar, LLC</t>
  </si>
  <si>
    <t>York Run Solar</t>
  </si>
  <si>
    <t>BWC Rexmere Lakes, LLC</t>
  </si>
  <si>
    <t>Harpersfield Bruce Hill Rd.</t>
  </si>
  <si>
    <t>Wood Street Battery Storage LLC</t>
  </si>
  <si>
    <t>Wood Street Battery Storage</t>
  </si>
  <si>
    <t>Wood Street 115kV</t>
  </si>
  <si>
    <t>OYA Solar CDG LLC</t>
  </si>
  <si>
    <t>OYA Fort Plain Solar</t>
  </si>
  <si>
    <t>3/31/21</t>
  </si>
  <si>
    <t>SunEast Tabletop Solar LLC</t>
  </si>
  <si>
    <t>Sunrise Wind LLC</t>
  </si>
  <si>
    <t>Dolan Solar, LLC</t>
  </si>
  <si>
    <t>A,E,J</t>
  </si>
  <si>
    <t>High River Energy Center, LLC</t>
  </si>
  <si>
    <t>East Point Energy Center, LLC</t>
  </si>
  <si>
    <t>1155</t>
  </si>
  <si>
    <t>1157</t>
  </si>
  <si>
    <t>1158</t>
  </si>
  <si>
    <t>1161</t>
  </si>
  <si>
    <t>1162</t>
  </si>
  <si>
    <t>CHPE LLC</t>
  </si>
  <si>
    <t>New Scotland Interconnection</t>
  </si>
  <si>
    <t>Minerva Transmission</t>
  </si>
  <si>
    <t>1200</t>
  </si>
  <si>
    <t>Tyre Solar Energy Center</t>
  </si>
  <si>
    <t>Innisfree Storage LLC</t>
  </si>
  <si>
    <t>Innisfree Storage</t>
  </si>
  <si>
    <t>Garnet Energy Center, LLC,</t>
  </si>
  <si>
    <t>Garnett Battery Storage</t>
  </si>
  <si>
    <t>Ontario Valley Solar 1, LLC</t>
  </si>
  <si>
    <t>Ontario Valley Solar</t>
  </si>
  <si>
    <t>QMB2 Energy Storage, LLC</t>
  </si>
  <si>
    <t>CR</t>
  </si>
  <si>
    <t>NM-NG/ NYSEG</t>
  </si>
  <si>
    <t>Luyster Creek Energy Storage 2</t>
  </si>
  <si>
    <t>Luyster Creek Energy Storage 1</t>
  </si>
  <si>
    <t>Edic &amp; Marcy - W. 49 St &amp; Farragut</t>
  </si>
  <si>
    <t xml:space="preserve">Gardenville and Edic/Marcy - W49th St &amp; Farragut </t>
  </si>
  <si>
    <t>Magruder BESS</t>
  </si>
  <si>
    <t>1165</t>
  </si>
  <si>
    <t>1168</t>
  </si>
  <si>
    <t>1170</t>
  </si>
  <si>
    <t>1172</t>
  </si>
  <si>
    <t>1173</t>
  </si>
  <si>
    <t>1179</t>
  </si>
  <si>
    <t>1186</t>
  </si>
  <si>
    <t>1187</t>
  </si>
  <si>
    <t>Glenwood BESS</t>
  </si>
  <si>
    <t>West River Solar</t>
  </si>
  <si>
    <t>NYSERDA</t>
  </si>
  <si>
    <t>BR Benson Mines Solar</t>
  </si>
  <si>
    <t>Invenergy Transmission LLC</t>
  </si>
  <si>
    <t>CPNY-MH</t>
  </si>
  <si>
    <t>Delaware, Bronx</t>
  </si>
  <si>
    <t>Excelsior Battery Storage</t>
  </si>
  <si>
    <t>Tier Four Connector, LLC</t>
  </si>
  <si>
    <t>Bowline to West 49th Street</t>
  </si>
  <si>
    <t>G, J</t>
  </si>
  <si>
    <t>ELP Stuyvesant Solar LLC</t>
  </si>
  <si>
    <t>ELP Stuyvesant Solar</t>
  </si>
  <si>
    <t>Transco</t>
  </si>
  <si>
    <t>Northland Power US Projects</t>
  </si>
  <si>
    <t>Cowens Corners Solar</t>
  </si>
  <si>
    <t>Christmiller Solar</t>
  </si>
  <si>
    <t>NY48 - Diamond Solar</t>
  </si>
  <si>
    <t>OW Ocean Winds East, LLC</t>
  </si>
  <si>
    <t>OW Ocean Winds East 1</t>
  </si>
  <si>
    <t>OW Ocean Winds East 2</t>
  </si>
  <si>
    <t>Valley Stream 138 kV</t>
  </si>
  <si>
    <t>NY115 - Newport Solar</t>
  </si>
  <si>
    <t>NY38 B Solar</t>
  </si>
  <si>
    <t>NY128 - Foothills Solar</t>
  </si>
  <si>
    <t>NY125A - Fort Covington Solar</t>
  </si>
  <si>
    <t>EI Empire ESS I</t>
  </si>
  <si>
    <t>EI Empire ESS II</t>
  </si>
  <si>
    <t>Balcom Corners</t>
  </si>
  <si>
    <t>North Seneca Solar Project</t>
  </si>
  <si>
    <t>North Seneca Solar Project, LLC</t>
  </si>
  <si>
    <t>OW Ocean Winds East 3</t>
  </si>
  <si>
    <t>East Garden City 345 kV</t>
  </si>
  <si>
    <t>OW Ocean Winds East 4</t>
  </si>
  <si>
    <t>Brooklyn</t>
  </si>
  <si>
    <t>Gunns Corners Solar</t>
  </si>
  <si>
    <t>NYSEG/ ConEd</t>
  </si>
  <si>
    <t>NYPA/ NM-NG</t>
  </si>
  <si>
    <t>NM-NG/NYPA/ NYSEG/ConEd</t>
  </si>
  <si>
    <t>Number Three Wind LLC</t>
  </si>
  <si>
    <t>SunEast Hills Solar LLC</t>
  </si>
  <si>
    <t>SunEast Hilltop Solar LLC</t>
  </si>
  <si>
    <t>5/31/21</t>
  </si>
  <si>
    <t>Axtell Rd. Substation</t>
  </si>
  <si>
    <t>Clinton Road substation 115 kV</t>
  </si>
  <si>
    <t>New Scotland Substation</t>
  </si>
  <si>
    <t>Bowline - West 49th St 345 kV</t>
  </si>
  <si>
    <t>Elbridge - Hook Rd 115kV</t>
  </si>
  <si>
    <t>NM-NG/ ConEd</t>
  </si>
  <si>
    <t>ConEd/ NYSEG</t>
  </si>
  <si>
    <t>1195</t>
  </si>
  <si>
    <t>1196</t>
  </si>
  <si>
    <t>1201</t>
  </si>
  <si>
    <t>1204</t>
  </si>
  <si>
    <t>1208</t>
  </si>
  <si>
    <t>1209</t>
  </si>
  <si>
    <t>1211</t>
  </si>
  <si>
    <t>1214</t>
  </si>
  <si>
    <t>OW Ocean Winds East 6</t>
  </si>
  <si>
    <t>OW Ocean Winds East 5</t>
  </si>
  <si>
    <t>Rainey 345 kV</t>
  </si>
  <si>
    <t>Crane Brook Solar Project</t>
  </si>
  <si>
    <t>Crane Brook Solar Project, LLC</t>
  </si>
  <si>
    <t>Dexter Solar, LLC</t>
  </si>
  <si>
    <t>Chelsea Road Energy Storage 1, LLC</t>
  </si>
  <si>
    <t>Chelsea Energy Storage</t>
  </si>
  <si>
    <t>Goethals Substation</t>
  </si>
  <si>
    <t>EI Steinway 1.1</t>
  </si>
  <si>
    <t>EI Steinway 2.1</t>
  </si>
  <si>
    <t>St Lawrence Data and Agricultural Center</t>
  </si>
  <si>
    <t>Calpine Mid-Atlantic Development, LLC</t>
  </si>
  <si>
    <t>Bethpage Large Battery Energy Storage Project</t>
  </si>
  <si>
    <t>Morrow Street Storage 2, LLC</t>
  </si>
  <si>
    <t>Morrow Street Energy Storage</t>
  </si>
  <si>
    <t>Rocksdrift Energy Center, LLC</t>
  </si>
  <si>
    <t>Rocksdrift Energy Center</t>
  </si>
  <si>
    <t>NY Interconnection LLC</t>
  </si>
  <si>
    <t>NY Interconnection 2</t>
  </si>
  <si>
    <t>NY Interconnection 1</t>
  </si>
  <si>
    <t>Bluepoint Grid, LLC</t>
  </si>
  <si>
    <t>Bluepoint Grid</t>
  </si>
  <si>
    <t>W. Yaphank - Holtsville 69kV</t>
  </si>
  <si>
    <t>Battoria</t>
  </si>
  <si>
    <t>Gunns Corners Solar 2</t>
  </si>
  <si>
    <t>Renesola Power Holdings LLC</t>
  </si>
  <si>
    <t>Hardscrabble Solar LLC</t>
  </si>
  <si>
    <t>ReneSola Power Holdings LLC</t>
  </si>
  <si>
    <t>Roosevelt Solar LLC</t>
  </si>
  <si>
    <t>Nexus Renewables U.S. Inc.</t>
  </si>
  <si>
    <t>Ancram Solar Farm</t>
  </si>
  <si>
    <t>CW</t>
  </si>
  <si>
    <t>Dexter 23 kV Substation</t>
  </si>
  <si>
    <t>Schodack - Falls Park 115 kV</t>
  </si>
  <si>
    <t>Ellington - Randolph 34.5 kV</t>
  </si>
  <si>
    <t>Dake Hill – Machias 34.5kV</t>
  </si>
  <si>
    <t xml:space="preserve">Coffeen - West Adams 115 kV </t>
  </si>
  <si>
    <t xml:space="preserve">Fraser - Mott Haven 345kV </t>
  </si>
  <si>
    <t>Hosmer Solar, LLC</t>
  </si>
  <si>
    <t>Harvest Hills Solar</t>
  </si>
  <si>
    <t xml:space="preserve">Ellington - Frog Valley 34.5 kV </t>
  </si>
  <si>
    <t>6/30/21</t>
  </si>
  <si>
    <t>Jamesport - Peconic 69kV</t>
  </si>
  <si>
    <t>Shore Road 138kV</t>
  </si>
  <si>
    <t>Pleasant Valley 115 kV</t>
  </si>
  <si>
    <t>1215</t>
  </si>
  <si>
    <t>1216</t>
  </si>
  <si>
    <t>1217</t>
  </si>
  <si>
    <t>1218</t>
  </si>
  <si>
    <t>1219</t>
  </si>
  <si>
    <t>1220</t>
  </si>
  <si>
    <t>1224</t>
  </si>
  <si>
    <t>1225</t>
  </si>
  <si>
    <t>Blank Hill Solar LLC</t>
  </si>
  <si>
    <t>Cronk Solar LLC</t>
  </si>
  <si>
    <t>New Boston Solar LLC</t>
  </si>
  <si>
    <t>Farm East LLC</t>
  </si>
  <si>
    <t>Locke Solar Farm</t>
  </si>
  <si>
    <t>NYS-Locke 718 Substation</t>
  </si>
  <si>
    <t>Nexamp Solar</t>
  </si>
  <si>
    <t>74972 Cicero</t>
  </si>
  <si>
    <t>Fresh Air Energy II</t>
  </si>
  <si>
    <t>Lincoln ESC</t>
  </si>
  <si>
    <t>Long Island Storage Center I</t>
  </si>
  <si>
    <t>Long Island Storage Center II</t>
  </si>
  <si>
    <t>Moffitt ESC</t>
  </si>
  <si>
    <t>Sunwine Solar</t>
  </si>
  <si>
    <t>26338 Westmoreland</t>
  </si>
  <si>
    <t>Gravel Road Solar</t>
  </si>
  <si>
    <t>1232</t>
  </si>
  <si>
    <t>1235</t>
  </si>
  <si>
    <t>47763 Cayuta</t>
  </si>
  <si>
    <t>18405 Scotch Ridge</t>
  </si>
  <si>
    <t>Cuba Wind Project</t>
  </si>
  <si>
    <t>Alleghany</t>
  </si>
  <si>
    <t>Stonewall Solar, LLC</t>
  </si>
  <si>
    <t>Stonewall Solar, LLC.</t>
  </si>
  <si>
    <t>Mill Point Solar II</t>
  </si>
  <si>
    <t>Harvest Hills Solar II</t>
  </si>
  <si>
    <t>ACE Development Company</t>
  </si>
  <si>
    <t>Horseblock Energy Storage</t>
  </si>
  <si>
    <t>Peconic Energy Storage</t>
  </si>
  <si>
    <t>Gravel Road Solar, LLC</t>
  </si>
  <si>
    <t>Sugar Maple Energy Storage</t>
  </si>
  <si>
    <t>Harvest Hills Solar 2</t>
  </si>
  <si>
    <t>Pulvers Corners 34.5kV</t>
  </si>
  <si>
    <t>Naturgy Candela DevCo LLC</t>
  </si>
  <si>
    <t>Chases Lake - Porter 230kV</t>
  </si>
  <si>
    <t>8/31/21</t>
  </si>
  <si>
    <t xml:space="preserve">Boonville 46kV </t>
  </si>
  <si>
    <t>William Floyd 69kV</t>
  </si>
  <si>
    <t>North Queens 27kV</t>
  </si>
  <si>
    <t>Danskammer 115kV</t>
  </si>
  <si>
    <t>North Lakeville 34.5kV</t>
  </si>
  <si>
    <t>Sugarloaf 138 kV</t>
  </si>
  <si>
    <t>Tiana - Quogue 69kV</t>
  </si>
  <si>
    <t>West Adams - Coffeen St 115 kV</t>
  </si>
  <si>
    <t>Thousand Island - Coffeen St 115 kV</t>
  </si>
  <si>
    <t xml:space="preserve">Tremont 345kV </t>
  </si>
  <si>
    <t xml:space="preserve">Sills Road 138kV </t>
  </si>
  <si>
    <t xml:space="preserve">Rainey - Farragut 345kV </t>
  </si>
  <si>
    <t>Edic - Rainey 345kV</t>
  </si>
  <si>
    <t>Edic - Farragut 345kV</t>
  </si>
  <si>
    <t>W 49th St 345kV</t>
  </si>
  <si>
    <t>Moraine Road 115kV</t>
  </si>
  <si>
    <t xml:space="preserve">Bath - Montour Falls 115 kV </t>
  </si>
  <si>
    <t>Holbrook - Saxville 69kV</t>
  </si>
  <si>
    <t>1242</t>
  </si>
  <si>
    <t>1246</t>
  </si>
  <si>
    <t>1247</t>
  </si>
  <si>
    <t>1248</t>
  </si>
  <si>
    <t>1251</t>
  </si>
  <si>
    <t>1252</t>
  </si>
  <si>
    <t>1253</t>
  </si>
  <si>
    <t>1258</t>
  </si>
  <si>
    <t>1259</t>
  </si>
  <si>
    <t>1261</t>
  </si>
  <si>
    <t>1262</t>
  </si>
  <si>
    <t>1263</t>
  </si>
  <si>
    <t>1264</t>
  </si>
  <si>
    <t>1266</t>
  </si>
  <si>
    <t>1267</t>
  </si>
  <si>
    <t>1268</t>
  </si>
  <si>
    <t>1269</t>
  </si>
  <si>
    <t>1270</t>
  </si>
  <si>
    <t>NY Interconnection 3</t>
  </si>
  <si>
    <t>Astoria Generating Company, L.P.</t>
  </si>
  <si>
    <t>Gowanus Bay Energy Storage 1</t>
  </si>
  <si>
    <t>Gowanus Bay Energy Storage 2</t>
  </si>
  <si>
    <t>Light &amp; Power Development, LLC</t>
  </si>
  <si>
    <t>Ravenswood Energy Storage 3</t>
  </si>
  <si>
    <t>Whale Square Energy Storage 2</t>
  </si>
  <si>
    <t>Whale Square Energy Storage 3</t>
  </si>
  <si>
    <t>Hanwha Q CELLS USA</t>
  </si>
  <si>
    <t>Amber Solar and Storage</t>
  </si>
  <si>
    <t>Emerald Solar and Storage</t>
  </si>
  <si>
    <t>Garnet Solar and Storage</t>
  </si>
  <si>
    <t>Sour Springs 115 kV</t>
  </si>
  <si>
    <t>Sapphire Solar and Storage</t>
  </si>
  <si>
    <t>Knickerbocker 345 kV</t>
  </si>
  <si>
    <t>Alliance Energy Storage, LLC</t>
  </si>
  <si>
    <t>Hillburn Energy Storage</t>
  </si>
  <si>
    <t>Shoemaker Energy Storage</t>
  </si>
  <si>
    <t>Barrett Hempstead Battery Storage</t>
  </si>
  <si>
    <t>Holtsville Brookhaven Battery Storage</t>
  </si>
  <si>
    <t>Canal Southampton Battery Storage</t>
  </si>
  <si>
    <t>Edwards Calverton Battery Storage</t>
  </si>
  <si>
    <t>Deerpark Energy Storage</t>
  </si>
  <si>
    <t>Middletown Energy Storage</t>
  </si>
  <si>
    <t>BW Solar Holding</t>
  </si>
  <si>
    <t>St. Regis River</t>
  </si>
  <si>
    <t>EI Sunset Park 2</t>
  </si>
  <si>
    <t>Gowanus 345 kV</t>
  </si>
  <si>
    <t>Ravenswood Energy Storage 4</t>
  </si>
  <si>
    <t>ELP Claverack Solar II LLC</t>
  </si>
  <si>
    <t>Rust Street 21.8MW ESS</t>
  </si>
  <si>
    <t>Rust Street 20 MW ESS Project</t>
  </si>
  <si>
    <t>1st Avenue 20 MW ESS Project</t>
  </si>
  <si>
    <t>174 Power Global Properties, LLC</t>
  </si>
  <si>
    <t>The Bruckner</t>
  </si>
  <si>
    <t>Hinsdale 21.8MW Bulk Storage Project</t>
  </si>
  <si>
    <t xml:space="preserve">Shoemaker 69 kV </t>
  </si>
  <si>
    <t xml:space="preserve">Deerpark 69 kV </t>
  </si>
  <si>
    <t>Lapp - East Batavia 115 kV</t>
  </si>
  <si>
    <t>Goethals - Fresh Kills 345kV</t>
  </si>
  <si>
    <t>Hudson - Churchtown 115kV</t>
  </si>
  <si>
    <t>Vernon 138kV</t>
  </si>
  <si>
    <t>Brownsville 27kV</t>
  </si>
  <si>
    <t>Glendale 27kV</t>
  </si>
  <si>
    <t>Shoemaker</t>
  </si>
  <si>
    <t>Oneida - Walesville 115kV</t>
  </si>
  <si>
    <t>O&amp;R/ConEd</t>
  </si>
  <si>
    <t>1271</t>
  </si>
  <si>
    <t>1272</t>
  </si>
  <si>
    <t>1274</t>
  </si>
  <si>
    <t>1275</t>
  </si>
  <si>
    <t>1276</t>
  </si>
  <si>
    <t>1277</t>
  </si>
  <si>
    <t>1290</t>
  </si>
  <si>
    <t>1291</t>
  </si>
  <si>
    <t>1293</t>
  </si>
  <si>
    <t>1295</t>
  </si>
  <si>
    <t>1296</t>
  </si>
  <si>
    <t>1297</t>
  </si>
  <si>
    <t>1298</t>
  </si>
  <si>
    <t>1299</t>
  </si>
  <si>
    <t>Atlantic Gateway</t>
  </si>
  <si>
    <t>EI Sunset BESS</t>
  </si>
  <si>
    <t>Greenwood South 138 kV</t>
  </si>
  <si>
    <t>Anbaric Development Partners,LLC</t>
  </si>
  <si>
    <t>Downstate Clean Powerlink</t>
  </si>
  <si>
    <t>Nassau, Suffolk, Bronx, Westchester</t>
  </si>
  <si>
    <t>I,J,K</t>
  </si>
  <si>
    <t>Mott Haven, Sprainbrook, Dunwoodie, Ruland Road, Newbridge, East Garden City, Syosset, Shore Road</t>
  </si>
  <si>
    <t>Nassau, Queens, Bronx, Westchester</t>
  </si>
  <si>
    <t>Nassau, Suffolk, Queens, Bronx</t>
  </si>
  <si>
    <t>Nassau, Queens, Bronx, and Westchester</t>
  </si>
  <si>
    <t>Nassau, Suffolk, Westchester</t>
  </si>
  <si>
    <t>East Garden City 345 kV, Sprain Brook 345 kV, Dunwoodie 345 kV, Jamaica 138 kV, Valley Stream 138 kV</t>
  </si>
  <si>
    <t>East Garden City, Ruland Road, Sprain Brook, Dunwoodie, Jamaica, Valley Stream, Farragut</t>
  </si>
  <si>
    <t>East Garden City, Ruland Road, Sprain Brook, Dunwoodie, Jamaica, Valley Stream, Farragut, Northport, Pilgrim</t>
  </si>
  <si>
    <t>East Garden City, Ruland Road, Sprain Brook, Dunwoodie, Jamaica, Valley Stream, Northport</t>
  </si>
  <si>
    <t>Nassau, Queens, Suffolk, Westchester</t>
  </si>
  <si>
    <t>East Garden City, Ruland Road, Sprain Brook, Dunwoodie, Jamaica, Valley Stream, Northport, Pilgrim</t>
  </si>
  <si>
    <t>H,I,J,K</t>
  </si>
  <si>
    <t>East Garden City, Ruland Road, Sprain Brook, Dunwoodie, Jamaica, Valley Stream, Northport, Pilgrim, Buchanan</t>
  </si>
  <si>
    <t>East Garden City, Ruland Road, Sprain Brook, Dunwoodie, Farragut, Holbrook, Jamaica, Valley Stream, Northport, Pilgrim, Buchanan, Barrett</t>
  </si>
  <si>
    <t>G,H,I,J,K</t>
  </si>
  <si>
    <t>East Garden City, Ruland Road, Sprain Brook, Dunwoodie, Farragut, Holbrook, Jamaica, Valley Stream, Northport, Pilgrim, Buchanan, Ramapo</t>
  </si>
  <si>
    <t>CPNY-X</t>
  </si>
  <si>
    <t>1300</t>
  </si>
  <si>
    <t>Hemlock Hollow Wind</t>
  </si>
  <si>
    <t>ACE DevCo NC</t>
  </si>
  <si>
    <t>White Springs Solar</t>
  </si>
  <si>
    <t>Putnam Mountain Solar</t>
  </si>
  <si>
    <t>90662 Sing Sing Standalone Storage</t>
  </si>
  <si>
    <t>Algonquin Power Fund (America), Inc.</t>
  </si>
  <si>
    <t>87677 Clifton Springs Standalone Storage</t>
  </si>
  <si>
    <t>KCE NY 33, LLC</t>
  </si>
  <si>
    <t>KCE NY 33</t>
  </si>
  <si>
    <t>NYTransco/ NM-NG</t>
  </si>
  <si>
    <t>10/31/21</t>
  </si>
  <si>
    <t xml:space="preserve">Westfield Electric 115kV </t>
  </si>
  <si>
    <t>Nassau,Suffolk,Westchester</t>
  </si>
  <si>
    <t>Bald Mountain Solar LLC</t>
  </si>
  <si>
    <t>Greens Corners Solar LLC</t>
  </si>
  <si>
    <t>Holtsville 138kV Energy Storage</t>
  </si>
  <si>
    <t>1302</t>
  </si>
  <si>
    <t>Pine Barrens Storage LLC</t>
  </si>
  <si>
    <t>Pine Barrens Storage</t>
  </si>
  <si>
    <t>Bremen Solar</t>
  </si>
  <si>
    <t>Bremen 115 kV Substation</t>
  </si>
  <si>
    <t>Hanwha Q Cells USA</t>
  </si>
  <si>
    <t>Agate Storage Project</t>
  </si>
  <si>
    <t>Coral Storage Project</t>
  </si>
  <si>
    <t>Crystal Storage Project</t>
  </si>
  <si>
    <t>Opal Storage Project</t>
  </si>
  <si>
    <t>Riverhead Energy</t>
  </si>
  <si>
    <t>Riverhead Energy, LLC</t>
  </si>
  <si>
    <t>Maplewood Energy Storage</t>
  </si>
  <si>
    <t xml:space="preserve">Whitehall - Cedar 115 kV </t>
  </si>
  <si>
    <t>Cuddebackville substation</t>
  </si>
  <si>
    <t>Substation 146</t>
  </si>
  <si>
    <t xml:space="preserve">Langdon 34.5kV Substation </t>
  </si>
  <si>
    <t>1309</t>
  </si>
  <si>
    <t>1310</t>
  </si>
  <si>
    <t>1312</t>
  </si>
  <si>
    <t>1314</t>
  </si>
  <si>
    <t>1317</t>
  </si>
  <si>
    <t>1318</t>
  </si>
  <si>
    <t>Richmond Spoke</t>
  </si>
  <si>
    <t>Port Jefferson Energy Storage</t>
  </si>
  <si>
    <t>Port Jefferson 69kV Substation</t>
  </si>
  <si>
    <t>QMB1 Energy Storage</t>
  </si>
  <si>
    <t>Nassua</t>
  </si>
  <si>
    <t>Ruland Rd. 138 kV</t>
  </si>
  <si>
    <t>Bronx Shores Energy Storage</t>
  </si>
  <si>
    <t>Orient Point BESS</t>
  </si>
  <si>
    <t>The existing 23kV line near PSEG?s 23 kV Orient substation</t>
  </si>
  <si>
    <t>Queensbury BESS</t>
  </si>
  <si>
    <t>Regeneron Pharmaceuticals Inc</t>
  </si>
  <si>
    <t>Regeneron Pharmaceutical INC</t>
  </si>
  <si>
    <t>On site - connecting to electrical SWGR. Technical point of interconnection for the campus is at the primary meter at the substation</t>
  </si>
  <si>
    <t>Sabey Data Center Properties, LLC</t>
  </si>
  <si>
    <t>SDC St. Lawrence</t>
  </si>
  <si>
    <t>ACE DevCo NC, LLC</t>
  </si>
  <si>
    <t>Bay Breeze Solar</t>
  </si>
  <si>
    <t>KCE NY 34, LLC</t>
  </si>
  <si>
    <t>KCE NY 34</t>
  </si>
  <si>
    <t>13.8 kV Saugerties Substation</t>
  </si>
  <si>
    <t>Saugerties Energy Storage</t>
  </si>
  <si>
    <t>Saugerties substation 13.8 kV</t>
  </si>
  <si>
    <t>Grateful Storage, LLC</t>
  </si>
  <si>
    <t>Lake Ronkonkoma Storage, LLC</t>
  </si>
  <si>
    <t>Dix Hills, LLC</t>
  </si>
  <si>
    <t>Capital Power Solar Holdings LLC</t>
  </si>
  <si>
    <t>12/31/21</t>
  </si>
  <si>
    <t>1324</t>
  </si>
  <si>
    <t>1327</t>
  </si>
  <si>
    <t>AES</t>
  </si>
  <si>
    <t>Somerset Solar Farm</t>
  </si>
  <si>
    <t>USA</t>
  </si>
  <si>
    <t>RWE Solar Development, LLC</t>
  </si>
  <si>
    <t>McKean</t>
  </si>
  <si>
    <t>Homer City Station - Pierce Brook 345kV</t>
  </si>
  <si>
    <t>McKean County BESS</t>
  </si>
  <si>
    <t>EDF renewables development inc.</t>
  </si>
  <si>
    <t>Wayland solar</t>
  </si>
  <si>
    <t>Trelina Solar Energy Center</t>
  </si>
  <si>
    <t xml:space="preserve">Old Forge - Raquette Lake 46kV </t>
  </si>
  <si>
    <t>Ruland Rd 138 kV</t>
  </si>
  <si>
    <t>PPM Roaring Brook, LLC</t>
  </si>
  <si>
    <t>SunEast Highview Solar LLC</t>
  </si>
  <si>
    <t>South Fork Wind, LLC</t>
  </si>
  <si>
    <t>Trelina Solar Energy Center, LLC</t>
  </si>
  <si>
    <t>OCS-A 0522, LLC</t>
  </si>
  <si>
    <t>1330</t>
  </si>
  <si>
    <t>1332</t>
  </si>
  <si>
    <t>1336</t>
  </si>
  <si>
    <t>1339</t>
  </si>
  <si>
    <t>ELP Granby Solar II LLC</t>
  </si>
  <si>
    <t>ELP Granby Solar II</t>
  </si>
  <si>
    <t>Avangrid Renewables</t>
  </si>
  <si>
    <t>AGR NY-1</t>
  </si>
  <si>
    <t>Gowanus 345 kV Substation</t>
  </si>
  <si>
    <t>AGR NY-2</t>
  </si>
  <si>
    <t>Goethals 345 kV Substation</t>
  </si>
  <si>
    <t>Morris Sole Solar</t>
  </si>
  <si>
    <t>Hoffman Falls Wind 2</t>
  </si>
  <si>
    <t>Abrams Solar</t>
  </si>
  <si>
    <t>Atlantic Shores Offshore Wind Bight, LLC</t>
  </si>
  <si>
    <t>Atlantic Shores Offshore Wind Bight 1</t>
  </si>
  <si>
    <t>Atlantic Shores Offshore Wind Bight 2</t>
  </si>
  <si>
    <t>Atlantic Shores Offshore Wind Bight 3</t>
  </si>
  <si>
    <t>Atlantic Shores Offshore Wind Bight 4</t>
  </si>
  <si>
    <t>Atlantic Shores Offshore Wind Bight 5</t>
  </si>
  <si>
    <t xml:space="preserve">Holbrook - West Yaphank 69 kV </t>
  </si>
  <si>
    <t>Kintigh Switchyard 345kV</t>
  </si>
  <si>
    <t>North Street Energy Storage</t>
  </si>
  <si>
    <t>1346</t>
  </si>
  <si>
    <t>1347</t>
  </si>
  <si>
    <t>1355</t>
  </si>
  <si>
    <t>1357</t>
  </si>
  <si>
    <t>1359</t>
  </si>
  <si>
    <t>Astoria Renewables LLC</t>
  </si>
  <si>
    <t>Astoria Annex Energy Storage</t>
  </si>
  <si>
    <t>Swift Current Energy</t>
  </si>
  <si>
    <t>Moonlight Flats Solar Power</t>
  </si>
  <si>
    <t>Fresh Kills Battery Storage LLC</t>
  </si>
  <si>
    <t>Fresh Kills Energy Storage</t>
  </si>
  <si>
    <t>Staten Island Power LLC</t>
  </si>
  <si>
    <t>Goethals Energy Storage Project</t>
  </si>
  <si>
    <t>Goethals 345 kV</t>
  </si>
  <si>
    <t>Middletown Energy Storage, LLC</t>
  </si>
  <si>
    <t>Celestine Storage</t>
  </si>
  <si>
    <t>Bath 115 kV substation</t>
  </si>
  <si>
    <t>Daphne Storage</t>
  </si>
  <si>
    <t>Moriches 69 kV</t>
  </si>
  <si>
    <t>Gemma Storage</t>
  </si>
  <si>
    <t>New Castle ESS LLC</t>
  </si>
  <si>
    <t>Millwood Energy Storage</t>
  </si>
  <si>
    <t>Yonkers Renewable Energy LLC</t>
  </si>
  <si>
    <t>Sprain Brook Energy Storage</t>
  </si>
  <si>
    <t>Peekskill BESS LLC</t>
  </si>
  <si>
    <t>Central Westchester Power LLC</t>
  </si>
  <si>
    <t>Eastview Energy Storage Project</t>
  </si>
  <si>
    <t>Hecate Energy Diamond Solar LLC</t>
  </si>
  <si>
    <t>Diamond Solar</t>
  </si>
  <si>
    <t>EDF Renewable Development, Inc</t>
  </si>
  <si>
    <t>Rich Road Storage</t>
  </si>
  <si>
    <t>174 Power Global Properties</t>
  </si>
  <si>
    <t>West Babylon</t>
  </si>
  <si>
    <t>West Babylon 69 kV</t>
  </si>
  <si>
    <t>Columbia Storage</t>
  </si>
  <si>
    <t>Kintigh/Niagara - New Rochester 345kV</t>
  </si>
  <si>
    <t>Pannel - Clay 345 KV</t>
  </si>
  <si>
    <t>Holbrook - Bohemia 69kV</t>
  </si>
  <si>
    <t>1363</t>
  </si>
  <si>
    <t>1364</t>
  </si>
  <si>
    <t>1367</t>
  </si>
  <si>
    <t>1368</t>
  </si>
  <si>
    <t>1369</t>
  </si>
  <si>
    <t>1373</t>
  </si>
  <si>
    <t>1375</t>
  </si>
  <si>
    <t>1379</t>
  </si>
  <si>
    <t>Buchanan Energy Storage-South</t>
  </si>
  <si>
    <t>Fraser Storage</t>
  </si>
  <si>
    <t>State Route 52</t>
  </si>
  <si>
    <t>Liberty 34.5 kV substation</t>
  </si>
  <si>
    <t>Bluewave Storage Origination LLC</t>
  </si>
  <si>
    <t>NY Wappingers Falls Old Hopewell Rd Storage</t>
  </si>
  <si>
    <t>Wappingers Falls</t>
  </si>
  <si>
    <t>Queensboro Development, LLC</t>
  </si>
  <si>
    <t>Queensboro Renewable Express Circuit A</t>
  </si>
  <si>
    <t>Queensboro Renewable Express Circuit B</t>
  </si>
  <si>
    <t>Queensboro Renewable Express Circuit C</t>
  </si>
  <si>
    <t>New Ravenswood substation connecting to Rainey 345kV and Vernon 138kV</t>
  </si>
  <si>
    <t>Borrego Solar Systems, inc.</t>
  </si>
  <si>
    <t>Hallock Ave Energy Storage</t>
  </si>
  <si>
    <t>Community OSW Valley Stream 1</t>
  </si>
  <si>
    <t>Valley Stream 138kV</t>
  </si>
  <si>
    <t>Community OSW Ruland Road 1</t>
  </si>
  <si>
    <t>Community OSW Goethals 1</t>
  </si>
  <si>
    <t>Staten Island</t>
  </si>
  <si>
    <t>Community OSW Barrett 1</t>
  </si>
  <si>
    <t>Community OSW East Garden City 1</t>
  </si>
  <si>
    <t>Community OSW Valley Stream 2</t>
  </si>
  <si>
    <t>Community OSW Ruland Road 2</t>
  </si>
  <si>
    <t>Community OSW Goethals 2</t>
  </si>
  <si>
    <t>Community OSW Barrett 2</t>
  </si>
  <si>
    <t>Community OSW East Garden City 2</t>
  </si>
  <si>
    <t>NY Nassau 0 Waterbury Rd Storage A</t>
  </si>
  <si>
    <t>4/30/22</t>
  </si>
  <si>
    <t>Highbanks Solar</t>
  </si>
  <si>
    <t>Hemlock Ridge Solar</t>
  </si>
  <si>
    <t>Hemlock Ridge Solar LLC</t>
  </si>
  <si>
    <t>West Babylon Energy Storage, LLC</t>
  </si>
  <si>
    <t>Edic - Fraser 345 kV</t>
  </si>
  <si>
    <t>1383</t>
  </si>
  <si>
    <t>1384</t>
  </si>
  <si>
    <t>NY Hudson Fairview Ave Storage</t>
  </si>
  <si>
    <t>Daroga Power</t>
  </si>
  <si>
    <t>Daroga Power Dover Plains Hydrogen Production Plant</t>
  </si>
  <si>
    <t>Ten Mile River</t>
  </si>
  <si>
    <t>5/31/22</t>
  </si>
  <si>
    <t>1387</t>
  </si>
  <si>
    <t>1388</t>
  </si>
  <si>
    <t>1389</t>
  </si>
  <si>
    <t>Attentive Energy</t>
  </si>
  <si>
    <t>Attentive Energy 1</t>
  </si>
  <si>
    <t>Attentive Energy 2</t>
  </si>
  <si>
    <t>ClearCell Power</t>
  </si>
  <si>
    <t>Glen Head Battery Energy Storage System</t>
  </si>
  <si>
    <t>1 Stanco Street Substation via a dedicated feeder from the project site</t>
  </si>
  <si>
    <t>Kings Spoke 1310</t>
  </si>
  <si>
    <t>The proposed POI will be located at a new 345/138 kV transmission substation in East Flatbush, Brooklyn, ~4 miles from the Greenwood substation, ~3 miles from the Bensonhurst sub, ~4 miles from the Farragut, and ~3 miles from Brownsville substation.</t>
  </si>
  <si>
    <t>Kings Spoke 2620</t>
  </si>
  <si>
    <t>The proposed POI will be located at a new 345/138 kV transmission substation in East Flatbush, Brooklyn, ~4 miles from the Greenwood substation, ~3 miles from the Bensonhurst substation, ~4 miles from the Farragut substation and ~3 mi from the Brownsville</t>
  </si>
  <si>
    <t>Beck Solar</t>
  </si>
  <si>
    <t>Swift Solar LLC</t>
  </si>
  <si>
    <t>Swift Solar</t>
  </si>
  <si>
    <t>Mineral Basin Solar Power, LLC</t>
  </si>
  <si>
    <t>Mineral Basin II Solar Power</t>
  </si>
  <si>
    <t>NY Greenport 85 Middle Rd Storage</t>
  </si>
  <si>
    <t>Raquette Lake Energy Storage / CAMP</t>
  </si>
  <si>
    <t>NY Interconnection 4</t>
  </si>
  <si>
    <t>1407</t>
  </si>
  <si>
    <t>1408</t>
  </si>
  <si>
    <t>Athens Energy Stoarge LLC</t>
  </si>
  <si>
    <t>Athens Energy Storage</t>
  </si>
  <si>
    <t>North Seneca Solar Project LLC</t>
  </si>
  <si>
    <t>North Seneca Storage</t>
  </si>
  <si>
    <t>Crane Brook Storage</t>
  </si>
  <si>
    <t>State St. - Clinton Corn 115 kV</t>
  </si>
  <si>
    <t>NY Schodack 634 Knickerbocker Rd Storage</t>
  </si>
  <si>
    <t>ACE DEVCO NC, LLC</t>
  </si>
  <si>
    <t>Attentive Energy LLC</t>
  </si>
  <si>
    <t>1412</t>
  </si>
  <si>
    <t>1414</t>
  </si>
  <si>
    <t>1416</t>
  </si>
  <si>
    <t>Catlin Creek Storage</t>
  </si>
  <si>
    <t>Glove City Energy Center, L.L.C.</t>
  </si>
  <si>
    <t>Glove City Energy Center</t>
  </si>
  <si>
    <t>Stoner to Inghams 115 kV line</t>
  </si>
  <si>
    <t>NY Mahopac 45 Margaret Rd Storage</t>
  </si>
  <si>
    <t>Russet Ridge Wind</t>
  </si>
  <si>
    <t>Vineyard Mid-Atlantic</t>
  </si>
  <si>
    <t>Vineyard Mid-Atlantic 1</t>
  </si>
  <si>
    <t>Coned</t>
  </si>
  <si>
    <t>Pivot Energy Development LLC</t>
  </si>
  <si>
    <t>Community Offshore Wind, LLC</t>
  </si>
  <si>
    <t>Vineyard Northeast</t>
  </si>
  <si>
    <t>Vineyard Northeast 1</t>
  </si>
  <si>
    <t>Cherry Valley Solar</t>
  </si>
  <si>
    <t>NY Interconnection 5</t>
  </si>
  <si>
    <t>NY Interconnection 6</t>
  </si>
  <si>
    <t>Kings Spoke</t>
  </si>
  <si>
    <t>North Foothills Energy Center, LLC</t>
  </si>
  <si>
    <t>North Foothills</t>
  </si>
  <si>
    <t>NY Interconnection 7</t>
  </si>
  <si>
    <t>Goethals-Gowanus 345kV line break</t>
  </si>
  <si>
    <t>East Bridge Energy Storage</t>
  </si>
  <si>
    <t>Mulberry Energy Storage</t>
  </si>
  <si>
    <t>Vineyard Mid-Atlantic 2</t>
  </si>
  <si>
    <t>Nassau - Hudson 34.5kV</t>
  </si>
  <si>
    <t>Shoreham - Millers Place 138 kV</t>
  </si>
  <si>
    <t>10/31/22</t>
  </si>
  <si>
    <t>Empire Reserve Energy, LLC</t>
  </si>
  <si>
    <t>Babylon Storage</t>
  </si>
  <si>
    <t>Pinelawn 69 kV station</t>
  </si>
  <si>
    <t>Deer River Wind, LLC</t>
  </si>
  <si>
    <t>Hounsfield</t>
  </si>
  <si>
    <t>Northline Energy Center, LLC</t>
  </si>
  <si>
    <t>Northline Energy Center</t>
  </si>
  <si>
    <t>Cold Creek Solar</t>
  </si>
  <si>
    <t>11/30/22</t>
  </si>
  <si>
    <t>Poplar Energy Center, LLC</t>
  </si>
  <si>
    <t>Poplar 1 Energy Center</t>
  </si>
  <si>
    <t>Poplar 2 Energy Center</t>
  </si>
  <si>
    <t>Alle-Catt Wind Energy LLC</t>
  </si>
  <si>
    <t>Robinson Grid, LLC</t>
  </si>
  <si>
    <t>Harlem River ESS, LLC</t>
  </si>
  <si>
    <t>East River ESS, LLC</t>
  </si>
  <si>
    <t>Points of Interconnection</t>
  </si>
  <si>
    <t>Utility</t>
  </si>
  <si>
    <t>Last Updated Date</t>
  </si>
  <si>
    <t>Homer Solar Energy Center LLC</t>
  </si>
  <si>
    <t xml:space="preserve">Astoria East 138kV Substation </t>
  </si>
  <si>
    <t>01-2026</t>
  </si>
  <si>
    <t>02-2025</t>
  </si>
  <si>
    <t>Bull Run Energy LLC</t>
  </si>
  <si>
    <t>Patnode-Duley, Ryan-Plattsburgh 230kV</t>
  </si>
  <si>
    <t>11/30/2022</t>
  </si>
  <si>
    <t>05-2026</t>
  </si>
  <si>
    <t>12-2026</t>
  </si>
  <si>
    <t>8/31/2022</t>
  </si>
  <si>
    <t>Riverhead Solar 2, LLC</t>
  </si>
  <si>
    <t>Riverhead Solar 2</t>
  </si>
  <si>
    <t>Sky High Solar, LLC</t>
  </si>
  <si>
    <t>Moses &amp; Adirondack 230kV</t>
  </si>
  <si>
    <t>06-2025</t>
  </si>
  <si>
    <t>09-2024</t>
  </si>
  <si>
    <t>11-2024</t>
  </si>
  <si>
    <t>Malone 115kV Substation</t>
  </si>
  <si>
    <t>8/11/2017</t>
  </si>
  <si>
    <t/>
  </si>
  <si>
    <t>07-2026</t>
  </si>
  <si>
    <t>11-2026</t>
  </si>
  <si>
    <t>03-2028</t>
  </si>
  <si>
    <t>12-2027</t>
  </si>
  <si>
    <t>Vernon-Rainey 138kV</t>
  </si>
  <si>
    <t>Dysinger - N. Rochester 345kV</t>
  </si>
  <si>
    <t>Ticonderoga 115kV - Republic Line 2</t>
  </si>
  <si>
    <t>El Melville</t>
  </si>
  <si>
    <t>Ruland Rd. Substation 138kV</t>
  </si>
  <si>
    <t>Mitchell Energy Facility, LLC</t>
  </si>
  <si>
    <t>Peconic River Energy Storage LLC d/b/a North Street Energy Storage</t>
  </si>
  <si>
    <t>Sunrise Wind</t>
  </si>
  <si>
    <t>Holbrook 138kV &amp; West Bus 138kV</t>
  </si>
  <si>
    <t>South Ripley Solar and BESS</t>
  </si>
  <si>
    <t>Gardenville Subsation 115kV</t>
  </si>
  <si>
    <t>Atlantic Shores Offshore Wind Project 2, LLC</t>
  </si>
  <si>
    <t>Moses - Adirondack 230 kV Line #2 (MA2)</t>
  </si>
  <si>
    <t>North Queens 27kV Bus</t>
  </si>
  <si>
    <t>North Queens 27kV Substation</t>
  </si>
  <si>
    <t>06-2026</t>
  </si>
  <si>
    <t>Somerset - Dysinger 345kV</t>
  </si>
  <si>
    <t>Clay - Pannell 345kV</t>
  </si>
  <si>
    <t>Highbanks Solar LLC</t>
  </si>
  <si>
    <t>Coffeen - West Adams 115kV</t>
  </si>
  <si>
    <t>NY North Country, LLC</t>
  </si>
  <si>
    <t>Clinton - Clinton Tap 115 kV</t>
  </si>
  <si>
    <t>Garnet Energy Center, LLC</t>
  </si>
  <si>
    <t>Barrett - Valley Stream 138 kV Lines</t>
  </si>
  <si>
    <t>10-2026</t>
  </si>
  <si>
    <t>11/8/2019</t>
  </si>
  <si>
    <t>8/31/2020</t>
  </si>
  <si>
    <t>North Carthage - Taylorville #8 and Black River - Taylorville #2 115kV</t>
  </si>
  <si>
    <t>Holtsville Energy Storage, LLC</t>
  </si>
  <si>
    <t>Holtsville - Patchogue 69kV</t>
  </si>
  <si>
    <t>08-2026</t>
  </si>
  <si>
    <t>Cobleskill Solar</t>
  </si>
  <si>
    <t>Cobleskill - Schoharie 69KV</t>
  </si>
  <si>
    <t>Holbrook - Miller Place 138kV</t>
  </si>
  <si>
    <t>Warner Hill Solar</t>
  </si>
  <si>
    <t>Sunrise Wind II</t>
  </si>
  <si>
    <t>Holbrook - Sills Road 138kV</t>
  </si>
  <si>
    <t>Lockport - Batavia 115kV (Line#112)</t>
  </si>
  <si>
    <t>Coopers Corner 345 kV</t>
  </si>
  <si>
    <t>5/5/2020</t>
  </si>
  <si>
    <t>03-2027</t>
  </si>
  <si>
    <t>11-2027</t>
  </si>
  <si>
    <t>NYTransco</t>
  </si>
  <si>
    <t>Morris Solar</t>
  </si>
  <si>
    <t>1/31/2023</t>
  </si>
  <si>
    <t>Mohican - Battenkill 115kV Line #15</t>
  </si>
  <si>
    <t>Sunrise Wind LCC</t>
  </si>
  <si>
    <t>NY Wind Holbrook 2 Uprate</t>
  </si>
  <si>
    <t>09-2026</t>
  </si>
  <si>
    <t>04-2026</t>
  </si>
  <si>
    <t>Transit Solar</t>
  </si>
  <si>
    <t>S.E Batavia - Golah 115kV</t>
  </si>
  <si>
    <t>Addison Solar</t>
  </si>
  <si>
    <t>NY Wind - Shore Road</t>
  </si>
  <si>
    <t>04-2027</t>
  </si>
  <si>
    <t>7/31/2020</t>
  </si>
  <si>
    <t>Riverhead-Tuthill 69kV</t>
  </si>
  <si>
    <t>EGC - Carle Place line #361 and EGC - Roslyn line #362, 138kV</t>
  </si>
  <si>
    <t>Shore Road 345kV</t>
  </si>
  <si>
    <t>Nassau &amp; Kings</t>
  </si>
  <si>
    <t>02-2028</t>
  </si>
  <si>
    <t>Wright Avenue - Milliken 115kV</t>
  </si>
  <si>
    <t>Andover - Palmeter 115 kV, Line 932</t>
  </si>
  <si>
    <t>Coffeen Street - Thousand Island 115 KV</t>
  </si>
  <si>
    <t>Brockport - Albion 34.5 kV Line #308</t>
  </si>
  <si>
    <t>NYSEG, NM-NG</t>
  </si>
  <si>
    <t>E. Watertown - Lighthouse Hill 115kV</t>
  </si>
  <si>
    <t>NYPA, NM-NG</t>
  </si>
  <si>
    <t>Andover-Palmeter 115 kV Line 101990</t>
  </si>
  <si>
    <t>LS Power/NYPA</t>
  </si>
  <si>
    <t>Coffeen St-Taylorville 115kV</t>
  </si>
  <si>
    <t>Mohican - Whitehall 115 kV Line #13</t>
  </si>
  <si>
    <t>Westtown to Shoemaker 69 kV Line #11</t>
  </si>
  <si>
    <t>Agricola Wind</t>
  </si>
  <si>
    <t>Milliken to Wright Ave 115 kV line #973</t>
  </si>
  <si>
    <t>Corning - Battle Hill 115 kV line #4</t>
  </si>
  <si>
    <t>4/26/2021</t>
  </si>
  <si>
    <t>Lyme Tap line off the Thousand Island – Coffeen 115 kV Line #4</t>
  </si>
  <si>
    <t>NYSEG, ConEd</t>
  </si>
  <si>
    <t>06-2027</t>
  </si>
  <si>
    <t>12-2030</t>
  </si>
  <si>
    <t>Southern Tier Energy Center, LLC</t>
  </si>
  <si>
    <t>Porter - Deerfield 115 kV (Line#9)</t>
  </si>
  <si>
    <t>Union Valley - Croton Falls 115 kV line #991</t>
  </si>
  <si>
    <t>08-2027</t>
  </si>
  <si>
    <t>12-2028</t>
  </si>
  <si>
    <t>West 49th Street 345 kV</t>
  </si>
  <si>
    <t>State St - Clinton Corn 115kV Line</t>
  </si>
  <si>
    <t>Sta 162 to Sta 180 115 kV Line #907</t>
  </si>
  <si>
    <t>Edic - Princetown 345kV Line 352</t>
  </si>
  <si>
    <t>Rainey-Farragut 345kV line break of lines 61, 62 and 63</t>
  </si>
  <si>
    <t>Highfalls - Kents Falls 46 kV line L871</t>
  </si>
  <si>
    <t>7/9/2021</t>
  </si>
  <si>
    <t>7/26/2021</t>
  </si>
  <si>
    <t>Clay-Teall Line No.10, 115 kV line</t>
  </si>
  <si>
    <t>Watson to Brightwaters 69kV</t>
  </si>
  <si>
    <t>Cayuta - Ridge Road 34.5kV Line #501</t>
  </si>
  <si>
    <t>Rotterdam-Schoharie 69kV line#18</t>
  </si>
  <si>
    <t>Colliers-Delhi 115KV</t>
  </si>
  <si>
    <t>New Scotland-Marcy 345kV</t>
  </si>
  <si>
    <t>Station 127 (Hook Rd) -Elbridge and Mortimer-Elbridge 115 kV lines</t>
  </si>
  <si>
    <t>North Carthage-Taylorville #8 and Black River-Taylorville #2 115 kV lines</t>
  </si>
  <si>
    <t>Wright Avenue - Milliken 115kV line</t>
  </si>
  <si>
    <t>Feeder 42424 (Existing POI at Gowanus 138 kV)</t>
  </si>
  <si>
    <t>Moses - Massena MMS 1 230kV</t>
  </si>
  <si>
    <t>Ruby Storage Project</t>
  </si>
  <si>
    <t>Topaz Storage Project</t>
  </si>
  <si>
    <t>Barrett to Long Beach 33 kV circuit No 1(33-224)</t>
  </si>
  <si>
    <t>Line 69-849 from West Yaphank to North Bellport</t>
  </si>
  <si>
    <t>Dennison - Colton 115kV line #4</t>
  </si>
  <si>
    <t>H; K</t>
  </si>
  <si>
    <t>ConEd, LIPA</t>
  </si>
  <si>
    <t>I; J; K</t>
  </si>
  <si>
    <t>Sprain Brook 345 kV; Tremont 345 kV; Barrett138 kV; Shore Road 138 kV; Syosset 138 kV; Ruland Rd 138 kV</t>
  </si>
  <si>
    <t>J; K</t>
  </si>
  <si>
    <t>Tremont 345kV; Barrett138 kV; Shore Road 138 kV; Ruland Rd 138 kV</t>
  </si>
  <si>
    <t>Sprain Brook 345 kV; Tremont 345 kV; East Garden City 345 kV; Barrett 138 kV; East Garden City 138 kV; Shore Road 138 kV; Ruland Rd 138 kV</t>
  </si>
  <si>
    <t>LIPA, ConEd, NYPA</t>
  </si>
  <si>
    <t>O&amp;R, ConEd, LIPA</t>
  </si>
  <si>
    <t>Sprain Brook 345 kV; Tremont 345 kV; East Garden City 345 kV; Barrett 138 kV; East Garden City 138 kV; Shore Road 138 kV; Syosset 138 kV; Ruland Rd 138 kV</t>
  </si>
  <si>
    <t>Sprain Brook 345 kV; Dunwoodie 345 kV; Tremont 345 kV; East Garden City 345 kV; Barrett 138 kV; East Garden City 138 kV; Shore Road 138 kV; Syosset 138 kV; Ruland Rd 138 kV</t>
  </si>
  <si>
    <t>Sprain Brook 345 kV; Dunwoodie 345 kV; Tremont 345 kV; Barrett 138 kV; Shore Road 138 kV; Syosset 138 kV; Ruland Rd 138 kV; Northport 138 kV</t>
  </si>
  <si>
    <t>Homer Hill - Dugan Rd 115kV</t>
  </si>
  <si>
    <t>Riverhead - Jamesport 69kV</t>
  </si>
  <si>
    <t>Moses-Reynolds MRG-1 and Moses-Reynolds MRG-2 at 115kV</t>
  </si>
  <si>
    <t>Grateful Storage LLC</t>
  </si>
  <si>
    <t>Chadwick Lake - East Walden 115 kV</t>
  </si>
  <si>
    <t>Lake Ronkonkoma Storage LLC</t>
  </si>
  <si>
    <t>Dix Hills Storage LLC</t>
  </si>
  <si>
    <t>Bagatelle Rd 138 kV</t>
  </si>
  <si>
    <t>Holtsville West Storage LLC</t>
  </si>
  <si>
    <t>Holtsville West Storage, LLC</t>
  </si>
  <si>
    <t>SUFFOLK</t>
  </si>
  <si>
    <t>McKean County Solar CSR Phase 1</t>
  </si>
  <si>
    <t>McKean County Solar CSR Phase 2</t>
  </si>
  <si>
    <t>Meyer - Eelpot Road 115 kV</t>
  </si>
  <si>
    <t>Curtis Street - Teall 115 kV</t>
  </si>
  <si>
    <t>Alcoa - N. Ogdensburg 115 kV</t>
  </si>
  <si>
    <t>Gowanus 345 KV</t>
  </si>
  <si>
    <t>Fresh Kills 345 KV</t>
  </si>
  <si>
    <t>Homer City - Mainesburg 345 KV</t>
  </si>
  <si>
    <t>3/8/2022</t>
  </si>
  <si>
    <t>Tap Shoemaker-Chester 138kV line (line 27)</t>
  </si>
  <si>
    <t>Buchanan Energy Storage - North</t>
  </si>
  <si>
    <t>Edic to Gordon Rd 345 kV line</t>
  </si>
  <si>
    <t>3/25/2022</t>
  </si>
  <si>
    <t>4/14/2022</t>
  </si>
  <si>
    <t>North Chelsea - Myers Corners 69 kV</t>
  </si>
  <si>
    <t>04-2029</t>
  </si>
  <si>
    <t>Ruland Road 138 kV</t>
  </si>
  <si>
    <t>OW Ocean Winds East</t>
  </si>
  <si>
    <t>OW Ocean Winds East 7</t>
  </si>
  <si>
    <t>Hartfield - Moon Road 115 kV line</t>
  </si>
  <si>
    <t>Riverhead -Tuthill 69 kV Line</t>
  </si>
  <si>
    <t>Farmington-Hamilton 115 kV Line Tap</t>
  </si>
  <si>
    <t>7/25/2022</t>
  </si>
  <si>
    <t>Schodack – Valkin line 14 115 kV</t>
  </si>
  <si>
    <t>09-2027</t>
  </si>
  <si>
    <t>Croton Falls - Union valley 115 kV</t>
  </si>
  <si>
    <t>10-2029</t>
  </si>
  <si>
    <t>Glove City Energy Center, LLC</t>
  </si>
  <si>
    <t>Glove City Solar</t>
  </si>
  <si>
    <t>Origis Development</t>
  </si>
  <si>
    <t>Lockport Storage</t>
  </si>
  <si>
    <t>1423</t>
  </si>
  <si>
    <t>Pivot Macvean</t>
  </si>
  <si>
    <t>1424</t>
  </si>
  <si>
    <t>Pivot Woodsmen</t>
  </si>
  <si>
    <t>Pivot Woodsmen BESS</t>
  </si>
  <si>
    <t>9/1/2022</t>
  </si>
  <si>
    <t>1429</t>
  </si>
  <si>
    <t>NY Southold 50100 County Rd 48 Storage B</t>
  </si>
  <si>
    <t>8B Peconic to 8J Southold 69kV line (69-957)</t>
  </si>
  <si>
    <t>Van Buren Storage</t>
  </si>
  <si>
    <t>Edic - Princetown 345kV Line #351</t>
  </si>
  <si>
    <t>Goethals-Gowanus 345kV Line Break</t>
  </si>
  <si>
    <t>Greenwood-Bensonhurst and Farragut-Brownsville 138 kV feeders</t>
  </si>
  <si>
    <t>FRANKLIN</t>
  </si>
  <si>
    <t>Malone 115 kV Substation</t>
  </si>
  <si>
    <t>North Norwich Solar</t>
  </si>
  <si>
    <t>County Line-East Norwich Tap 115 kV NYSEG</t>
  </si>
  <si>
    <t>Coopers Corner - Shortcut Rd 115 kV</t>
  </si>
  <si>
    <t>Gloversville Storage, LLC</t>
  </si>
  <si>
    <t>Gloversville Storage</t>
  </si>
  <si>
    <t>10-2027</t>
  </si>
  <si>
    <t>Air Products and Chemicals Inc</t>
  </si>
  <si>
    <t>Massena Green Hydrogen</t>
  </si>
  <si>
    <t>St Lawrence</t>
  </si>
  <si>
    <t>Capital Region Energy Storage LLC</t>
  </si>
  <si>
    <t>New Scotland BESS Project</t>
  </si>
  <si>
    <t>KCE NY 30, LLC</t>
  </si>
  <si>
    <t>KCE NY 30</t>
  </si>
  <si>
    <t>KCE NY 31, LLC</t>
  </si>
  <si>
    <t>KCE NY 31</t>
  </si>
  <si>
    <t>NYG Energy LLC</t>
  </si>
  <si>
    <t>Stewart Rock Energy Storage</t>
  </si>
  <si>
    <t>CS Grass River Solar, LLC</t>
  </si>
  <si>
    <t>Grass River Solar</t>
  </si>
  <si>
    <t>Alcoa - N. Ogdensburg 115kV line #13</t>
  </si>
  <si>
    <t>1453</t>
  </si>
  <si>
    <t>Soper Road</t>
  </si>
  <si>
    <t>10/25/2022</t>
  </si>
  <si>
    <t>Vineyard Northeast LLC</t>
  </si>
  <si>
    <t>Vineyard Northeast 2</t>
  </si>
  <si>
    <t>Hanwha Q CELLS USA Corp.</t>
  </si>
  <si>
    <t>Jasper Storage</t>
  </si>
  <si>
    <t>West Henrietta</t>
  </si>
  <si>
    <t>1459</t>
  </si>
  <si>
    <t>ELP Chatham Storage LLC</t>
  </si>
  <si>
    <t>ELP Chatham Storage</t>
  </si>
  <si>
    <t>Chatham 34.5kV Substation</t>
  </si>
  <si>
    <t>EDF Renewables inc.</t>
  </si>
  <si>
    <t>Sage Creek Solar</t>
  </si>
  <si>
    <t>11/11/2022</t>
  </si>
  <si>
    <t>Edic - Fitzpatrick 345 kV</t>
  </si>
  <si>
    <t>Digihost Technologies, Inc.</t>
  </si>
  <si>
    <t>Digihost load</t>
  </si>
  <si>
    <t>Walck Rd. 115kV</t>
  </si>
  <si>
    <t>Homer Hill Storage</t>
  </si>
  <si>
    <t>Highland Storage</t>
  </si>
  <si>
    <t>Cedar Lake Solar</t>
  </si>
  <si>
    <r>
      <t>●</t>
    </r>
    <r>
      <rPr>
        <i/>
        <sz val="8"/>
        <rFont val="Arial"/>
        <family val="2"/>
      </rPr>
      <t xml:space="preserve"> CY Completion/SGIA Tender refers to the Attachment X milestone used to apply the 4-year COD limitation.</t>
    </r>
  </si>
  <si>
    <r>
      <t>●</t>
    </r>
    <r>
      <rPr>
        <i/>
        <sz val="9.6"/>
        <rFont val="Arial"/>
        <family val="2"/>
      </rPr>
      <t xml:space="preserve"> </t>
    </r>
    <r>
      <rPr>
        <i/>
        <sz val="8"/>
        <rFont val="Arial"/>
        <family val="2"/>
      </rPr>
      <t>Proposed In-Service Dates, Proposed Initial Synchronization Dates and Commercial Operation Dates (COD) are shown in format Year/Qualifier, where Qualifier may indicate the month, season, or quarter.</t>
    </r>
  </si>
  <si>
    <t>12/31/22</t>
  </si>
  <si>
    <t>Ridge View Stoarge</t>
  </si>
  <si>
    <t>Kintigh-Dysinger 345kV</t>
  </si>
  <si>
    <t>57-77 Rust St</t>
  </si>
  <si>
    <t xml:space="preserve"> </t>
  </si>
  <si>
    <t>Perryville Solar</t>
  </si>
  <si>
    <t>Chittenango-Rathbun 34.5kV line</t>
  </si>
  <si>
    <t>Rush Creek Solar</t>
  </si>
  <si>
    <t>Tilden Station-Cardiff/Lords Hill 34.5kV</t>
  </si>
  <si>
    <t>Quarry Solar</t>
  </si>
  <si>
    <t>Perryville-Whitman 34.5kV</t>
  </si>
  <si>
    <t>● The column labeled 'SP' refers to the maximum summer megawatt electrical output.  The column labeled 'WP' refers to the maximum winter megawatt electrical output.</t>
  </si>
  <si>
    <r>
      <t xml:space="preserve">● </t>
    </r>
    <r>
      <rPr>
        <i/>
        <sz val="8"/>
        <rFont val="Arial"/>
        <family val="2"/>
      </rPr>
      <t>The column labeled 'Z' refers to the zone</t>
    </r>
  </si>
  <si>
    <t>Proposed COD</t>
  </si>
  <si>
    <t>Bull Run Wind</t>
  </si>
  <si>
    <t>0497</t>
  </si>
  <si>
    <t>NY125B - Two Rivers Solar</t>
  </si>
  <si>
    <t>St-Lawrence</t>
  </si>
  <si>
    <t>1043</t>
  </si>
  <si>
    <t>0339</t>
  </si>
  <si>
    <t>FES, FS</t>
  </si>
  <si>
    <t>Shoemaker-Westtown 69kV line #11 and Shoemaker to Deerpark 69 kV #14</t>
  </si>
  <si>
    <t>Miliken - Etna 115 kV lines 974 and 975</t>
  </si>
  <si>
    <t>Edic - Princetown 345 kV Line# 352</t>
  </si>
  <si>
    <t>Battenkill to Mohican 115kV line#15</t>
  </si>
  <si>
    <t>Brown's Falls to Newton Falls #22 34.5kV Line</t>
  </si>
  <si>
    <t>Porter - Valley 115kV</t>
  </si>
  <si>
    <t>Southern Tier Energy Center</t>
  </si>
  <si>
    <t>Union Energy Center, LLC</t>
  </si>
  <si>
    <t>Moses-Willis 230 kV (MW1)</t>
  </si>
  <si>
    <t>Moses-Willis 230kV (MW2)</t>
  </si>
  <si>
    <t>Hooks Road - Elbridge 115kV line#7</t>
  </si>
  <si>
    <t>Cayuga County</t>
  </si>
  <si>
    <t>St. Lawrence County</t>
  </si>
  <si>
    <t>Winner Solar, LLC</t>
  </si>
  <si>
    <t>Winner Solar</t>
  </si>
  <si>
    <t>Clinton County</t>
  </si>
  <si>
    <t>Amsterdam to Ephratah 69kV</t>
  </si>
  <si>
    <t>Kings County</t>
  </si>
  <si>
    <t>Dunkirk to Falconer 115 kV transmission</t>
  </si>
  <si>
    <t>Chenango County</t>
  </si>
  <si>
    <t>TableTop Solar II</t>
  </si>
  <si>
    <t>Crossbuck Energy Storage LLC</t>
  </si>
  <si>
    <t>Leeds BESS Project</t>
  </si>
  <si>
    <t>Upper Falls Solar</t>
  </si>
  <si>
    <t>11/29/2022</t>
  </si>
  <si>
    <t>Vineyard Mid-Atlantic LLC</t>
  </si>
  <si>
    <t>Vineyard Mid-Atlantic 3</t>
  </si>
  <si>
    <t>1477</t>
  </si>
  <si>
    <t>Terra-Gen Development Company</t>
  </si>
  <si>
    <t>Nine Mile Wind Farm</t>
  </si>
  <si>
    <t>1444</t>
  </si>
  <si>
    <t>Leeds-New Scotland 115 kV, Unionville-Callanan Industries 34.5 kV</t>
  </si>
  <si>
    <t>1469</t>
  </si>
  <si>
    <t>YSG</t>
  </si>
  <si>
    <t>Commodore</t>
  </si>
  <si>
    <t>Oneida County</t>
  </si>
  <si>
    <t>connection to a new breaker position on the 345 kV Bus (Bus #147833) at Marcy</t>
  </si>
  <si>
    <t>1358</t>
  </si>
  <si>
    <t>1390</t>
  </si>
  <si>
    <t>1415</t>
  </si>
  <si>
    <t>1461</t>
  </si>
  <si>
    <t>1480</t>
  </si>
  <si>
    <t>1481</t>
  </si>
  <si>
    <t>1482</t>
  </si>
  <si>
    <t>0583</t>
  </si>
  <si>
    <t>0517</t>
  </si>
  <si>
    <t>0490</t>
  </si>
  <si>
    <t>0390</t>
  </si>
  <si>
    <t>0394</t>
  </si>
  <si>
    <t>0395</t>
  </si>
  <si>
    <t>0397</t>
  </si>
  <si>
    <t>0403</t>
  </si>
  <si>
    <t>0431</t>
  </si>
  <si>
    <t>0432</t>
  </si>
  <si>
    <t>0001</t>
  </si>
  <si>
    <t>0002</t>
  </si>
  <si>
    <t>0003</t>
  </si>
  <si>
    <t>0004</t>
  </si>
  <si>
    <t>0011</t>
  </si>
  <si>
    <t>0017</t>
  </si>
  <si>
    <t>0018</t>
  </si>
  <si>
    <t>0025</t>
  </si>
  <si>
    <t>0031</t>
  </si>
  <si>
    <t>0055</t>
  </si>
  <si>
    <t>0066</t>
  </si>
  <si>
    <t>0069</t>
  </si>
  <si>
    <t>0079</t>
  </si>
  <si>
    <t>0080</t>
  </si>
  <si>
    <t>0081</t>
  </si>
  <si>
    <t>0082</t>
  </si>
  <si>
    <t>0083</t>
  </si>
  <si>
    <t>0084</t>
  </si>
  <si>
    <t>0085</t>
  </si>
  <si>
    <t>0094</t>
  </si>
  <si>
    <t>0095</t>
  </si>
  <si>
    <t>0099</t>
  </si>
  <si>
    <t>0107</t>
  </si>
  <si>
    <t>0115</t>
  </si>
  <si>
    <t>0121</t>
  </si>
  <si>
    <t>0122</t>
  </si>
  <si>
    <t>0123</t>
  </si>
  <si>
    <t>0125</t>
  </si>
  <si>
    <t>0133</t>
  </si>
  <si>
    <t>0135</t>
  </si>
  <si>
    <t>0138</t>
  </si>
  <si>
    <t>0136</t>
  </si>
  <si>
    <t>0139</t>
  </si>
  <si>
    <t>0141</t>
  </si>
  <si>
    <t>0143</t>
  </si>
  <si>
    <t>0144</t>
  </si>
  <si>
    <t>0145</t>
  </si>
  <si>
    <t>0146</t>
  </si>
  <si>
    <t>0149</t>
  </si>
  <si>
    <t>0153</t>
  </si>
  <si>
    <t>0156</t>
  </si>
  <si>
    <t>0160A</t>
  </si>
  <si>
    <t>0161</t>
  </si>
  <si>
    <t>0171</t>
  </si>
  <si>
    <t>0172</t>
  </si>
  <si>
    <t>0173</t>
  </si>
  <si>
    <t>0174</t>
  </si>
  <si>
    <t>0175</t>
  </si>
  <si>
    <t>0177</t>
  </si>
  <si>
    <t>0182</t>
  </si>
  <si>
    <t>0185</t>
  </si>
  <si>
    <t>0199</t>
  </si>
  <si>
    <t>0201A</t>
  </si>
  <si>
    <t>0201B</t>
  </si>
  <si>
    <t>0206</t>
  </si>
  <si>
    <t>0211</t>
  </si>
  <si>
    <t>0212</t>
  </si>
  <si>
    <t>0214</t>
  </si>
  <si>
    <t>0216</t>
  </si>
  <si>
    <t>0217A</t>
  </si>
  <si>
    <t>0224A</t>
  </si>
  <si>
    <t>0225</t>
  </si>
  <si>
    <t>0232</t>
  </si>
  <si>
    <t>0233</t>
  </si>
  <si>
    <t>0234</t>
  </si>
  <si>
    <t>0237A</t>
  </si>
  <si>
    <t>0245</t>
  </si>
  <si>
    <t>0250</t>
  </si>
  <si>
    <t>0251</t>
  </si>
  <si>
    <t>0260</t>
  </si>
  <si>
    <t>0263</t>
  </si>
  <si>
    <t>0270A</t>
  </si>
  <si>
    <t>0284</t>
  </si>
  <si>
    <t>0289</t>
  </si>
  <si>
    <t>0290A</t>
  </si>
  <si>
    <t>0294</t>
  </si>
  <si>
    <t>0308</t>
  </si>
  <si>
    <t>0318</t>
  </si>
  <si>
    <t>0326</t>
  </si>
  <si>
    <t>0330</t>
  </si>
  <si>
    <t>0331</t>
  </si>
  <si>
    <t>0333</t>
  </si>
  <si>
    <t>0337</t>
  </si>
  <si>
    <t>0340</t>
  </si>
  <si>
    <t>0342</t>
  </si>
  <si>
    <t>0353</t>
  </si>
  <si>
    <t>0355</t>
  </si>
  <si>
    <t>0368</t>
  </si>
  <si>
    <t>0373</t>
  </si>
  <si>
    <t>0375</t>
  </si>
  <si>
    <t>0378</t>
  </si>
  <si>
    <t>0380</t>
  </si>
  <si>
    <t>Quebec</t>
  </si>
  <si>
    <t>Edwards 138kV</t>
  </si>
  <si>
    <t>Coxsackie 13.8kV</t>
  </si>
  <si>
    <t>Aurora 34.5kV</t>
  </si>
  <si>
    <t>Scipio 34.5kV</t>
  </si>
  <si>
    <t>South Perry 34.5kV</t>
  </si>
  <si>
    <t>Bennington 34.5kV</t>
  </si>
  <si>
    <t>Craryville 115kV</t>
  </si>
  <si>
    <t>West 49th St 345kV</t>
  </si>
  <si>
    <t>Coldenham 115kV</t>
  </si>
  <si>
    <t>Golah 115kV</t>
  </si>
  <si>
    <t>Moraine 115kV</t>
  </si>
  <si>
    <t>Willis 115kV</t>
  </si>
  <si>
    <t>South Cairo 13.2kV</t>
  </si>
  <si>
    <t>Astoria West 138kV</t>
  </si>
  <si>
    <t>McIntyre - Corning 115kV (Line#6)</t>
  </si>
  <si>
    <t>Reynolds 115kV</t>
  </si>
  <si>
    <t>Homer City - Pierce Brook 345 kV</t>
  </si>
  <si>
    <t>Homer City - Mainesburg 345 kV</t>
  </si>
  <si>
    <t>2/28/2023</t>
  </si>
  <si>
    <t>01-2027</t>
  </si>
  <si>
    <t>Juno Power Express</t>
  </si>
  <si>
    <t>Horseshoe Solar Energy LLC</t>
  </si>
  <si>
    <t>Oakdale Substation 115kV</t>
  </si>
  <si>
    <t>Sithe 345kV Substation</t>
  </si>
  <si>
    <t>Chenango Forks 34.5kV</t>
  </si>
  <si>
    <t>White Creek Solar, LLC</t>
  </si>
  <si>
    <t>Juno Power Express 2</t>
  </si>
  <si>
    <t>Dunwoodie - 138kV North Substation</t>
  </si>
  <si>
    <t>Erie Substation 34.5kV</t>
  </si>
  <si>
    <t>Fenner 115kV Substation</t>
  </si>
  <si>
    <t>Owego 34.5kV Substation</t>
  </si>
  <si>
    <t>Lyme Substation 115kV</t>
  </si>
  <si>
    <t>West Babylon 69kV Substation</t>
  </si>
  <si>
    <t>Hatchery Solar LLC</t>
  </si>
  <si>
    <t>Glenwood Substation (4YH) 138kV bus</t>
  </si>
  <si>
    <t>New Gardenville 115kV Substation</t>
  </si>
  <si>
    <t>05-2027</t>
  </si>
  <si>
    <t>Valkin - Greenbush 115kV</t>
  </si>
  <si>
    <t>Battenkill Substation 34.5kV</t>
  </si>
  <si>
    <t>Fort Edward Solar LLC</t>
  </si>
  <si>
    <t>Pilgrim Substation 138 kV</t>
  </si>
  <si>
    <t>East Garden City Substation 345kV</t>
  </si>
  <si>
    <t>Moraine Road Substation 115 kV</t>
  </si>
  <si>
    <t>Invenergy Wind Development North America LLC</t>
  </si>
  <si>
    <t>Village of Arcade Freedom 115 kV Substation</t>
  </si>
  <si>
    <t>Vails Mills-Northville 69kV</t>
  </si>
  <si>
    <t>Grumman 69kV substation</t>
  </si>
  <si>
    <t>Emeren US, LLC</t>
  </si>
  <si>
    <t>EMEREN US, LLC</t>
  </si>
  <si>
    <t>Akwesasne Station 825 Substation 34.5kV</t>
  </si>
  <si>
    <t>Line tap between Teal to Oneida 115 kV Substations (Line #2)</t>
  </si>
  <si>
    <t>West Yaphank 69 kV Substation</t>
  </si>
  <si>
    <t>Gowanus 138 kV substation (utilizing the existing feeder 42421)</t>
  </si>
  <si>
    <t>Greenwood 138kV substation, via Feeder 23162</t>
  </si>
  <si>
    <t>Greenwood 138 kV substation, via Feeder 23161</t>
  </si>
  <si>
    <t>Edwards Avenue Substation at 138 kV</t>
  </si>
  <si>
    <t>Haley Road 34.5 kV Substation</t>
  </si>
  <si>
    <t>Brookhaven 138 kV Substation</t>
  </si>
  <si>
    <t>Manchester 115 kV substation</t>
  </si>
  <si>
    <t>Yawger 115 kV substation</t>
  </si>
  <si>
    <t>East Walden 115 kV substation</t>
  </si>
  <si>
    <t>Queensbury 34.5 kV substation</t>
  </si>
  <si>
    <t>Ronkonkoma 138 kV substation</t>
  </si>
  <si>
    <t>Holtsville 69 kV substation</t>
  </si>
  <si>
    <t>Sprain Brook 345 kV Substation</t>
  </si>
  <si>
    <t>Buchanan North 345 kV Substation</t>
  </si>
  <si>
    <t>Buchanan South 345 kV Substation</t>
  </si>
  <si>
    <t>Fraser substation 115 kV</t>
  </si>
  <si>
    <t>Farragut Substation 345 kV</t>
  </si>
  <si>
    <t>Fox Hills 138 kV Substation</t>
  </si>
  <si>
    <t>Rock Tavern - Roseton 345kV</t>
  </si>
  <si>
    <t>Eelpot Road 115kV substation</t>
  </si>
  <si>
    <t>Robinson Road 230 kV Substation</t>
  </si>
  <si>
    <t>1422</t>
  </si>
  <si>
    <t>Pivot Burnell</t>
  </si>
  <si>
    <t>Lyon Mountain - Saranac 115 kV</t>
  </si>
  <si>
    <t>Fox Hills 138kV Substation</t>
  </si>
  <si>
    <t>MECO 115 kV Substation</t>
  </si>
  <si>
    <t>1441</t>
  </si>
  <si>
    <t>Northbrook Lyons Falls LLC</t>
  </si>
  <si>
    <t>Lyons Falls Mill Repowering Project</t>
  </si>
  <si>
    <t>9/22/2022</t>
  </si>
  <si>
    <t>115kV Taylorville-Boonville Line 6 via the Lyonsdale Hydro tap</t>
  </si>
  <si>
    <t>West Babylon 69kV substation</t>
  </si>
  <si>
    <t>Perry Center 34.5 kV substation</t>
  </si>
  <si>
    <t>1456</t>
  </si>
  <si>
    <t>NY Amsterdam 152 Persons Rd Storage</t>
  </si>
  <si>
    <t>NY Wind - Pilgrim Uprate</t>
  </si>
  <si>
    <t>Suffolk County</t>
  </si>
  <si>
    <t>11-2029</t>
  </si>
  <si>
    <t>1463</t>
  </si>
  <si>
    <t>NY Amsterdam 516 Millers Corners Rd Storage</t>
  </si>
  <si>
    <t>1464</t>
  </si>
  <si>
    <t>Marlboro 115 kV Substation</t>
  </si>
  <si>
    <t>Line 907 Substation 162, Alleghany (S1185) and Houghton Substation (S180). 115kV</t>
  </si>
  <si>
    <t>East Garden City 345 kV Substation</t>
  </si>
  <si>
    <t>Homer Hill 115kV Substation (135282)</t>
  </si>
  <si>
    <t>Mount Hope Stand Alone Storage 1, LLC</t>
  </si>
  <si>
    <t>Mount Hope Stand Alone Storage</t>
  </si>
  <si>
    <t>Sandlot</t>
  </si>
  <si>
    <t>NY Whitesboro 0 Westmoreland Rd Storage</t>
  </si>
  <si>
    <t>Speckhardt Energy Storage</t>
  </si>
  <si>
    <t>Block Perch Solar</t>
  </si>
  <si>
    <t>Wallkill Energy Storage</t>
  </si>
  <si>
    <t>Ulster County</t>
  </si>
  <si>
    <t>Sidecar Solar</t>
  </si>
  <si>
    <t>115 kV South Owego Substation</t>
  </si>
  <si>
    <t>RWE Solar Development</t>
  </si>
  <si>
    <t>Farmhouse BESS</t>
  </si>
  <si>
    <t>Roseton 345 kV Substation</t>
  </si>
  <si>
    <t>Sullivan County Solar &amp; BESS</t>
  </si>
  <si>
    <t>Coopers Corner - Middletown Tap 345 kV line</t>
  </si>
  <si>
    <t>NY Wind - Mott Haven CSR</t>
  </si>
  <si>
    <t>The Bronx</t>
  </si>
  <si>
    <t>East Setauket energy Storage, LLC</t>
  </si>
  <si>
    <t>East Setauket Energy Storage II</t>
  </si>
  <si>
    <t>Holbrook to Miller Place 138kV</t>
  </si>
  <si>
    <t>Ramapo Storage Project 1</t>
  </si>
  <si>
    <t>Ramapo Substation (345kV)</t>
  </si>
  <si>
    <t>Ramapo Storage Project 2</t>
  </si>
  <si>
    <t>Palladium Storage LLC</t>
  </si>
  <si>
    <t>Palladium Storage</t>
  </si>
  <si>
    <t>04-2028</t>
  </si>
  <si>
    <t>05-2028</t>
  </si>
  <si>
    <t>Solaris Energy Storage LLC</t>
  </si>
  <si>
    <t>Solaris Energy Storage</t>
  </si>
  <si>
    <t>Greenwood 138kV Substation</t>
  </si>
  <si>
    <t>1454</t>
  </si>
  <si>
    <t>Ozone Renewables</t>
  </si>
  <si>
    <t>Short Tract Energy Storage</t>
  </si>
  <si>
    <t>RG&amp;E Short Tract Road Substation</t>
  </si>
  <si>
    <t>1513</t>
  </si>
  <si>
    <t>Watson Storage LLC</t>
  </si>
  <si>
    <t>Watson Storage System #1</t>
  </si>
  <si>
    <t>Glendale 27kV Substation</t>
  </si>
  <si>
    <t>1514</t>
  </si>
  <si>
    <t>Watson Storage System #2</t>
  </si>
  <si>
    <t>1516</t>
  </si>
  <si>
    <t>Fort Edward Solar</t>
  </si>
  <si>
    <t>Mohican-Battenkill 115kV Line #15</t>
  </si>
  <si>
    <t>1517</t>
  </si>
  <si>
    <t>Newport Deerfield Solar</t>
  </si>
  <si>
    <t>1523</t>
  </si>
  <si>
    <t>Foothills Solar</t>
  </si>
  <si>
    <t>1526</t>
  </si>
  <si>
    <t>Radial Power LLC (Radial Power BESS NY LLC)</t>
  </si>
  <si>
    <t>OATT NYISO Tuxedo Project</t>
  </si>
  <si>
    <t>55 NY 17, Tuxedo Park, NY 10987</t>
  </si>
  <si>
    <t>2/25/2023</t>
  </si>
  <si>
    <t>1400</t>
  </si>
  <si>
    <t>Gowanus Energy Storage</t>
  </si>
  <si>
    <t>Greenwood 138kV Substation with alternate feed connected to Gowanus Substation ~</t>
  </si>
  <si>
    <t>7/1/2022</t>
  </si>
  <si>
    <t>1356</t>
  </si>
  <si>
    <t>Taylorville - Boonville 115 kV</t>
  </si>
  <si>
    <t>3/24/2022</t>
  </si>
  <si>
    <t>1426</t>
  </si>
  <si>
    <t>Pivot Macvean BESS</t>
  </si>
  <si>
    <t>Amsterdam - Ephratah 69kV (Line#7)</t>
  </si>
  <si>
    <t>1427</t>
  </si>
  <si>
    <t>Pivot Burnell BESS</t>
  </si>
  <si>
    <t>Lyon Mountain - Saranac 115kV</t>
  </si>
  <si>
    <t>1411</t>
  </si>
  <si>
    <t>NY Johnstown 378 State Hwy 334 Storage</t>
  </si>
  <si>
    <t>Inghams - Meco #15 115 kV line</t>
  </si>
  <si>
    <t>8/1/2022</t>
  </si>
  <si>
    <t>1474</t>
  </si>
  <si>
    <t>NY Catskill 0 Route 9W Storage</t>
  </si>
  <si>
    <t>115 kV North Catskill-Churchtown 5 Line and Feura Bush -North Catskill 2 Line</t>
  </si>
  <si>
    <t>1466</t>
  </si>
  <si>
    <t>NY New Paltz 540 State Rte 32 S Storage</t>
  </si>
  <si>
    <t>Modena-Ohioville 115 kV line</t>
  </si>
  <si>
    <t>11/15/2022</t>
  </si>
  <si>
    <t>02-2027</t>
  </si>
  <si>
    <t>Hell Gate Energy Storage</t>
  </si>
  <si>
    <t>Hell Gate Bus Section 2 - 138kV</t>
  </si>
  <si>
    <t>Pouch Energy Storage</t>
  </si>
  <si>
    <t>Brentwood Energy Storage</t>
  </si>
  <si>
    <t>New Hartford Solar LLC</t>
  </si>
  <si>
    <t>New Hartford Solar Farm</t>
  </si>
  <si>
    <t>1445</t>
  </si>
  <si>
    <t>Apalachin Solar LLC</t>
  </si>
  <si>
    <t>Friendship Solar Farm</t>
  </si>
  <si>
    <t>NY Wind - Mott Haven Uprate</t>
  </si>
  <si>
    <t>1483</t>
  </si>
  <si>
    <t>Battle Hill Solar</t>
  </si>
  <si>
    <t>Battle Hill 115kV Substation</t>
  </si>
  <si>
    <t>GCEDC</t>
  </si>
  <si>
    <t>580 STAMP load increase</t>
  </si>
  <si>
    <t>Yellow Feather Energy Center</t>
  </si>
  <si>
    <t>Inghams to Center Street 115 kV Line Tap</t>
  </si>
  <si>
    <t>Sweet Valley Energy Center</t>
  </si>
  <si>
    <t>Sweet Valley Solar</t>
  </si>
  <si>
    <t>Dysinger - Station 255 (Henrietta) #1 345kV line</t>
  </si>
  <si>
    <t>Sweet Valley Storage</t>
  </si>
  <si>
    <t>Zulu BESS</t>
  </si>
  <si>
    <t>Bethlehem Road 115 kV Substation</t>
  </si>
  <si>
    <t>Oswego Clean Energy LLC</t>
  </si>
  <si>
    <t>Oswego Solar</t>
  </si>
  <si>
    <t>NY Wind - Pilgrim CSR</t>
  </si>
  <si>
    <t>Milliken (Cayuga) 115 kV Substation</t>
  </si>
  <si>
    <t>Hodson Energy Little Falls LLC</t>
  </si>
  <si>
    <t>Little Falls Solar &amp; BESS</t>
  </si>
  <si>
    <t>ELP Clay Storage LLC</t>
  </si>
  <si>
    <t>ELP Clay Storage</t>
  </si>
  <si>
    <t>Clay 345 kV Substation</t>
  </si>
  <si>
    <t>Coopers Corner Storage Project 1</t>
  </si>
  <si>
    <t>Coopers Corners 345 kV substation</t>
  </si>
  <si>
    <t>Coopers Corner Storage Project 2 LLC</t>
  </si>
  <si>
    <t>Coopers Corner Storage Project 2</t>
  </si>
  <si>
    <t>Coopers Corners 345 kV Substation</t>
  </si>
  <si>
    <t>Boonville - Porter 115kV line 1</t>
  </si>
  <si>
    <t>1508</t>
  </si>
  <si>
    <t>Robin MDS BESS, LLC</t>
  </si>
  <si>
    <t>Robin MDS BESS</t>
  </si>
  <si>
    <t>Robinson Road 34.5 kV</t>
  </si>
  <si>
    <t>1521</t>
  </si>
  <si>
    <t>Iroquois Gas Transmission System</t>
  </si>
  <si>
    <t>IGTS Wright EMD Compressor</t>
  </si>
  <si>
    <t>Rotterdam - New Scotland #13 115kV line</t>
  </si>
  <si>
    <t>1522</t>
  </si>
  <si>
    <t>GTS Dover EMD Compressor</t>
  </si>
  <si>
    <t>Pleasant Valley - Cricket Valley 345kV</t>
  </si>
  <si>
    <t>1527</t>
  </si>
  <si>
    <t>Leeds-New Scotland 115 kV</t>
  </si>
  <si>
    <t>Empire Wind 1</t>
  </si>
  <si>
    <t>Yellow Barn Solar, LLC</t>
  </si>
  <si>
    <t>Mott Haven 345 kV</t>
  </si>
  <si>
    <t>Somerset Solar, LLC</t>
  </si>
  <si>
    <t>Homer City - Mainesburg 345KV</t>
  </si>
  <si>
    <t>Cortland - Fenner 115kV Line #3</t>
  </si>
  <si>
    <t>Cortland - Fenner Line #3 115 kV</t>
  </si>
  <si>
    <t>Newport Deerfield Solar LLC</t>
  </si>
  <si>
    <t>Foothills Solar LLC</t>
  </si>
  <si>
    <t>Mayfeild-Northville 69kV #8</t>
  </si>
  <si>
    <t>Maplewood - Menands 115kV Line #19 &amp; Maplewood - Reynolds 115kV Line #31</t>
  </si>
  <si>
    <t>Astoria Annex 345 kV</t>
  </si>
  <si>
    <t>Fresh Kills 345 kV</t>
  </si>
  <si>
    <t>Stoney Ridge 230 KV Substation</t>
  </si>
  <si>
    <t>Harlem River Yards Energy Storage</t>
  </si>
  <si>
    <t>Hell Gate Annex - 138kV voltage</t>
  </si>
  <si>
    <t>Catlin Creek Energy Storage 1, LLC</t>
  </si>
  <si>
    <t>Westtown - Shoemaker 69 kV line #11</t>
  </si>
  <si>
    <t>Line #1 115kV YAHNUNDASIS-CHADWICKS</t>
  </si>
  <si>
    <t>Boonville - Porter 115kV Line 1</t>
  </si>
  <si>
    <t>East Bridge Storage, LLC</t>
  </si>
  <si>
    <t>Mulberry Energy Storage 1, LLC</t>
  </si>
  <si>
    <t>Farragut 345 kV Substation</t>
  </si>
  <si>
    <t>Henrietta (S255) 345 kV Substation</t>
  </si>
  <si>
    <t>Clinton ERCC - Clinton Tap 115kV</t>
  </si>
  <si>
    <t>Pilgrim 138 kV</t>
  </si>
  <si>
    <t>LS Power</t>
  </si>
  <si>
    <t>Homer Hill 34.5 kV Substation</t>
  </si>
  <si>
    <t>ABUNDANT SOLAR POWER (US-NY-MARKHAM HOLLOW RD-001) LLC</t>
  </si>
  <si>
    <t>Suny Fabius - Transmission Connected Solar PV Project</t>
  </si>
  <si>
    <t>Mine Road - Colony 34.5 kV Line 28 (ES 899)</t>
  </si>
  <si>
    <t>Northport - Pilgrim 138kV Line (138-679A&amp;B)</t>
  </si>
  <si>
    <t>Ohioville 115 kV Substation Bus 2</t>
  </si>
  <si>
    <t>Mott Haven 138 kV substation</t>
  </si>
  <si>
    <t>1512</t>
  </si>
  <si>
    <t>Prospect Hill Road</t>
  </si>
  <si>
    <t>69 kV Mongaup to Cuddebackville</t>
  </si>
  <si>
    <t>Hodson Energy Rush LLC</t>
  </si>
  <si>
    <t>Rush Solar &amp; BESS</t>
  </si>
  <si>
    <t>Mortimer to Golah 115kV</t>
  </si>
  <si>
    <t>SATURN ENERGY STORAGE</t>
  </si>
  <si>
    <t>Dayton Energy Storage Project</t>
  </si>
  <si>
    <t>34.5 kV Dayton substation</t>
  </si>
  <si>
    <t>1520</t>
  </si>
  <si>
    <t>Nile Energy Storage Project</t>
  </si>
  <si>
    <t>34.5 kV Nile substation</t>
  </si>
  <si>
    <t>RGE</t>
  </si>
  <si>
    <t>Westchester Wind</t>
  </si>
  <si>
    <t>1531</t>
  </si>
  <si>
    <t>Alden Energy Storage Project</t>
  </si>
  <si>
    <t>34.5 kV Alden substation</t>
  </si>
  <si>
    <t>Beaver Falls, LLC</t>
  </si>
  <si>
    <t>Beaver Falls Energy Storage</t>
  </si>
  <si>
    <t>Syracuse, LLC</t>
  </si>
  <si>
    <t>Syracuse Energy Storage</t>
  </si>
  <si>
    <t>Westtown II Energy Storage</t>
  </si>
  <si>
    <t>Westtown 69 kV substation</t>
  </si>
  <si>
    <t>Eden Renewables</t>
  </si>
  <si>
    <t>New Scotland BES 1 and 2</t>
  </si>
  <si>
    <t>New Scotland 345 kV Substation</t>
  </si>
  <si>
    <t>White Pine Phase 1</t>
  </si>
  <si>
    <t>Nexamp</t>
  </si>
  <si>
    <t>1538</t>
  </si>
  <si>
    <t>Kenmore Energy Storage Project</t>
  </si>
  <si>
    <t>Mulberry Energy Storage Project</t>
  </si>
  <si>
    <t>1542</t>
  </si>
  <si>
    <t>Blue Sky Interconnect, LLC.</t>
  </si>
  <si>
    <t>Blue Sky Interconnect 1</t>
  </si>
  <si>
    <t>1543</t>
  </si>
  <si>
    <t>Blue Sky Interconnect, LLC</t>
  </si>
  <si>
    <t>Blue Sky Interconnect 2</t>
  </si>
  <si>
    <t>1544</t>
  </si>
  <si>
    <t>EDF renewables inc.</t>
  </si>
  <si>
    <t>Port Jefferson 138kV station</t>
  </si>
  <si>
    <t>0209A</t>
  </si>
  <si>
    <t>Riverline Energy Center, LLC</t>
  </si>
  <si>
    <t>Silverline Energy Center, LLC</t>
  </si>
  <si>
    <t>Coopers Corner Storage Project 1 LLC</t>
  </si>
  <si>
    <t>South Suffolk Energy Storage</t>
  </si>
  <si>
    <t>Holbrook Energy Storage</t>
  </si>
  <si>
    <t>KCE NY 35, LLC</t>
  </si>
  <si>
    <t>KCE NY 36, LLC</t>
  </si>
  <si>
    <t>Blue Spruce Storage LLC</t>
  </si>
  <si>
    <t>Riverline Energy Center</t>
  </si>
  <si>
    <t>Silverline Energy Center</t>
  </si>
  <si>
    <t>Salt Rush Wind</t>
  </si>
  <si>
    <t>Propel NY Energy ? Base Solution 2</t>
  </si>
  <si>
    <t>Propel NY Energy ? Base Solution 4</t>
  </si>
  <si>
    <t>Propel NY Energy ? Base Solution 1</t>
  </si>
  <si>
    <t>Propel NY Energy ? Base Solution 3</t>
  </si>
  <si>
    <t>Propel NY Energy ? Alternate Solution 6</t>
  </si>
  <si>
    <t>Propel NY Energy ? Alternate Solution 7</t>
  </si>
  <si>
    <t>Flynn Energy Storage</t>
  </si>
  <si>
    <t>Holbrook II Energy Storage</t>
  </si>
  <si>
    <t>KCE NY 35</t>
  </si>
  <si>
    <t>Kettlebail Solar</t>
  </si>
  <si>
    <t>KCE NY 36 LLC</t>
  </si>
  <si>
    <t>Blue Spruce Storage</t>
  </si>
  <si>
    <t>15</t>
  </si>
  <si>
    <t>Willis - Moses 230 kV MW1</t>
  </si>
  <si>
    <t>Mott Haven - Rainey 345 kV Circuits</t>
  </si>
  <si>
    <t>Existing Holbrook (8D) 138 kV</t>
  </si>
  <si>
    <t>Buchanan North Substation 345kV</t>
  </si>
  <si>
    <t>Edic to Princetown 345kV Line 352</t>
  </si>
  <si>
    <t>Barrett 138 kV, Ruland Road 138 kV, Millwood ? Buchanan 345 kV lines(W97/W98), Millwood ? Pleasant Valley 345 kV lines (W80/W81)</t>
  </si>
  <si>
    <t>Nassau-Hudson #9 Line 34.5 kV</t>
  </si>
  <si>
    <t>Brentwood Substation Bus #1 - 69kV</t>
  </si>
  <si>
    <t>Edic to Princetown 345 kV transmission line ? Ckt ID 1</t>
  </si>
  <si>
    <t>Sprainbrook-Eastview 345kV #1N, #1S, and #2S.</t>
  </si>
  <si>
    <t>National Grid 115kV Line 46, 2.98 miles from Praxair (Buffalo Sewer) 115kV station and 3.21 miles from Huntley 115kV station.</t>
  </si>
  <si>
    <t>Centereach 69 kV Substation</t>
  </si>
  <si>
    <t>Leeds 345kV substation</t>
  </si>
  <si>
    <t>Clarks Corner - Lafayette Station 345 kV</t>
  </si>
  <si>
    <t>Yahnundasis substation 115kV</t>
  </si>
  <si>
    <t>Hell Gate Annex 138KV Substation</t>
  </si>
  <si>
    <t>05-2030</t>
  </si>
  <si>
    <t>0925</t>
  </si>
  <si>
    <t>1167</t>
  </si>
  <si>
    <t>1540</t>
  </si>
  <si>
    <t>North Bergen Liberty Generating, LLC</t>
  </si>
  <si>
    <t>Hecate Grid Clermont 1 LLC</t>
  </si>
  <si>
    <t>Clermont 1</t>
  </si>
  <si>
    <t>CPNY</t>
  </si>
  <si>
    <t>Cayuta Add-on</t>
  </si>
  <si>
    <t>Delaware Queens</t>
  </si>
  <si>
    <t>Fraser 345kV sending Rainey 345kV receiving</t>
  </si>
  <si>
    <t>The POI will be located 1.78mi from Cayuta 34.5kV substation and 11.78mi from Ridge Road 230kV substation. Utilizes the same gen-tie line to deliver power to the POI at existing 34.5 kV pole located at 42.272362°, -76.731007°</t>
  </si>
  <si>
    <t>Arkwright Summit Wind Farm LLC</t>
  </si>
  <si>
    <t>Astoria Energy - Phase 1</t>
  </si>
  <si>
    <t>Munnsville - Phase 1</t>
  </si>
  <si>
    <t>Brown's Race III</t>
  </si>
  <si>
    <t>34.5</t>
  </si>
  <si>
    <t>Brentwood 69 kV</t>
  </si>
  <si>
    <t>West 49th Street 345kV</t>
  </si>
  <si>
    <t>Hartfield  South Dow 34.5kV</t>
  </si>
  <si>
    <t>Ephratah  Amsterdam 69kV</t>
  </si>
  <si>
    <t>Haley Rd. - Hall 34.5kV</t>
  </si>
  <si>
    <t>Coopers  Rock Tavern 345kV</t>
  </si>
  <si>
    <t>Dunkirk - Moon 115 kV</t>
  </si>
  <si>
    <t>Chases Lake Substation 230kV</t>
  </si>
  <si>
    <t>Luther Forest 34.5kV</t>
  </si>
  <si>
    <t>Astoria Energy - Phase 2</t>
  </si>
  <si>
    <t>Munnsville - Phase 2</t>
  </si>
  <si>
    <t>1569</t>
  </si>
  <si>
    <t>Morris Ridge Solar Energy Center, LLC</t>
  </si>
  <si>
    <t>West Babylon Storage</t>
  </si>
  <si>
    <t>Fort Covington Solar LLC</t>
  </si>
  <si>
    <t>Sandlot Energy LLC</t>
  </si>
  <si>
    <t>Stonewall Add-on</t>
  </si>
  <si>
    <t>Elevate Arthur Kill, LLC</t>
  </si>
  <si>
    <t>Rolling Upland Wind Farm LLC</t>
  </si>
  <si>
    <t>Sullivan County Solar &amp; BESS Uprate</t>
  </si>
  <si>
    <t>North Bergen Liberty Generating</t>
  </si>
  <si>
    <t>Liberty BESS</t>
  </si>
  <si>
    <t>Roma Storage LLC</t>
  </si>
  <si>
    <t>Roma Storage</t>
  </si>
  <si>
    <t>Flat Creek Storage</t>
  </si>
  <si>
    <t>Middletown Energy Storage LLC</t>
  </si>
  <si>
    <t>North River Development, LLC</t>
  </si>
  <si>
    <t>North River</t>
  </si>
  <si>
    <t>Golden Knight Solar, LLC</t>
  </si>
  <si>
    <t>Golden Knight Solar</t>
  </si>
  <si>
    <t>Appian Way Energy Partners East LLC</t>
  </si>
  <si>
    <t>Meyer XF Upgrade Proposal</t>
  </si>
  <si>
    <t>Sugarloaf BESS</t>
  </si>
  <si>
    <t>Mission Clean Energy</t>
  </si>
  <si>
    <t>Cassiopeia Energy Center</t>
  </si>
  <si>
    <t>Sullivan and Queens</t>
  </si>
  <si>
    <t>S158 High banks 34.5 kV</t>
  </si>
  <si>
    <t>Inghams-Valley 46kV Line 27</t>
  </si>
  <si>
    <t>Barrett to Oil City 33-317 and 33-222</t>
  </si>
  <si>
    <t>Barrett to Valley Stream 138-291 &amp; Barrett to Valley Stream 138-292</t>
  </si>
  <si>
    <t>Pulaski 69kV</t>
  </si>
  <si>
    <t>Port Jefferson 138kV</t>
  </si>
  <si>
    <t>North Catskill - Milan 115kV</t>
  </si>
  <si>
    <t>West Bus 138 kV</t>
  </si>
  <si>
    <t>Grumman 69 kV</t>
  </si>
  <si>
    <t>Ohioville 115 kV</t>
  </si>
  <si>
    <t>West Babylon 69kV</t>
  </si>
  <si>
    <t>Eelpot Road 34.5 kV</t>
  </si>
  <si>
    <t>Hudson Ave 138 kV</t>
  </si>
  <si>
    <t>East Garden City 345kV</t>
  </si>
  <si>
    <t>Southold 69 kV</t>
  </si>
  <si>
    <t>Churchtown 115 kV</t>
  </si>
  <si>
    <t>Marshville 69 kV</t>
  </si>
  <si>
    <t>Border City 115 kV</t>
  </si>
  <si>
    <t>Teal-Oneida 115kV (Line#2)</t>
  </si>
  <si>
    <t>Middle Rd 115 kV</t>
  </si>
  <si>
    <t>Buchanan South 345 kV</t>
  </si>
  <si>
    <t>Yahnundasis - Clinton 46 kV</t>
  </si>
  <si>
    <t>Station 128 - Station 7325 115 kV Line #923</t>
  </si>
  <si>
    <t>Dunkirk - Silver Creek 115 kV (Line#142)</t>
  </si>
  <si>
    <t>Woodhull 34.5 kV</t>
  </si>
  <si>
    <t>Sills Road 138 kV</t>
  </si>
  <si>
    <t>Wading River 138 kV</t>
  </si>
  <si>
    <t>Morrisville 46 kV</t>
  </si>
  <si>
    <t>Sills Road 138kV</t>
  </si>
  <si>
    <t>East Walden 115kV</t>
  </si>
  <si>
    <t>Shenandoah 115kV</t>
  </si>
  <si>
    <t>Kings 138 kV</t>
  </si>
  <si>
    <t>Thousand Island - Coffeen 115 kV Line #4</t>
  </si>
  <si>
    <t>Black River 115 kV</t>
  </si>
  <si>
    <t>Edic - Princetown 345kV Line# 352</t>
  </si>
  <si>
    <t>Port Jefferson - Mt. Sinai 69 kV</t>
  </si>
  <si>
    <t>Pathnode-Duley 230 kV line</t>
  </si>
  <si>
    <t>East 13th Street-Farragut 345 kV line 45 and line 46</t>
  </si>
  <si>
    <t>Brookhaven - 8ER 138 kV</t>
  </si>
  <si>
    <t>Fraser 345 kV and Rainey 345 kV substations</t>
  </si>
  <si>
    <t>Millwood 345 kV Substation</t>
  </si>
  <si>
    <t>Eastview 138 kV Substation</t>
  </si>
  <si>
    <t>Rainey 345 kV substation and Vernon 138 kV substation</t>
  </si>
  <si>
    <t>Leeds 3-Van Wagner 345 kV Line</t>
  </si>
  <si>
    <t>Tilden - Cortland 18 115kV</t>
  </si>
  <si>
    <t>Coxsackie 69 kV substation</t>
  </si>
  <si>
    <t>Leeds 345 kV substation</t>
  </si>
  <si>
    <t>Greenbush 115 kV Substation</t>
  </si>
  <si>
    <t>Moons to Falconer 115 kV Line #175</t>
  </si>
  <si>
    <t>Kamine Syracuse 115 kV substation</t>
  </si>
  <si>
    <t>34.5 kV Mulberry substation</t>
  </si>
  <si>
    <t>Gowanus to Farragut 345 kV Line #41 and #42</t>
  </si>
  <si>
    <t>Edic to Fitzpatrick 345 kV line</t>
  </si>
  <si>
    <t>Fresh Kills 345 kV substation</t>
  </si>
  <si>
    <t>Astoria East 138KV Substation</t>
  </si>
  <si>
    <t>Coopers Corner 345 kV substation (sending) and Rainey 345 kV substation (receiving)</t>
  </si>
  <si>
    <t>138kV Sugarloaf Substation</t>
  </si>
  <si>
    <t>Geres Lock 115 kV Substation</t>
  </si>
  <si>
    <t>01-2028</t>
  </si>
  <si>
    <t>01-2029</t>
  </si>
  <si>
    <t>NY State Electric &amp; Gas</t>
  </si>
  <si>
    <t>NY Power Authority</t>
  </si>
  <si>
    <t>1551</t>
  </si>
  <si>
    <t>Nine Mile Wind Energy</t>
  </si>
  <si>
    <t>Terra-Gen Development Company, LLC</t>
  </si>
  <si>
    <t>Stoner ? Rotterdam 115 kV line#12</t>
  </si>
  <si>
    <t>Homer Hill 115kV Substation</t>
  </si>
  <si>
    <t xml:space="preserve">S </t>
  </si>
  <si>
    <t>Darby Solar, LLC</t>
  </si>
  <si>
    <t>0730</t>
  </si>
  <si>
    <t>0759</t>
  </si>
  <si>
    <t>KCE NY 6, LLC</t>
  </si>
  <si>
    <t>KCE NY 6</t>
  </si>
  <si>
    <t>Gardenville - Bethlehem Steel Wind 115kV Line #150</t>
  </si>
  <si>
    <t>Heritage Wind, LLC</t>
  </si>
  <si>
    <t>Wild Ox Solar Project, LLC</t>
  </si>
  <si>
    <t>Iris Bloom Solar Project</t>
  </si>
  <si>
    <t>QMB 2 Energy Storage, LLC</t>
  </si>
  <si>
    <t>Marathon Power LLC</t>
  </si>
  <si>
    <t>Alfred Oaks Solar</t>
  </si>
  <si>
    <t>Community OSW Brooklyn CEH 1</t>
  </si>
  <si>
    <t>Community OSW Brooklyn CEH 2</t>
  </si>
  <si>
    <t>Elevate Arthur Kill II, LLC</t>
  </si>
  <si>
    <t>Wild Ox Solar</t>
  </si>
  <si>
    <t>Iris Bloom Solar Project, LLC</t>
  </si>
  <si>
    <t>Arch Energy Storage</t>
  </si>
  <si>
    <t>QMB2 Storage II</t>
  </si>
  <si>
    <t>Marathon</t>
  </si>
  <si>
    <t>Orchard BESS</t>
  </si>
  <si>
    <t>Gillie Brook Solar</t>
  </si>
  <si>
    <t>Hudson County</t>
  </si>
  <si>
    <t>Mott Haven 138 kV</t>
  </si>
  <si>
    <t>Rock Tavern 345KV</t>
  </si>
  <si>
    <t>69 kV Line 13 - Cuddlebackville to Shoemaker Substation</t>
  </si>
  <si>
    <t>Fraser - Colliers 115 kV</t>
  </si>
  <si>
    <t>County-Brothertown Line 115kV</t>
  </si>
  <si>
    <t>W49th St 345kV substation</t>
  </si>
  <si>
    <t>Moon Road Sub, 115 kV</t>
  </si>
  <si>
    <t>Corona 138kV station</t>
  </si>
  <si>
    <t>Greenlawn 138kV Substation</t>
  </si>
  <si>
    <t>115 kV Modena Substation</t>
  </si>
  <si>
    <t>Edwards Avenue 138 kV Substation</t>
  </si>
  <si>
    <t>NextEra Energy Transmission NY, Inc.</t>
  </si>
  <si>
    <t>LS Power Grid NY, LLC</t>
  </si>
  <si>
    <t>1560</t>
  </si>
  <si>
    <t>YSG Land Holdings, LLC</t>
  </si>
  <si>
    <t>Ramadi Utility</t>
  </si>
  <si>
    <t>138 KV LIPA Transmission System at LIPA Existing Sills Road Substation</t>
  </si>
  <si>
    <t>1581</t>
  </si>
  <si>
    <t>Mud Mill Storage</t>
  </si>
  <si>
    <t>Bartell 13.2kV Substation</t>
  </si>
  <si>
    <t>Milliken - Etna 115 kV line #975</t>
  </si>
  <si>
    <t>Falconer - Warren 115 kV line #171</t>
  </si>
  <si>
    <t>Thousand Islands - Coffeen St. #4 115kV</t>
  </si>
  <si>
    <t>Homer Hill - Andover 115 kV Line #157</t>
  </si>
  <si>
    <t>Border City - Elbridge 115 kV Line#10</t>
  </si>
  <si>
    <t>Goethals - Gowanus 345 kV</t>
  </si>
  <si>
    <t>Lyme - North Watertown 115kV Line #13</t>
  </si>
  <si>
    <t>Edic - Princetown 345 kV #351 line</t>
  </si>
  <si>
    <t>Easton Solar LLC</t>
  </si>
  <si>
    <t>Port Jefferson Energy Storage, LLC</t>
  </si>
  <si>
    <t>North Bergen Liberty Generating LLC</t>
  </si>
  <si>
    <t>Saturn Energy Storage</t>
  </si>
  <si>
    <t>ELP Holland Solar LLC</t>
  </si>
  <si>
    <t>PA-Hockenberry</t>
  </si>
  <si>
    <t>Grid Connected Infrastructure, LLC</t>
  </si>
  <si>
    <t>Jupiter Power LLC</t>
  </si>
  <si>
    <t>Liberty Green Line</t>
  </si>
  <si>
    <t>ELP Holland Solar</t>
  </si>
  <si>
    <t>Alcazar Energy Storage</t>
  </si>
  <si>
    <t>Moreau Storage</t>
  </si>
  <si>
    <t>Agricola Wind 2</t>
  </si>
  <si>
    <t>Erie Canal BESS</t>
  </si>
  <si>
    <t>BR Project 2</t>
  </si>
  <si>
    <t>Icebox Energy Storage</t>
  </si>
  <si>
    <t>EGC BESS II</t>
  </si>
  <si>
    <t>Station 127 (RGE)-Elbridge (NG) 115kV Line #7-983</t>
  </si>
  <si>
    <t>Schodack - Falls Park 115 kV Line #14</t>
  </si>
  <si>
    <t>Jamaica - Valley Stream 138kV</t>
  </si>
  <si>
    <t>Byron 345 kV substation</t>
  </si>
  <si>
    <t>Valkin - Falls Park 115 kV line #19</t>
  </si>
  <si>
    <t>Brooklyn Clean Energy Hub 345 kV</t>
  </si>
  <si>
    <t>Raquette Lake - Eagle Bay 46 kV line</t>
  </si>
  <si>
    <t>Inghams - Stoner 115kV line #9</t>
  </si>
  <si>
    <t>115 kV Line #7 Clay-Lighthouse Hill</t>
  </si>
  <si>
    <t>Adirondack Substation 115kV</t>
  </si>
  <si>
    <t>West Bus 138 kV Substation</t>
  </si>
  <si>
    <t>Con Edison W 49th St 345kV Substation</t>
  </si>
  <si>
    <t>Eelpot Rd to Flat St 115 kV</t>
  </si>
  <si>
    <t>Rock Tavern 345kV Substation</t>
  </si>
  <si>
    <t>A new 34.5kV three breaker ring bus switching station, tapped on the NYSEG?s existing 34.5 kV line #520 from NYSEG?s Cobble Hill_34.5 kV to NYSEG?s Stolle Rd_34.5 kV. 10.5 miles from Cobble Hill_34.5 kV, 17 miles to Stolle Rd_34.5 kV.</t>
  </si>
  <si>
    <t>Hudson Falls-McCrea St 17 Sub-Transmission 34.5kV line</t>
  </si>
  <si>
    <t>115kV line # 973 from Milliken to Wright Ave</t>
  </si>
  <si>
    <t>Robinson Road 115 kV</t>
  </si>
  <si>
    <t>Solvay Station 57 115kV</t>
  </si>
  <si>
    <t>East Garden City 345kV bus</t>
  </si>
  <si>
    <t>ConEd, PJM</t>
  </si>
  <si>
    <t>NYSEG;</t>
  </si>
  <si>
    <t>1331</t>
  </si>
  <si>
    <t>Solar Generation</t>
  </si>
  <si>
    <t>Solar Generation Jennison Revitalization Facility</t>
  </si>
  <si>
    <t>1537</t>
  </si>
  <si>
    <t>Pulaski Street Storage</t>
  </si>
  <si>
    <t>1567</t>
  </si>
  <si>
    <t>Anbaric Development Partners</t>
  </si>
  <si>
    <t>Hera Power Link 1200</t>
  </si>
  <si>
    <t>1568</t>
  </si>
  <si>
    <t>Hera Power Link 1500</t>
  </si>
  <si>
    <t>Jennison 115 kV</t>
  </si>
  <si>
    <t>Tuthill-Riverhead 69kV Line</t>
  </si>
  <si>
    <t>Brooklyn Clean Energy Hub 345kV</t>
  </si>
  <si>
    <t>MEYER 115kV_1 BK4S, MEYER 230kV_1 BK4P</t>
  </si>
  <si>
    <t>Watkins Glen Solar Energy Center, LLC</t>
  </si>
  <si>
    <t>Bear Peak Power LLC</t>
  </si>
  <si>
    <t>Bluewave Origination LLC</t>
  </si>
  <si>
    <t>Riptide Storage</t>
  </si>
  <si>
    <t>BPP NY Lansing BESS I</t>
  </si>
  <si>
    <t>Lighthouse Energy Storage</t>
  </si>
  <si>
    <t>NY New Scotland 99 New Scotland South Rd Storage</t>
  </si>
  <si>
    <t>Roma Storage 2</t>
  </si>
  <si>
    <t>1600</t>
  </si>
  <si>
    <t>Haverstock - Adirondack 345 kV line 1</t>
  </si>
  <si>
    <t>Oneida - Yahnundasis #6 115kV</t>
  </si>
  <si>
    <t>Oswego 115 kV Substation</t>
  </si>
  <si>
    <t>Elbridge 115 kV Substation</t>
  </si>
  <si>
    <t>Alden 34.5kV</t>
  </si>
  <si>
    <t>Hurley 345kV Substation</t>
  </si>
  <si>
    <t>Dunkirk to Gardenville 230 kV line #74</t>
  </si>
  <si>
    <t>115 kV New Scotland substation</t>
  </si>
  <si>
    <t>ConEd Vernon 138KV Substation</t>
  </si>
  <si>
    <t>1135</t>
  </si>
  <si>
    <t>1185</t>
  </si>
  <si>
    <t>1579</t>
  </si>
  <si>
    <t>1582</t>
  </si>
  <si>
    <t>Andrew van Doorn</t>
  </si>
  <si>
    <t>NY - 74 Michigan Hill Rd - 1</t>
  </si>
  <si>
    <t>Feeder: 4304201 34.5kv Substation: NYS-HARFORD 524</t>
  </si>
  <si>
    <t>1601</t>
  </si>
  <si>
    <t>NY - 74 Michigan Hill Rd - 2</t>
  </si>
  <si>
    <t>Feeder: 4304201 Substation: NYS-HARFORD 524</t>
  </si>
  <si>
    <t>1608</t>
  </si>
  <si>
    <t>Consolidated Edison</t>
  </si>
  <si>
    <t>Fresh Kills Battery Storage</t>
  </si>
  <si>
    <t>1147</t>
  </si>
  <si>
    <t>1221</t>
  </si>
  <si>
    <t>1222</t>
  </si>
  <si>
    <t>1602</t>
  </si>
  <si>
    <t>1019</t>
  </si>
  <si>
    <t>1578</t>
  </si>
  <si>
    <t>1406</t>
  </si>
  <si>
    <t>1287</t>
  </si>
  <si>
    <t>1282</t>
  </si>
  <si>
    <t>1284</t>
  </si>
  <si>
    <t>1280</t>
  </si>
  <si>
    <t>1278</t>
  </si>
  <si>
    <t>1285</t>
  </si>
  <si>
    <t>1281</t>
  </si>
  <si>
    <t>1283</t>
  </si>
  <si>
    <t>1286</t>
  </si>
  <si>
    <t>1279</t>
  </si>
  <si>
    <t>1233</t>
  </si>
  <si>
    <t>1599</t>
  </si>
  <si>
    <t>Braen Energy LLC</t>
  </si>
  <si>
    <t>Braen Energy Storage Project</t>
  </si>
  <si>
    <t>Con Edison Ramapo Substation</t>
  </si>
  <si>
    <t>Hecate Grid Swiftsure LLC</t>
  </si>
  <si>
    <t>Bluepoint Wind, LLC.</t>
  </si>
  <si>
    <t>Propel NY Energy - Alternate Solution 5</t>
  </si>
  <si>
    <t>Cherry Valley Energy Center, L.L.C.</t>
  </si>
  <si>
    <t>Basecamp BESS</t>
  </si>
  <si>
    <t>Budbreak Solar, LLC</t>
  </si>
  <si>
    <t>Budbreak Solar I</t>
  </si>
  <si>
    <t>Budbreak Storage, LLC</t>
  </si>
  <si>
    <t>Budbreak Storage I</t>
  </si>
  <si>
    <t>Budbreak Storage II</t>
  </si>
  <si>
    <t>Blue Frost Energy Center, LLC</t>
  </si>
  <si>
    <t>Blue Frost</t>
  </si>
  <si>
    <t>Eastwater Energy Storage</t>
  </si>
  <si>
    <t>North Creek Solar LLC</t>
  </si>
  <si>
    <t>117656 North Creek Solar+Storage</t>
  </si>
  <si>
    <t>Bear Peak Power</t>
  </si>
  <si>
    <t>BPP NY Somerset BESS I</t>
  </si>
  <si>
    <t>KCE NY 38 LLC</t>
  </si>
  <si>
    <t>KCE NY 38</t>
  </si>
  <si>
    <t>Braen Energy Storage Phase 1</t>
  </si>
  <si>
    <t>Marble River Storage</t>
  </si>
  <si>
    <t>Oakdale to Watercure 345 kV L31 line</t>
  </si>
  <si>
    <t>Fenner-Shippey Road 115 kV Line #3</t>
  </si>
  <si>
    <t>Shoemaker-Chester 138kV line #27</t>
  </si>
  <si>
    <t>Milliken 115 kV Substation</t>
  </si>
  <si>
    <t>Arkwright 115 kV Substation</t>
  </si>
  <si>
    <t>Greenidge to Montour Falls 115kV Line</t>
  </si>
  <si>
    <t>Greenidge to Montour 115kV Line</t>
  </si>
  <si>
    <t>Greenidge to Texas Eastern 115kV Line</t>
  </si>
  <si>
    <t>Princetown - Edic 345 kV</t>
  </si>
  <si>
    <t>Marcy - New Scotland 345 kV</t>
  </si>
  <si>
    <t>Mortimer 115 kV Bus</t>
  </si>
  <si>
    <t>NYSEG KINTIGH 345 kV Station.</t>
  </si>
  <si>
    <t>Transco 115kV Churchtown substation bus</t>
  </si>
  <si>
    <t>NYPA 230 kV Ryan Substation</t>
  </si>
  <si>
    <t>0429</t>
  </si>
  <si>
    <t>0430</t>
  </si>
  <si>
    <t>0495</t>
  </si>
  <si>
    <t>0519</t>
  </si>
  <si>
    <t>10</t>
  </si>
  <si>
    <t>0521</t>
  </si>
  <si>
    <t>0522</t>
  </si>
  <si>
    <t>0535</t>
  </si>
  <si>
    <t>0543</t>
  </si>
  <si>
    <t>0545</t>
  </si>
  <si>
    <t>0560</t>
  </si>
  <si>
    <t>0564</t>
  </si>
  <si>
    <t>0565</t>
  </si>
  <si>
    <t>0566</t>
  </si>
  <si>
    <t>0570</t>
  </si>
  <si>
    <t>0571</t>
  </si>
  <si>
    <t>0572</t>
  </si>
  <si>
    <t>0573</t>
  </si>
  <si>
    <t>0575</t>
  </si>
  <si>
    <t>0579</t>
  </si>
  <si>
    <t>0580</t>
  </si>
  <si>
    <t>0581</t>
  </si>
  <si>
    <t>0584</t>
  </si>
  <si>
    <t>0586</t>
  </si>
  <si>
    <t>0590</t>
  </si>
  <si>
    <t>0591</t>
  </si>
  <si>
    <t>0592</t>
  </si>
  <si>
    <t>0596</t>
  </si>
  <si>
    <t>0598</t>
  </si>
  <si>
    <t>0612</t>
  </si>
  <si>
    <t>0617</t>
  </si>
  <si>
    <t>0618</t>
  </si>
  <si>
    <t>0620</t>
  </si>
  <si>
    <t>0631</t>
  </si>
  <si>
    <t>0637</t>
  </si>
  <si>
    <t>0638</t>
  </si>
  <si>
    <t>0644</t>
  </si>
  <si>
    <t>0666</t>
  </si>
  <si>
    <t>0667</t>
  </si>
  <si>
    <t>0680</t>
  </si>
  <si>
    <t>0683</t>
  </si>
  <si>
    <t>0686</t>
  </si>
  <si>
    <t>0695</t>
  </si>
  <si>
    <t>0700</t>
  </si>
  <si>
    <t>0704</t>
  </si>
  <si>
    <t>0706</t>
  </si>
  <si>
    <t>0710</t>
  </si>
  <si>
    <t>0716</t>
  </si>
  <si>
    <t>0717</t>
  </si>
  <si>
    <t>0720</t>
  </si>
  <si>
    <t>0721</t>
  </si>
  <si>
    <t>0734</t>
  </si>
  <si>
    <t>0737</t>
  </si>
  <si>
    <t>0744</t>
  </si>
  <si>
    <t>0758</t>
  </si>
  <si>
    <t>0766</t>
  </si>
  <si>
    <t>0770</t>
  </si>
  <si>
    <t>0774</t>
  </si>
  <si>
    <t>0776</t>
  </si>
  <si>
    <t>0777</t>
  </si>
  <si>
    <t>0783</t>
  </si>
  <si>
    <t>0784</t>
  </si>
  <si>
    <t>0785</t>
  </si>
  <si>
    <t>0787</t>
  </si>
  <si>
    <t>0800</t>
  </si>
  <si>
    <t>0801</t>
  </si>
  <si>
    <t>0804</t>
  </si>
  <si>
    <t>0805</t>
  </si>
  <si>
    <t>0807</t>
  </si>
  <si>
    <t>0811</t>
  </si>
  <si>
    <t>0815</t>
  </si>
  <si>
    <t>0825</t>
  </si>
  <si>
    <t>0827</t>
  </si>
  <si>
    <t>0828</t>
  </si>
  <si>
    <t>0832</t>
  </si>
  <si>
    <t>0833</t>
  </si>
  <si>
    <t>0834</t>
  </si>
  <si>
    <t>0835</t>
  </si>
  <si>
    <t>0840</t>
  </si>
  <si>
    <t>0843</t>
  </si>
  <si>
    <t>0848</t>
  </si>
  <si>
    <t>0850</t>
  </si>
  <si>
    <t>0852</t>
  </si>
  <si>
    <t>0855</t>
  </si>
  <si>
    <t>0858</t>
  </si>
  <si>
    <t>0859</t>
  </si>
  <si>
    <t>0860</t>
  </si>
  <si>
    <t>0863</t>
  </si>
  <si>
    <t>0864</t>
  </si>
  <si>
    <t>0865</t>
  </si>
  <si>
    <t>0866</t>
  </si>
  <si>
    <t>0869</t>
  </si>
  <si>
    <t>0871</t>
  </si>
  <si>
    <t>0878</t>
  </si>
  <si>
    <t>0880</t>
  </si>
  <si>
    <t>0881</t>
  </si>
  <si>
    <t>0882</t>
  </si>
  <si>
    <t>0883</t>
  </si>
  <si>
    <t>0885</t>
  </si>
  <si>
    <t>0887</t>
  </si>
  <si>
    <t>0899</t>
  </si>
  <si>
    <t>0907</t>
  </si>
  <si>
    <t>0912</t>
  </si>
  <si>
    <t>0913</t>
  </si>
  <si>
    <t>0918</t>
  </si>
  <si>
    <t>0930</t>
  </si>
  <si>
    <t>0931</t>
  </si>
  <si>
    <t>0932</t>
  </si>
  <si>
    <t>0950</t>
  </si>
  <si>
    <t>0951</t>
  </si>
  <si>
    <t>0952</t>
  </si>
  <si>
    <t>0953</t>
  </si>
  <si>
    <t>0956</t>
  </si>
  <si>
    <t>0957</t>
  </si>
  <si>
    <t>0959</t>
  </si>
  <si>
    <t>1260</t>
  </si>
  <si>
    <t>0960</t>
  </si>
  <si>
    <t>0961</t>
  </si>
  <si>
    <t>0965</t>
  </si>
  <si>
    <t>0967</t>
  </si>
  <si>
    <t>0971</t>
  </si>
  <si>
    <t>0972</t>
  </si>
  <si>
    <t>0974</t>
  </si>
  <si>
    <t>0979</t>
  </si>
  <si>
    <t>0987</t>
  </si>
  <si>
    <t>0995</t>
  </si>
  <si>
    <t>1000</t>
  </si>
  <si>
    <t>1003</t>
  </si>
  <si>
    <t>1007</t>
  </si>
  <si>
    <t>1009</t>
  </si>
  <si>
    <t>1403</t>
  </si>
  <si>
    <t>1012</t>
  </si>
  <si>
    <t>1015</t>
  </si>
  <si>
    <t>1016</t>
  </si>
  <si>
    <t>1017</t>
  </si>
  <si>
    <t>1018</t>
  </si>
  <si>
    <t>1031</t>
  </si>
  <si>
    <t>1035</t>
  </si>
  <si>
    <t>1036</t>
  </si>
  <si>
    <t>1038</t>
  </si>
  <si>
    <t>1039</t>
  </si>
  <si>
    <t>1042</t>
  </si>
  <si>
    <t>1050</t>
  </si>
  <si>
    <t>1047</t>
  </si>
  <si>
    <t>1051</t>
  </si>
  <si>
    <t>1052</t>
  </si>
  <si>
    <t>1059</t>
  </si>
  <si>
    <t>1061</t>
  </si>
  <si>
    <t>1068</t>
  </si>
  <si>
    <t>1077</t>
  </si>
  <si>
    <t>1079</t>
  </si>
  <si>
    <t>1080</t>
  </si>
  <si>
    <t>1088</t>
  </si>
  <si>
    <t>1089</t>
  </si>
  <si>
    <t>1090</t>
  </si>
  <si>
    <t>1092</t>
  </si>
  <si>
    <t>1096</t>
  </si>
  <si>
    <t>1098</t>
  </si>
  <si>
    <t>1102</t>
  </si>
  <si>
    <t>1103</t>
  </si>
  <si>
    <t>1113</t>
  </si>
  <si>
    <t>1115</t>
  </si>
  <si>
    <t>1116</t>
  </si>
  <si>
    <t>1117</t>
  </si>
  <si>
    <t>1119</t>
  </si>
  <si>
    <t>1122</t>
  </si>
  <si>
    <t>1123</t>
  </si>
  <si>
    <t>1125</t>
  </si>
  <si>
    <t>1130</t>
  </si>
  <si>
    <t>1133</t>
  </si>
  <si>
    <t>1134</t>
  </si>
  <si>
    <t>1136</t>
  </si>
  <si>
    <t>1137</t>
  </si>
  <si>
    <t>1141</t>
  </si>
  <si>
    <t>1146</t>
  </si>
  <si>
    <t>1148</t>
  </si>
  <si>
    <t>1150</t>
  </si>
  <si>
    <t>1151</t>
  </si>
  <si>
    <t>1156</t>
  </si>
  <si>
    <t>1159</t>
  </si>
  <si>
    <t>1160</t>
  </si>
  <si>
    <t>1164</t>
  </si>
  <si>
    <t>1166</t>
  </si>
  <si>
    <t>1169</t>
  </si>
  <si>
    <t>1171</t>
  </si>
  <si>
    <t>1174</t>
  </si>
  <si>
    <t>1175</t>
  </si>
  <si>
    <t>1176</t>
  </si>
  <si>
    <t>1178</t>
  </si>
  <si>
    <t>1180</t>
  </si>
  <si>
    <t>1182</t>
  </si>
  <si>
    <t>1183</t>
  </si>
  <si>
    <t>1184</t>
  </si>
  <si>
    <t>1188</t>
  </si>
  <si>
    <t>1189</t>
  </si>
  <si>
    <t>1190</t>
  </si>
  <si>
    <t>1194</t>
  </si>
  <si>
    <t>1199</t>
  </si>
  <si>
    <t>1202</t>
  </si>
  <si>
    <t>1206</t>
  </si>
  <si>
    <t>1212</t>
  </si>
  <si>
    <t>1213</t>
  </si>
  <si>
    <t>1226</t>
  </si>
  <si>
    <t>1227</t>
  </si>
  <si>
    <t>1229</t>
  </si>
  <si>
    <t>1231</t>
  </si>
  <si>
    <t>1234</t>
  </si>
  <si>
    <t>1236</t>
  </si>
  <si>
    <t>1237</t>
  </si>
  <si>
    <t>1238</t>
  </si>
  <si>
    <t>Station 168 - Trelina Solar 115kV</t>
  </si>
  <si>
    <t>1254</t>
  </si>
  <si>
    <t>1255</t>
  </si>
  <si>
    <t>1256</t>
  </si>
  <si>
    <t>1257</t>
  </si>
  <si>
    <t>1288</t>
  </si>
  <si>
    <t>1289</t>
  </si>
  <si>
    <t>1292</t>
  </si>
  <si>
    <t>1301</t>
  </si>
  <si>
    <t>1303</t>
  </si>
  <si>
    <t>1304</t>
  </si>
  <si>
    <t>1305</t>
  </si>
  <si>
    <t>1306</t>
  </si>
  <si>
    <t>1307</t>
  </si>
  <si>
    <t>1308</t>
  </si>
  <si>
    <t>1311</t>
  </si>
  <si>
    <t>1313</t>
  </si>
  <si>
    <t>1315</t>
  </si>
  <si>
    <t>1316</t>
  </si>
  <si>
    <t>1319</t>
  </si>
  <si>
    <t>1320</t>
  </si>
  <si>
    <t>1321</t>
  </si>
  <si>
    <t>1322</t>
  </si>
  <si>
    <t>1323</t>
  </si>
  <si>
    <t>1325</t>
  </si>
  <si>
    <t>1326</t>
  </si>
  <si>
    <t>1328</t>
  </si>
  <si>
    <t>1329</t>
  </si>
  <si>
    <t>1334</t>
  </si>
  <si>
    <t>1335</t>
  </si>
  <si>
    <t>1337</t>
  </si>
  <si>
    <t>1338</t>
  </si>
  <si>
    <t>1340</t>
  </si>
  <si>
    <t>1341</t>
  </si>
  <si>
    <t>1342</t>
  </si>
  <si>
    <t>1343</t>
  </si>
  <si>
    <t>1344</t>
  </si>
  <si>
    <t>1345</t>
  </si>
  <si>
    <t>1348</t>
  </si>
  <si>
    <t>1349</t>
  </si>
  <si>
    <t>1350</t>
  </si>
  <si>
    <t>1351</t>
  </si>
  <si>
    <t>1352</t>
  </si>
  <si>
    <t>1353</t>
  </si>
  <si>
    <t>1354</t>
  </si>
  <si>
    <t>1360</t>
  </si>
  <si>
    <t>1362</t>
  </si>
  <si>
    <t>1365</t>
  </si>
  <si>
    <t>1366</t>
  </si>
  <si>
    <t>1370</t>
  </si>
  <si>
    <t>1371</t>
  </si>
  <si>
    <t>1372</t>
  </si>
  <si>
    <t>1374</t>
  </si>
  <si>
    <t>1377</t>
  </si>
  <si>
    <t>1378</t>
  </si>
  <si>
    <t>1380</t>
  </si>
  <si>
    <t>1381</t>
  </si>
  <si>
    <t>1382</t>
  </si>
  <si>
    <t>1385</t>
  </si>
  <si>
    <t>1386</t>
  </si>
  <si>
    <t>1391</t>
  </si>
  <si>
    <t>1393</t>
  </si>
  <si>
    <t>1394</t>
  </si>
  <si>
    <t>1395</t>
  </si>
  <si>
    <t>1396</t>
  </si>
  <si>
    <t>1397</t>
  </si>
  <si>
    <t>1398</t>
  </si>
  <si>
    <t>1399</t>
  </si>
  <si>
    <t>1401</t>
  </si>
  <si>
    <t>1402</t>
  </si>
  <si>
    <t>Holtsville 138 kV substation</t>
  </si>
  <si>
    <t>1404</t>
  </si>
  <si>
    <t>1405</t>
  </si>
  <si>
    <t>1409</t>
  </si>
  <si>
    <t>1413</t>
  </si>
  <si>
    <t>1417</t>
  </si>
  <si>
    <t>1418</t>
  </si>
  <si>
    <t>1419</t>
  </si>
  <si>
    <t>1420</t>
  </si>
  <si>
    <t>1421</t>
  </si>
  <si>
    <t>1428</t>
  </si>
  <si>
    <t>1430</t>
  </si>
  <si>
    <t>1432</t>
  </si>
  <si>
    <t>1433</t>
  </si>
  <si>
    <t>1434</t>
  </si>
  <si>
    <t>1435</t>
  </si>
  <si>
    <t>1436</t>
  </si>
  <si>
    <t>1437</t>
  </si>
  <si>
    <t>1438</t>
  </si>
  <si>
    <t>1439</t>
  </si>
  <si>
    <t>1440</t>
  </si>
  <si>
    <t>1442</t>
  </si>
  <si>
    <t>Luther Forest - Eastover Road #308 115kV line</t>
  </si>
  <si>
    <t>1443</t>
  </si>
  <si>
    <t>1447</t>
  </si>
  <si>
    <t>1448</t>
  </si>
  <si>
    <t>1449</t>
  </si>
  <si>
    <t>1450</t>
  </si>
  <si>
    <t>1451</t>
  </si>
  <si>
    <t>1452</t>
  </si>
  <si>
    <t>1455</t>
  </si>
  <si>
    <t>1457</t>
  </si>
  <si>
    <t>1458</t>
  </si>
  <si>
    <t>1460</t>
  </si>
  <si>
    <t>1467</t>
  </si>
  <si>
    <t>1468</t>
  </si>
  <si>
    <t>1470</t>
  </si>
  <si>
    <t>1471</t>
  </si>
  <si>
    <t>1472</t>
  </si>
  <si>
    <t>1473</t>
  </si>
  <si>
    <t>1475</t>
  </si>
  <si>
    <t>1476</t>
  </si>
  <si>
    <t>1478</t>
  </si>
  <si>
    <t>1479</t>
  </si>
  <si>
    <t>1484</t>
  </si>
  <si>
    <t>1485</t>
  </si>
  <si>
    <t>1486</t>
  </si>
  <si>
    <t>1488</t>
  </si>
  <si>
    <t>1489</t>
  </si>
  <si>
    <t>1491</t>
  </si>
  <si>
    <t>1492</t>
  </si>
  <si>
    <t>1496</t>
  </si>
  <si>
    <t>1497</t>
  </si>
  <si>
    <t>1498</t>
  </si>
  <si>
    <t>1499</t>
  </si>
  <si>
    <t>1500</t>
  </si>
  <si>
    <t>1501</t>
  </si>
  <si>
    <t>1502</t>
  </si>
  <si>
    <t>1503</t>
  </si>
  <si>
    <t>1504</t>
  </si>
  <si>
    <t>1505</t>
  </si>
  <si>
    <t>1507</t>
  </si>
  <si>
    <t>1509</t>
  </si>
  <si>
    <t>1510</t>
  </si>
  <si>
    <t>1511</t>
  </si>
  <si>
    <t>1515</t>
  </si>
  <si>
    <t>1518</t>
  </si>
  <si>
    <t>1519</t>
  </si>
  <si>
    <t>1524</t>
  </si>
  <si>
    <t>1525</t>
  </si>
  <si>
    <t>1528</t>
  </si>
  <si>
    <t>1529</t>
  </si>
  <si>
    <t>1530</t>
  </si>
  <si>
    <t>1532</t>
  </si>
  <si>
    <t>1533</t>
  </si>
  <si>
    <t>1534</t>
  </si>
  <si>
    <t>1535</t>
  </si>
  <si>
    <t>1536</t>
  </si>
  <si>
    <t>1539</t>
  </si>
  <si>
    <t>1541</t>
  </si>
  <si>
    <t>1545</t>
  </si>
  <si>
    <t>1546</t>
  </si>
  <si>
    <t>1547</t>
  </si>
  <si>
    <t>1548</t>
  </si>
  <si>
    <t>1549</t>
  </si>
  <si>
    <t>1550</t>
  </si>
  <si>
    <t>1552</t>
  </si>
  <si>
    <t>1553</t>
  </si>
  <si>
    <t>1554</t>
  </si>
  <si>
    <t>1555</t>
  </si>
  <si>
    <t>1556</t>
  </si>
  <si>
    <t>1557</t>
  </si>
  <si>
    <t>1558</t>
  </si>
  <si>
    <t>1559</t>
  </si>
  <si>
    <t>1561</t>
  </si>
  <si>
    <t>1562</t>
  </si>
  <si>
    <t>1563</t>
  </si>
  <si>
    <t>1564</t>
  </si>
  <si>
    <t>1565</t>
  </si>
  <si>
    <t>1566</t>
  </si>
  <si>
    <t>Colton to Malone Line #3 115kV</t>
  </si>
  <si>
    <t>1570</t>
  </si>
  <si>
    <t>1571</t>
  </si>
  <si>
    <t>1572</t>
  </si>
  <si>
    <t>1573</t>
  </si>
  <si>
    <t>1576</t>
  </si>
  <si>
    <t>1577</t>
  </si>
  <si>
    <t>1580</t>
  </si>
  <si>
    <t>1583</t>
  </si>
  <si>
    <t>1584</t>
  </si>
  <si>
    <t>1585</t>
  </si>
  <si>
    <t>1586</t>
  </si>
  <si>
    <t>1587</t>
  </si>
  <si>
    <t>1588</t>
  </si>
  <si>
    <t>1589</t>
  </si>
  <si>
    <t>1590</t>
  </si>
  <si>
    <t>1592</t>
  </si>
  <si>
    <t>1593</t>
  </si>
  <si>
    <t>1594</t>
  </si>
  <si>
    <t>1596</t>
  </si>
  <si>
    <t>1597</t>
  </si>
  <si>
    <t>1603</t>
  </si>
  <si>
    <t>1604</t>
  </si>
  <si>
    <t>1606</t>
  </si>
  <si>
    <t>Jericho Solar Park</t>
  </si>
  <si>
    <t>Jericho Solar</t>
  </si>
  <si>
    <t>NYPA's Willis Sub @115kV</t>
  </si>
  <si>
    <t>1607</t>
  </si>
  <si>
    <t>Edic- Gordon Road 345 kV Line #14</t>
  </si>
  <si>
    <t>1609</t>
  </si>
  <si>
    <t>1610</t>
  </si>
  <si>
    <t>Bluepoint Wind LLC</t>
  </si>
  <si>
    <t>Bluepoint Wind 1</t>
  </si>
  <si>
    <t>Brooklyn County</t>
  </si>
  <si>
    <t>1611</t>
  </si>
  <si>
    <t>Bluepoint Wind 2</t>
  </si>
  <si>
    <t>1613</t>
  </si>
  <si>
    <t>Bluepoint Wind 4</t>
  </si>
  <si>
    <t>1615</t>
  </si>
  <si>
    <t>1616</t>
  </si>
  <si>
    <t>YSG Community Solar</t>
  </si>
  <si>
    <t>Sills Road 138kV Substation</t>
  </si>
  <si>
    <t>1618</t>
  </si>
  <si>
    <t>1619</t>
  </si>
  <si>
    <t>1620</t>
  </si>
  <si>
    <t>Jerry Smith Storage</t>
  </si>
  <si>
    <t>Miliken- Ludlowville 34.5kV line</t>
  </si>
  <si>
    <t>1621</t>
  </si>
  <si>
    <t>BPUS Generation Development LLC</t>
  </si>
  <si>
    <t>Porter Energy Storage</t>
  </si>
  <si>
    <t>115kV Hague Road Substation</t>
  </si>
  <si>
    <t>1622</t>
  </si>
  <si>
    <t>Hudson Energy Storage</t>
  </si>
  <si>
    <t>345kV Leeds Substation</t>
  </si>
  <si>
    <t>1624</t>
  </si>
  <si>
    <t>Lake City Storage</t>
  </si>
  <si>
    <t>1625</t>
  </si>
  <si>
    <t>1627</t>
  </si>
  <si>
    <t>Micron Fab 2</t>
  </si>
  <si>
    <t>National Grid Clay 345 kV Substation</t>
  </si>
  <si>
    <t>1628</t>
  </si>
  <si>
    <t>1629</t>
  </si>
  <si>
    <t>1632</t>
  </si>
  <si>
    <t>Shallow Seam Energy Storage</t>
  </si>
  <si>
    <t>Shallow Seam BESS</t>
  </si>
  <si>
    <t>Homer City to Mainesburg 345 kV Line</t>
  </si>
  <si>
    <t>1126</t>
  </si>
  <si>
    <t>1197</t>
  </si>
  <si>
    <t>1205</t>
  </si>
  <si>
    <t>1273</t>
  </si>
  <si>
    <t>1376</t>
  </si>
  <si>
    <t>1425</t>
  </si>
  <si>
    <t>1462</t>
  </si>
  <si>
    <t>Kearsarge Solar</t>
  </si>
  <si>
    <t>Kearsarge Gloversville</t>
  </si>
  <si>
    <t>Gloversville - Hill Street #3 69kV</t>
  </si>
  <si>
    <t>1605</t>
  </si>
  <si>
    <t>0735</t>
  </si>
  <si>
    <t>ELP Stillwater Solar LLC</t>
  </si>
  <si>
    <t>ELP Stillwater Solar</t>
  </si>
  <si>
    <t>Luther Forest - Mohican 115kV</t>
  </si>
  <si>
    <t>1574</t>
  </si>
  <si>
    <t>1634</t>
  </si>
  <si>
    <t>1635</t>
  </si>
  <si>
    <t>1636</t>
  </si>
  <si>
    <t>1637</t>
  </si>
  <si>
    <t>1638</t>
  </si>
  <si>
    <t>1645</t>
  </si>
  <si>
    <t>1646</t>
  </si>
  <si>
    <t>1650</t>
  </si>
  <si>
    <t>1651</t>
  </si>
  <si>
    <t>1652</t>
  </si>
  <si>
    <t>Holbrook Energy Storage, LLC</t>
  </si>
  <si>
    <t>North Farm Solar LLC</t>
  </si>
  <si>
    <t>Malone Energy Storage</t>
  </si>
  <si>
    <t>Vail Energy Storage</t>
  </si>
  <si>
    <t>Elevate Bethlehem LLC</t>
  </si>
  <si>
    <t>Beck Storage</t>
  </si>
  <si>
    <t>Battle Hill Storage</t>
  </si>
  <si>
    <t>P&amp;M Brick LLC</t>
  </si>
  <si>
    <t>POWI Project</t>
  </si>
  <si>
    <t>Moose Creek 1</t>
  </si>
  <si>
    <t>Independence BESS LLC</t>
  </si>
  <si>
    <t>Independence BESS</t>
  </si>
  <si>
    <t>Coopers Corner BESS</t>
  </si>
  <si>
    <t>Plattsburgh Substation - 115kV</t>
  </si>
  <si>
    <t>115kV Malone Substation</t>
  </si>
  <si>
    <t>69 kV Vail Substation</t>
  </si>
  <si>
    <t>159 Moon Rd to Hartfield</t>
  </si>
  <si>
    <t>Independence 345kV substation</t>
  </si>
  <si>
    <t>Coopers Corner 345 kV Substation</t>
  </si>
  <si>
    <t>NM-NG, CHGE and NY Transco</t>
  </si>
  <si>
    <t>1595</t>
  </si>
  <si>
    <t>Budbreak Solar II</t>
  </si>
  <si>
    <t>Greenidge Substation</t>
  </si>
  <si>
    <t>1598</t>
  </si>
  <si>
    <t>Green Street Storage</t>
  </si>
  <si>
    <t>Green Street 34.5kV</t>
  </si>
  <si>
    <t>1630</t>
  </si>
  <si>
    <t>Suffern Quarry Data Center</t>
  </si>
  <si>
    <t>We anticipate a new substation being built on our site off of a transmission line tower that abuts our property. Additionally, we may need to tie in for redundancy to the Hillburn Area Substation</t>
  </si>
  <si>
    <t>1641</t>
  </si>
  <si>
    <t>Harlem River II</t>
  </si>
  <si>
    <t>NYPA's Hell Gate Annex 138 kV</t>
  </si>
  <si>
    <t>NYPA ConEd</t>
  </si>
  <si>
    <t>11=IA Completed, 12=Under Construction, 13=In Service for Test, 14=In Service Commercial, 0=Withdrawn, 15=Partial In-Service, P=Pending Adoption of IP Compliance with Order 2023</t>
  </si>
  <si>
    <t>1617</t>
  </si>
  <si>
    <t>345 Interconnection to Line between New Scotland and Knickerbocker 69 kV Interconnection to CHG&amp;E 69kV Loop,</t>
  </si>
  <si>
    <t>1631</t>
  </si>
  <si>
    <t>New Scotland BESS</t>
  </si>
  <si>
    <t>Princetown - New Scotland 345kv Line</t>
  </si>
  <si>
    <t>1633</t>
  </si>
  <si>
    <t>Robert Delcalzo</t>
  </si>
  <si>
    <t>There is a 135kv line abutting our property. We will be building a substation. We currently connect to the Hillburn Area Station.</t>
  </si>
  <si>
    <t>1392</t>
  </si>
  <si>
    <t>1614</t>
  </si>
  <si>
    <t>1623</t>
  </si>
  <si>
    <t>1639</t>
  </si>
  <si>
    <t>1643</t>
  </si>
  <si>
    <t>1647</t>
  </si>
  <si>
    <t>1648</t>
  </si>
  <si>
    <t>1649</t>
  </si>
  <si>
    <t>1653</t>
  </si>
  <si>
    <t>1654</t>
  </si>
  <si>
    <t>1655</t>
  </si>
  <si>
    <t>1656</t>
  </si>
  <si>
    <t>1657</t>
  </si>
  <si>
    <t>1658</t>
  </si>
  <si>
    <t>1659</t>
  </si>
  <si>
    <t>1660</t>
  </si>
  <si>
    <t>1661</t>
  </si>
  <si>
    <t>1662</t>
  </si>
  <si>
    <t>1663</t>
  </si>
  <si>
    <t>BR Project 1 LLC</t>
  </si>
  <si>
    <t>Blue Point Wind 3A</t>
  </si>
  <si>
    <t>Altona Energy Storage</t>
  </si>
  <si>
    <t>Genesee River Solar, LLC</t>
  </si>
  <si>
    <t>Community OSW Brooklyn CEH 3</t>
  </si>
  <si>
    <t>Black Cherry Wind Power</t>
  </si>
  <si>
    <t>Black Cherry Wind 1</t>
  </si>
  <si>
    <t>Black Cherry Wind 2</t>
  </si>
  <si>
    <t>Black Cherry Battery</t>
  </si>
  <si>
    <t>Community OSW Barrett 3</t>
  </si>
  <si>
    <t>Hydrostor USA Holdings, Inc , a subsidiary of Hydrostor Inc</t>
  </si>
  <si>
    <t>Antelope Energy Storage Center</t>
  </si>
  <si>
    <t>ACE DevCo NC,LLC</t>
  </si>
  <si>
    <t>West Laurens</t>
  </si>
  <si>
    <t>Chinook Energy Storage Center</t>
  </si>
  <si>
    <t>BayWa r.e. Development LLC</t>
  </si>
  <si>
    <t>North Catskill Energy Storage</t>
  </si>
  <si>
    <t>Krenzer Solar</t>
  </si>
  <si>
    <t>Valcour Storage</t>
  </si>
  <si>
    <t>Crown Point Solar LLC</t>
  </si>
  <si>
    <t>Crown Point Solar</t>
  </si>
  <si>
    <t>Glenwood 4ZH 69kV</t>
  </si>
  <si>
    <t>Cayuta - Ridge Road 34.5 kV line, Line#501</t>
  </si>
  <si>
    <t>46 kV bus at the NYSEG Flat Rock Substation</t>
  </si>
  <si>
    <t>345 kV Brooklyn Clean Energy Hub</t>
  </si>
  <si>
    <t>Mckean County</t>
  </si>
  <si>
    <t>Five Mile 345 kV to Homer City 345 kV line</t>
  </si>
  <si>
    <t>Five Mile - Homer City 345 kV line</t>
  </si>
  <si>
    <t>Adirondack 345kV substation</t>
  </si>
  <si>
    <t>Chases Lake 345kV substation</t>
  </si>
  <si>
    <t>LINCOLN PARK-EAST KINGSTON 115 kV</t>
  </si>
  <si>
    <t>North Catskill 69 kV</t>
  </si>
  <si>
    <t>Cuddebackville 69 kV Substation</t>
  </si>
  <si>
    <t>Line tap to Cements - Saugerties 69 kV circuit</t>
  </si>
  <si>
    <t>O &amp; R</t>
  </si>
  <si>
    <t>01-2030</t>
  </si>
  <si>
    <t>DE</t>
  </si>
  <si>
    <t>1612</t>
  </si>
  <si>
    <t>Bluepoint Wind 3B</t>
  </si>
  <si>
    <t>North Catskill - Churchtown Line #5 115 kV and Lafarge- Churchtown Line #8 115 kV</t>
  </si>
  <si>
    <t>Goethals- Gowanus 345 kV underground transmission lines #25 and #26</t>
  </si>
  <si>
    <t>1640</t>
  </si>
  <si>
    <t>1642</t>
  </si>
  <si>
    <t>1664</t>
  </si>
  <si>
    <t>1665</t>
  </si>
  <si>
    <t>1666</t>
  </si>
  <si>
    <t>1667</t>
  </si>
  <si>
    <t>1669</t>
  </si>
  <si>
    <t>1670</t>
  </si>
  <si>
    <t>1671</t>
  </si>
  <si>
    <t>1672</t>
  </si>
  <si>
    <t>GSI Development Corp.</t>
  </si>
  <si>
    <t>Douglas Road Solar</t>
  </si>
  <si>
    <t>Light &amp; Power Development</t>
  </si>
  <si>
    <t>Queensboro B</t>
  </si>
  <si>
    <t>MN8 Energy Operating Company</t>
  </si>
  <si>
    <t>Janes Rd Storage</t>
  </si>
  <si>
    <t>Buffalo Avenue Storage</t>
  </si>
  <si>
    <t>River Road Storage</t>
  </si>
  <si>
    <t>Designated Public Policy Project Rainey Breaker Replacement</t>
  </si>
  <si>
    <t>SR1 Shift Holdco I</t>
  </si>
  <si>
    <t>Keshequa Creek Solar</t>
  </si>
  <si>
    <t>Lake Mariner Data LLC</t>
  </si>
  <si>
    <t>Lake Mariner Data II</t>
  </si>
  <si>
    <t>Meyer Substation Rebuild and South Perry Substation Rebuild</t>
  </si>
  <si>
    <t>Ames Road Station</t>
  </si>
  <si>
    <t>Albany Steam 115 kV Substation</t>
  </si>
  <si>
    <t>Ravenswood Substation 345kV</t>
  </si>
  <si>
    <t>115 kV Battle Hill Substation</t>
  </si>
  <si>
    <t>Boonville Substation 115 kV</t>
  </si>
  <si>
    <t>Liotta 138kV</t>
  </si>
  <si>
    <t>Marcy 345 kV to Coopers Corner 345 kV</t>
  </si>
  <si>
    <t>Patnode Substation 230 kV</t>
  </si>
  <si>
    <t>Station 69 to Station 7 115 kV line tap</t>
  </si>
  <si>
    <t>Niagra</t>
  </si>
  <si>
    <t>Station 184(Olin) 115 kV</t>
  </si>
  <si>
    <t>Huntley 115 kV Substation</t>
  </si>
  <si>
    <t>Rainey 345kV Substation</t>
  </si>
  <si>
    <t>Line 934 Between South Perry and Meyer 115kV</t>
  </si>
  <si>
    <t>Kintigh 345kV Substation</t>
  </si>
  <si>
    <t>Wyoming/Livingston</t>
  </si>
  <si>
    <t>E,F</t>
  </si>
  <si>
    <t>345kV Edic Princetown 351 345kV Edic Princetwon 352 115kV Saint Johnsville Mashville 11 115kV Clinton Marshville 12</t>
  </si>
  <si>
    <t>Goethals - Gowanus 345 kV underground transmission lines #25 and #26</t>
  </si>
  <si>
    <t>115kV Line #2 between Ticonderoga substation and Republic substation</t>
  </si>
  <si>
    <t>Meyer 115kV, 34.5, 230kV South Perry 115kV, 34.5kV, 69kV</t>
  </si>
  <si>
    <t>Line 982 between Montour Falls and Coddington Substation 115kV</t>
  </si>
  <si>
    <t>Lyon Mountain - Kent Falls 115 kV line</t>
  </si>
  <si>
    <t>1674</t>
  </si>
  <si>
    <t>1676</t>
  </si>
  <si>
    <t>1677</t>
  </si>
  <si>
    <t>Eden Devco LP</t>
  </si>
  <si>
    <t>Oakdale BESS</t>
  </si>
  <si>
    <t>Eden DevCo</t>
  </si>
  <si>
    <t>Abundant Solar Power INC.</t>
  </si>
  <si>
    <t>NY-5632 D Turnpike Road</t>
  </si>
  <si>
    <t>Tully</t>
  </si>
  <si>
    <t>Stueben</t>
  </si>
  <si>
    <t>Ramapo 345 kV</t>
  </si>
  <si>
    <t>Oakdale 345kv Substation</t>
  </si>
  <si>
    <t>1668</t>
  </si>
  <si>
    <t>State Route 26 Solar</t>
  </si>
  <si>
    <t>Courtland</t>
  </si>
  <si>
    <t>Line Tap of 34.5kv subtransmission line, adjacent to 115kv Line ID: 108289, connecting between NYSEG substation at Parcel ID 151.00-01-35.100 approximately 0.67 Miles to the west, and NYSEG substation Smithville Flats 144864 approximately 6.07 miles east</t>
  </si>
  <si>
    <t>1673</t>
  </si>
  <si>
    <t>Abei Energy Green XIII</t>
  </si>
  <si>
    <t>VINO</t>
  </si>
  <si>
    <t>LAWRENCE (125110) --N.CAT 6 (125116)</t>
  </si>
  <si>
    <t>1675</t>
  </si>
  <si>
    <t>Blue Stone Renewable XXIII</t>
  </si>
  <si>
    <t>HELIOS</t>
  </si>
  <si>
    <t>RENSSELAER</t>
  </si>
  <si>
    <t>(137563) EASTOVER - (137895) SCHAGHTICOKW</t>
  </si>
  <si>
    <t>0505</t>
  </si>
  <si>
    <t>20.0</t>
  </si>
  <si>
    <t>0</t>
  </si>
  <si>
    <t>20</t>
  </si>
  <si>
    <t>150</t>
  </si>
  <si>
    <t>Solar</t>
  </si>
  <si>
    <t>1678</t>
  </si>
  <si>
    <t>NSF Aurelius BESS</t>
  </si>
  <si>
    <t>NSF Aurelius BESS, LLC</t>
  </si>
  <si>
    <t>1681</t>
  </si>
  <si>
    <t>Niagara Falls Redevelopment LLC</t>
  </si>
  <si>
    <t>Niagara Digital Campus</t>
  </si>
  <si>
    <t>1683</t>
  </si>
  <si>
    <t>Cayuga Compute</t>
  </si>
  <si>
    <t>100</t>
  </si>
  <si>
    <t>50</t>
  </si>
  <si>
    <t>90</t>
  </si>
  <si>
    <t>200</t>
  </si>
  <si>
    <t>40</t>
  </si>
  <si>
    <t>165</t>
  </si>
  <si>
    <t>120</t>
  </si>
  <si>
    <t>60</t>
  </si>
  <si>
    <t>175</t>
  </si>
  <si>
    <t>880.0</t>
  </si>
  <si>
    <t>800.0</t>
  </si>
  <si>
    <t>500</t>
  </si>
  <si>
    <t>350</t>
  </si>
  <si>
    <t>250</t>
  </si>
  <si>
    <t>250.0</t>
  </si>
  <si>
    <t>30</t>
  </si>
  <si>
    <t>157.9</t>
  </si>
  <si>
    <t>110</t>
  </si>
  <si>
    <t>40.3</t>
  </si>
  <si>
    <t>300</t>
  </si>
  <si>
    <t>160</t>
  </si>
  <si>
    <t>75</t>
  </si>
  <si>
    <t>200.0</t>
  </si>
  <si>
    <t>45</t>
  </si>
  <si>
    <t>106.9</t>
  </si>
  <si>
    <t>92</t>
  </si>
  <si>
    <t>205</t>
  </si>
  <si>
    <t>86.5</t>
  </si>
  <si>
    <t>130.3</t>
  </si>
  <si>
    <t>122</t>
  </si>
  <si>
    <t>49.2</t>
  </si>
  <si>
    <t>95.7</t>
  </si>
  <si>
    <t>115</t>
  </si>
  <si>
    <t>85</t>
  </si>
  <si>
    <t>325</t>
  </si>
  <si>
    <t>102.5</t>
  </si>
  <si>
    <t>190</t>
  </si>
  <si>
    <t>400</t>
  </si>
  <si>
    <t>210</t>
  </si>
  <si>
    <t>222</t>
  </si>
  <si>
    <t>900</t>
  </si>
  <si>
    <t>95</t>
  </si>
  <si>
    <t>96</t>
  </si>
  <si>
    <t>106</t>
  </si>
  <si>
    <t>107</t>
  </si>
  <si>
    <t>51</t>
  </si>
  <si>
    <t>52</t>
  </si>
  <si>
    <t>115 kv STAMP substation</t>
  </si>
  <si>
    <t>Peruville 34.5kV Substation</t>
  </si>
  <si>
    <t>Princetown - New Scotland 345kv Line 361</t>
  </si>
  <si>
    <t>NYSEG Wright Ave 115 kV Substation</t>
  </si>
  <si>
    <t>Adams to Packard 115kV lines 187 and 188</t>
  </si>
  <si>
    <t>Milliken substation 115kV</t>
  </si>
  <si>
    <t>IA Tender Date</t>
  </si>
  <si>
    <t>CY/FS Complete Date</t>
  </si>
  <si>
    <t>RWE Clean Energy Development, LLC</t>
  </si>
  <si>
    <t>2-2027</t>
  </si>
  <si>
    <t>Proposed In-Service/Initial Backfeed Date</t>
  </si>
  <si>
    <t>Proposed Sync Date</t>
  </si>
  <si>
    <t>0577</t>
  </si>
  <si>
    <t>0597</t>
  </si>
  <si>
    <t>0679</t>
  </si>
  <si>
    <t>0694</t>
  </si>
  <si>
    <t>0709</t>
  </si>
  <si>
    <t>0740</t>
  </si>
  <si>
    <t>0745</t>
  </si>
  <si>
    <t>0779</t>
  </si>
  <si>
    <t>0789</t>
  </si>
  <si>
    <t>0790</t>
  </si>
  <si>
    <t>0792</t>
  </si>
  <si>
    <t>0806</t>
  </si>
  <si>
    <t>0857</t>
  </si>
  <si>
    <t>0873</t>
  </si>
  <si>
    <t>0929</t>
  </si>
  <si>
    <t>Morris Ridge Battery Storage</t>
  </si>
  <si>
    <t>0939</t>
  </si>
  <si>
    <t>0941</t>
  </si>
  <si>
    <t>0942</t>
  </si>
  <si>
    <t>0949</t>
  </si>
  <si>
    <t>0954</t>
  </si>
  <si>
    <t>0966</t>
  </si>
  <si>
    <t>0982</t>
  </si>
  <si>
    <t>0994</t>
  </si>
  <si>
    <t>1004</t>
  </si>
  <si>
    <t>1008</t>
  </si>
  <si>
    <t>1010</t>
  </si>
  <si>
    <t>1011</t>
  </si>
  <si>
    <t>1020</t>
  </si>
  <si>
    <t>1021</t>
  </si>
  <si>
    <t>1022</t>
  </si>
  <si>
    <t>1023</t>
  </si>
  <si>
    <t>1027</t>
  </si>
  <si>
    <t>1029</t>
  </si>
  <si>
    <t>1040</t>
  </si>
  <si>
    <t>1041</t>
  </si>
  <si>
    <t>1045</t>
  </si>
  <si>
    <t>1046</t>
  </si>
  <si>
    <t>1048</t>
  </si>
  <si>
    <t>1049</t>
  </si>
  <si>
    <t>1055</t>
  </si>
  <si>
    <t>1056</t>
  </si>
  <si>
    <t>1058</t>
  </si>
  <si>
    <t>1066</t>
  </si>
  <si>
    <t>1081</t>
  </si>
  <si>
    <t>1084</t>
  </si>
  <si>
    <t>1085</t>
  </si>
  <si>
    <t>1086</t>
  </si>
  <si>
    <t>1108</t>
  </si>
  <si>
    <t>1109</t>
  </si>
  <si>
    <t>1114</t>
  </si>
  <si>
    <t>1138</t>
  </si>
  <si>
    <t>1139</t>
  </si>
  <si>
    <t>1140</t>
  </si>
  <si>
    <t>1142</t>
  </si>
  <si>
    <t>1163</t>
  </si>
  <si>
    <t>1177</t>
  </si>
  <si>
    <t>1181</t>
  </si>
  <si>
    <t>1191</t>
  </si>
  <si>
    <t>1192</t>
  </si>
  <si>
    <t>1193</t>
  </si>
  <si>
    <t>1203</t>
  </si>
  <si>
    <t>1207</t>
  </si>
  <si>
    <t>1210</t>
  </si>
  <si>
    <t>1223</t>
  </si>
  <si>
    <t>1228</t>
  </si>
  <si>
    <t>1239</t>
  </si>
  <si>
    <t>1240</t>
  </si>
  <si>
    <t>1241</t>
  </si>
  <si>
    <t>1243</t>
  </si>
  <si>
    <t>1244</t>
  </si>
  <si>
    <t>1249</t>
  </si>
  <si>
    <t>1250</t>
  </si>
  <si>
    <t>1679</t>
  </si>
  <si>
    <t>Smokey Hollow Solar</t>
  </si>
  <si>
    <t>1680</t>
  </si>
  <si>
    <t>USLE West Leyden Road I LLC</t>
  </si>
  <si>
    <t>1684</t>
  </si>
  <si>
    <t>Abundant Solar Power</t>
  </si>
  <si>
    <t>NY-Markham Hollow Road</t>
  </si>
  <si>
    <t>83</t>
  </si>
  <si>
    <t>Inghams 115kV - Watkins Road 115kV</t>
  </si>
  <si>
    <t>Line Tap between Bath to Benett 115 kV Substation</t>
  </si>
  <si>
    <t>South Perry to Indeck Silver Springs Energy Center 115k, Line 101</t>
  </si>
  <si>
    <t>Municipal Commission of Boonville 115kV bus at West Street substation, connected to the National Grid 115kV Boonville-Porter line</t>
  </si>
  <si>
    <t>NM-NG, MCBoonville</t>
  </si>
  <si>
    <t>Tilden Substation, Cortland 18 substation via 115kv line.</t>
  </si>
  <si>
    <t>The POI provided in the IR was Connection to one pole of the 34 kV transmission line coming from substation 8333G (Substation address: 52 PA Ave, Friendship, NY). The line number has been identified by RGE as line # 760 34.5kV line</t>
  </si>
  <si>
    <t>0619</t>
  </si>
  <si>
    <t>1691</t>
  </si>
  <si>
    <t>Kings, Westchester, Queens, Richmond</t>
  </si>
  <si>
    <t>1696</t>
  </si>
  <si>
    <t>1700</t>
  </si>
  <si>
    <t>1701</t>
  </si>
  <si>
    <t>1703</t>
  </si>
  <si>
    <t>1704</t>
  </si>
  <si>
    <t>1713</t>
  </si>
  <si>
    <t>Project Sycamore - Orangeburg</t>
  </si>
  <si>
    <t>Project Sycamore Orangeburg</t>
  </si>
  <si>
    <t>CONED, NYPA</t>
  </si>
  <si>
    <t>Con Edison, NYPA</t>
  </si>
  <si>
    <t>Oak Street 138kV</t>
  </si>
  <si>
    <t>01-2033</t>
  </si>
  <si>
    <t>Five Boro Energy Connect - Rose</t>
  </si>
  <si>
    <t>25.4</t>
  </si>
  <si>
    <t>27.0</t>
  </si>
  <si>
    <t>145</t>
  </si>
  <si>
    <t>87.9</t>
  </si>
  <si>
    <t>2100</t>
  </si>
  <si>
    <t>1487</t>
  </si>
  <si>
    <t>Three Rivers Energy Storage</t>
  </si>
  <si>
    <t>Curtis Street - Teall 115 kV Line #13</t>
  </si>
  <si>
    <t>PJM-NY City HVDC</t>
  </si>
  <si>
    <t>Oneida-NY</t>
  </si>
  <si>
    <t>AES NY Wind, LLC</t>
  </si>
  <si>
    <t>NY Regional</t>
  </si>
  <si>
    <t>Onondaga/NY</t>
  </si>
  <si>
    <t>NY Wire, LLC</t>
  </si>
  <si>
    <t>NY Wire-Phase 1</t>
  </si>
  <si>
    <t>NY-Suffolk</t>
  </si>
  <si>
    <t>Connect NY</t>
  </si>
  <si>
    <t>ITC NY Development, LLC</t>
  </si>
  <si>
    <t>Anbaric Development Partners, LLC, NY OceanGrid, LLC</t>
  </si>
  <si>
    <t>NY City Offshore Wind</t>
  </si>
  <si>
    <t>Consolidated Edison Company of NY, Inc.</t>
  </si>
  <si>
    <t>NY City Offshore AC</t>
  </si>
  <si>
    <t>PSEG Power NY LLC</t>
  </si>
  <si>
    <t>NY Ocean Grid - Canal</t>
  </si>
  <si>
    <t>NY Ocean Grid - Shoreham</t>
  </si>
  <si>
    <t>NY Hydro-Kinetic Project 1</t>
  </si>
  <si>
    <t>Onondaga-NY</t>
  </si>
  <si>
    <t>NY Kinetic Plant 1</t>
  </si>
  <si>
    <t xml:space="preserve">Clean Path NY </t>
  </si>
  <si>
    <t>Erie, Onondaga,NY, KIngs</t>
  </si>
  <si>
    <t>Clean Path NY II</t>
  </si>
  <si>
    <t>Clean Path NY LLC</t>
  </si>
  <si>
    <t>Rockland/NY</t>
  </si>
  <si>
    <t>LS Power Grid NY Corporation I</t>
  </si>
  <si>
    <t>NY Power Authority / NY Transco LLC.</t>
  </si>
  <si>
    <t>NextEra Energy Transmission NY, Inc</t>
  </si>
  <si>
    <t>NY Renewable Connect - Core 1</t>
  </si>
  <si>
    <t>NY Renewable Connect - Core 2</t>
  </si>
  <si>
    <t>NY Renewable Connect - Core 3</t>
  </si>
  <si>
    <t>NY Renewable Connect - Core 4</t>
  </si>
  <si>
    <t>NY Renewable Connect - Core 5</t>
  </si>
  <si>
    <t>NY Renewable Connect - Core 6</t>
  </si>
  <si>
    <t>NY Renewable Connect - Core 7</t>
  </si>
  <si>
    <t>NY Renewable Connect - Enhanced 1</t>
  </si>
  <si>
    <t>NY Renewable Connect - Enhanced 2</t>
  </si>
  <si>
    <t>NY Renewable Connect - Plus 3</t>
  </si>
  <si>
    <t>NY Power Authority Development &amp; LS Power Grid NY Corporation II</t>
  </si>
  <si>
    <t>NY Power Authority &amp; LS Power Grid NY Corporation II</t>
  </si>
  <si>
    <t>SR1 Shift NY I</t>
  </si>
  <si>
    <t>1688</t>
  </si>
  <si>
    <t>Liberty Link 1</t>
  </si>
  <si>
    <t>1689</t>
  </si>
  <si>
    <t>Liberty Link 2</t>
  </si>
  <si>
    <t>1690</t>
  </si>
  <si>
    <t>Liberty Link 3</t>
  </si>
  <si>
    <t>1692</t>
  </si>
  <si>
    <t>1693</t>
  </si>
  <si>
    <t>1694</t>
  </si>
  <si>
    <t>1695</t>
  </si>
  <si>
    <t>1697</t>
  </si>
  <si>
    <t>1698</t>
  </si>
  <si>
    <t>1699</t>
  </si>
  <si>
    <t>1702</t>
  </si>
  <si>
    <t>Five Boro Energy Connect - Ruby</t>
  </si>
  <si>
    <t>1705</t>
  </si>
  <si>
    <t>1706</t>
  </si>
  <si>
    <t>1707</t>
  </si>
  <si>
    <t>1708</t>
  </si>
  <si>
    <t>1709</t>
  </si>
  <si>
    <t>1710</t>
  </si>
  <si>
    <t>1711</t>
  </si>
  <si>
    <t>1712</t>
  </si>
  <si>
    <t>1714</t>
  </si>
  <si>
    <t>Hudson Valley Data Center</t>
  </si>
  <si>
    <t>1715</t>
  </si>
  <si>
    <t>Jerry Martin</t>
  </si>
  <si>
    <t>1547 CSR - Orangeburg LLC</t>
  </si>
  <si>
    <t>New Scotland to Knickerbocker 345kV line</t>
  </si>
  <si>
    <t>I,J</t>
  </si>
  <si>
    <t>Brooklyn &amp; Staten Island</t>
  </si>
  <si>
    <t>E, I, J</t>
  </si>
  <si>
    <t>Line 60 138KV - Ramp to Tallman</t>
  </si>
  <si>
    <t>12-2033</t>
  </si>
  <si>
    <t>1716</t>
  </si>
  <si>
    <t>DataBank Holdings, LLC</t>
  </si>
  <si>
    <t>Orangeburg Expansion Phase 2</t>
  </si>
  <si>
    <t>C24-015</t>
  </si>
  <si>
    <t>Good Ole 77 Energy LLC</t>
  </si>
  <si>
    <t>Seventy Seven Project</t>
  </si>
  <si>
    <t>Brooklyn Clean Energy Hub (BCEH) 345kV, Farragut 345kV, Sprain Brook 345kV, Goethals 345kV</t>
  </si>
  <si>
    <t>Brooklyn Clean Energy Hub 345 kV, Farragut 345 kV, Sprain Brook 345 kV, Astoria Annex 345 kV, Goethals 345 kV</t>
  </si>
  <si>
    <t>CONED, NYPA, NYSEG</t>
  </si>
  <si>
    <t>Con Edison, NYPA, NYSEG</t>
  </si>
  <si>
    <t>Con Edison, NYPA, NYSEG,</t>
  </si>
  <si>
    <t>138kV Line 703 between Corporate Drive and Harings Corner</t>
  </si>
  <si>
    <t>Oak St 38kV substation</t>
  </si>
  <si>
    <t>C24-082</t>
  </si>
  <si>
    <t>Terra-Gen Development, LLC</t>
  </si>
  <si>
    <t>Arch 1</t>
  </si>
  <si>
    <t>Rock Tavern 345kV Substation (South position)- ROCK TAV - Bus#: 125001</t>
  </si>
  <si>
    <t>C24-083</t>
  </si>
  <si>
    <t>Arch 2</t>
  </si>
  <si>
    <t>C24-084</t>
  </si>
  <si>
    <t>Arch 3</t>
  </si>
  <si>
    <t>Rock Tavern 345kV Substation (North position)- ROCK TAV - Bus#: 125001</t>
  </si>
  <si>
    <t>0945</t>
  </si>
  <si>
    <t>Niagara Grid I, LLC</t>
  </si>
  <si>
    <t>Niagara Grid I</t>
  </si>
  <si>
    <t>Huntley - Praxair 115 kV Line #47</t>
  </si>
  <si>
    <t>1294</t>
  </si>
  <si>
    <t>Moran Solar</t>
  </si>
  <si>
    <t>Inghams - Stoner 115 kV</t>
  </si>
  <si>
    <t>1333</t>
  </si>
  <si>
    <t>QMB 1 Energy Storage</t>
  </si>
  <si>
    <t>Newbridge-Ruland Storage</t>
  </si>
  <si>
    <t>Ruland Rd - Newbridge 138 kV</t>
  </si>
  <si>
    <t>1431</t>
  </si>
  <si>
    <t>Juno Power Management</t>
  </si>
  <si>
    <t>oyster shore III</t>
  </si>
  <si>
    <t>Shore road 138 kV</t>
  </si>
  <si>
    <t>1493</t>
  </si>
  <si>
    <t>Rainey and Vernon Substations</t>
  </si>
  <si>
    <t>1682</t>
  </si>
  <si>
    <t>Equity Suffern Developers, LLC</t>
  </si>
  <si>
    <t>Line 60 138kV - Ramapo to Tallman</t>
  </si>
  <si>
    <t>● Proposed In-Service Dates, Proposed Initial Synchronization Dates and Commercial Operation Dates (COD) are shown in format Year/Qualifier, where Qualifier may indicate the month, season, or quarter.</t>
  </si>
  <si>
    <t>Affected Transmission Owner (ATO)</t>
  </si>
  <si>
    <t>Niagara NY Solar LLC</t>
  </si>
  <si>
    <t>1717</t>
  </si>
  <si>
    <t>Holtec Decommissioning International (HDI)</t>
  </si>
  <si>
    <t>Proposed Datacenters at 450 Broadway, Buchanan, NY, 10511</t>
  </si>
  <si>
    <t>Buchanan 138kV Substation</t>
  </si>
  <si>
    <t>Erie East BESS</t>
  </si>
  <si>
    <t>Erie East 230kV (First Energy, Erie PA)</t>
  </si>
  <si>
    <t>1719</t>
  </si>
  <si>
    <t>ZeroC Data Centers, LLC</t>
  </si>
  <si>
    <t>PJM</t>
  </si>
  <si>
    <t>07-2027</t>
  </si>
  <si>
    <t>C24-008</t>
  </si>
  <si>
    <t>C24-016</t>
  </si>
  <si>
    <t>Salt Rush Wind Energy LLC</t>
  </si>
  <si>
    <t>Salt Rush Wind Energy</t>
  </si>
  <si>
    <t>Warsaw</t>
  </si>
  <si>
    <t>07-2029</t>
  </si>
  <si>
    <t>C24-019</t>
  </si>
  <si>
    <t>American Wintergreen Solar Energy LLC</t>
  </si>
  <si>
    <t>American Wintergreen</t>
  </si>
  <si>
    <t>Canajoharie</t>
  </si>
  <si>
    <t>02-2029</t>
  </si>
  <si>
    <t>05-2029</t>
  </si>
  <si>
    <t>09-2029</t>
  </si>
  <si>
    <t>C24-020</t>
  </si>
  <si>
    <t>Verona Solar II LLC</t>
  </si>
  <si>
    <t>Verona Solar II</t>
  </si>
  <si>
    <t>Verona</t>
  </si>
  <si>
    <t>C24-022</t>
  </si>
  <si>
    <t>COSW BCEH</t>
  </si>
  <si>
    <t>C24-023</t>
  </si>
  <si>
    <t>C24-024</t>
  </si>
  <si>
    <t>Verona Solar</t>
  </si>
  <si>
    <t>Verona Solar I</t>
  </si>
  <si>
    <t>Durhamville</t>
  </si>
  <si>
    <t>C24-025</t>
  </si>
  <si>
    <t>KCE NY 32, LLC</t>
  </si>
  <si>
    <t>KCE NY 32</t>
  </si>
  <si>
    <t>C24-026</t>
  </si>
  <si>
    <t>Taproot Solar LLC</t>
  </si>
  <si>
    <t>LSPower</t>
  </si>
  <si>
    <t>03-2029</t>
  </si>
  <si>
    <t>C24-033</t>
  </si>
  <si>
    <t>Shoreham 138kV</t>
  </si>
  <si>
    <t>C24-034</t>
  </si>
  <si>
    <t>Kalmia Storage, LLC</t>
  </si>
  <si>
    <t>C24-039</t>
  </si>
  <si>
    <t>03-2030</t>
  </si>
  <si>
    <t>C24-048</t>
  </si>
  <si>
    <t>BPP NY Lansing BESS I LLC</t>
  </si>
  <si>
    <t>08-2029</t>
  </si>
  <si>
    <t>C24-054</t>
  </si>
  <si>
    <t>Fenner - Shippy Rd 115 kV</t>
  </si>
  <si>
    <t>C24-057</t>
  </si>
  <si>
    <t>Highland BESS</t>
  </si>
  <si>
    <t>06-2029</t>
  </si>
  <si>
    <t>C24-063</t>
  </si>
  <si>
    <t>Heritage BESS</t>
  </si>
  <si>
    <t>C24-067</t>
  </si>
  <si>
    <t>Gala Grove BESS</t>
  </si>
  <si>
    <t>C24-068</t>
  </si>
  <si>
    <t>Holbrook Energy Storage II</t>
  </si>
  <si>
    <t>12-2029</t>
  </si>
  <si>
    <t>C24-072</t>
  </si>
  <si>
    <t>GCI Eastwater, LLC</t>
  </si>
  <si>
    <t>C24-073</t>
  </si>
  <si>
    <t>GCI Icebox Energy Storage, LLC</t>
  </si>
  <si>
    <t>C24-079</t>
  </si>
  <si>
    <t>Maple Harvest Wind</t>
  </si>
  <si>
    <t>10-2028</t>
  </si>
  <si>
    <t>11-2028</t>
  </si>
  <si>
    <t>1626</t>
  </si>
  <si>
    <t>HW Power, LLC</t>
  </si>
  <si>
    <t>Cross County Energy Storage</t>
  </si>
  <si>
    <t>H, I</t>
  </si>
  <si>
    <t>Eastview to Buchanan 345kV line</t>
  </si>
  <si>
    <t>Station 128 to Station 82 115 kV</t>
  </si>
  <si>
    <t>C24-007</t>
  </si>
  <si>
    <t>KCE NY 38, LLC</t>
  </si>
  <si>
    <t>Churchtown 115kV Substation</t>
  </si>
  <si>
    <t>C24-254</t>
  </si>
  <si>
    <t>Genovia Storage LLC</t>
  </si>
  <si>
    <t>Genovia Storage</t>
  </si>
  <si>
    <t>Basom</t>
  </si>
  <si>
    <t>345 kV Line 1 QP580_POI2 (# 148773) Substation to Q721_POI (#149914) Substation</t>
  </si>
  <si>
    <t>C24-258</t>
  </si>
  <si>
    <t>QP580_POI2 - Q721_POI 345 kV Line</t>
  </si>
  <si>
    <t>Oneida - Rome 115kV, Line 1</t>
  </si>
  <si>
    <t>Milliken 115kV (aka Cayuga 115kV)</t>
  </si>
  <si>
    <t>Sugarloaf 138kV</t>
  </si>
  <si>
    <t>Shoemaker - Sugarloaf 138kV</t>
  </si>
  <si>
    <t>West Bus 138kV</t>
  </si>
  <si>
    <t>Solvay Station 34.5 kV</t>
  </si>
  <si>
    <t>Marshville - Clinton 115 kV, Line #12</t>
  </si>
  <si>
    <t>Dugan - Homer Hill 115kV, Line #155</t>
  </si>
  <si>
    <t>0670</t>
  </si>
  <si>
    <t>SunEast Skyline Solar LLC</t>
  </si>
  <si>
    <t>Westmoreland</t>
  </si>
  <si>
    <t>Campus Rd - Clinton 46kV</t>
  </si>
  <si>
    <t>11/2027</t>
  </si>
  <si>
    <t>10/2027</t>
  </si>
  <si>
    <t>4/2028</t>
  </si>
  <si>
    <t>07-2028</t>
  </si>
  <si>
    <t>0822</t>
  </si>
  <si>
    <t>Whale Square Energy Storage 1</t>
  </si>
  <si>
    <t>Narrows Barge Feeder 23162</t>
  </si>
  <si>
    <t>1490</t>
  </si>
  <si>
    <t>Westtown Energy Storage</t>
  </si>
  <si>
    <t>Westtown 69 kV Substation</t>
  </si>
  <si>
    <t>1506</t>
  </si>
  <si>
    <t>Sourdough Energy Storage LLC</t>
  </si>
  <si>
    <t>Pulaski 69kV substation</t>
  </si>
  <si>
    <t>1361</t>
  </si>
  <si>
    <t>Nexamp Solar LLC</t>
  </si>
  <si>
    <t>Ditch Creek Solar</t>
  </si>
  <si>
    <t>Clay - Edic 345 kV</t>
  </si>
  <si>
    <t>C24-001</t>
  </si>
  <si>
    <t>Vineyard Mid-Atlantic East</t>
  </si>
  <si>
    <t>C24-002</t>
  </si>
  <si>
    <t>Atlantic Shores Offshore Wind Bight LLC</t>
  </si>
  <si>
    <t>ATLANTIC SHORES OFFSHORE WIND PROJECT 4</t>
  </si>
  <si>
    <t>BROOKLYN CLEAN ENERGY HUB NORTH 345kV</t>
  </si>
  <si>
    <t>07-2033</t>
  </si>
  <si>
    <t>C24-003</t>
  </si>
  <si>
    <t>Vineyard Mid-Atlantic West</t>
  </si>
  <si>
    <t>Nassu</t>
  </si>
  <si>
    <t>C24-004</t>
  </si>
  <si>
    <t>06-2028</t>
  </si>
  <si>
    <t>08-2028</t>
  </si>
  <si>
    <t>C24-005</t>
  </si>
  <si>
    <t>Mott Haven 138KV Bus</t>
  </si>
  <si>
    <t>C24-006</t>
  </si>
  <si>
    <t>ATLANTIC SHORES OFFSHORE WIND BIGHT LLC</t>
  </si>
  <si>
    <t>ATLANTIC SHORES OFFSHORE WIND PROJECT 5</t>
  </si>
  <si>
    <t>RULAND ROAD 345 kV</t>
  </si>
  <si>
    <t>C24-009</t>
  </si>
  <si>
    <t>Nassau County</t>
  </si>
  <si>
    <t>Ruland Rd 345kV substation.</t>
  </si>
  <si>
    <t>C24-010</t>
  </si>
  <si>
    <t>Pulaski 69kV Substation</t>
  </si>
  <si>
    <t>C24-011</t>
  </si>
  <si>
    <t>ATLANTIC SHORES OFFSHORE WIND LLC</t>
  </si>
  <si>
    <t>ATLANTIC SHORES OFFSHORE WIND PROJECT 3</t>
  </si>
  <si>
    <t>kings county</t>
  </si>
  <si>
    <t>BROOKLYN CLEAN ENERGY HUB 345kV</t>
  </si>
  <si>
    <t>C24-013</t>
  </si>
  <si>
    <t>Battery Park Storage LLC</t>
  </si>
  <si>
    <t>Battery Park Storage</t>
  </si>
  <si>
    <t>C24-014</t>
  </si>
  <si>
    <t>High Sheldon 230 kV</t>
  </si>
  <si>
    <t>Stony Creek 230 kV</t>
  </si>
  <si>
    <t>C24-017</t>
  </si>
  <si>
    <t>COSW Barrett</t>
  </si>
  <si>
    <t>Barrett 345kV</t>
  </si>
  <si>
    <t>C24-018</t>
  </si>
  <si>
    <t>Granite Twinleaf Solar Energy LLC</t>
  </si>
  <si>
    <t>Croghan</t>
  </si>
  <si>
    <t>Taylorville to North Carthage 115 kV ckt 1</t>
  </si>
  <si>
    <t>C24-021</t>
  </si>
  <si>
    <t>Brooklyn Clean Energy Hub 345kV Substation</t>
  </si>
  <si>
    <t>Clay - Edic 345kV, Line 2-15</t>
  </si>
  <si>
    <t>Cuddebackville 69 kV</t>
  </si>
  <si>
    <t>Edic - Princetown 345 kV, Line #351</t>
  </si>
  <si>
    <t>C24-027</t>
  </si>
  <si>
    <t>115kV Moraine Road Substation</t>
  </si>
  <si>
    <t>C24-028</t>
  </si>
  <si>
    <t>Tracy Solar Energy Center</t>
  </si>
  <si>
    <t>C24-029</t>
  </si>
  <si>
    <t>Bull Run Solar LLC</t>
  </si>
  <si>
    <t>Bull Run Solar</t>
  </si>
  <si>
    <t>230 kV Ellenburg Substation</t>
  </si>
  <si>
    <t>08-2030</t>
  </si>
  <si>
    <t>C24-030</t>
  </si>
  <si>
    <t>C24-031</t>
  </si>
  <si>
    <t>Crossbuck Energy Storage, LLC</t>
  </si>
  <si>
    <t>C24-032</t>
  </si>
  <si>
    <t>BayWa r.e. Solar Projects LLC</t>
  </si>
  <si>
    <t>Holtsville 69 kV</t>
  </si>
  <si>
    <t>C24-035</t>
  </si>
  <si>
    <t>Dix Hills Storage, LLC</t>
  </si>
  <si>
    <t>Ruland-Pilgrim 138kV</t>
  </si>
  <si>
    <t>C24-036</t>
  </si>
  <si>
    <t>Rainey East 345kV</t>
  </si>
  <si>
    <t>C24-037</t>
  </si>
  <si>
    <t>Northland Power U.S. Projects Inc</t>
  </si>
  <si>
    <t>C24-038</t>
  </si>
  <si>
    <t>Prologis Energy LLC</t>
  </si>
  <si>
    <t>Long Island City Energy Storage</t>
  </si>
  <si>
    <t>07-2030</t>
  </si>
  <si>
    <t>C24-040</t>
  </si>
  <si>
    <t>St. lawrence</t>
  </si>
  <si>
    <t>Haverstock - Adirondack 345KV line HA2</t>
  </si>
  <si>
    <t>C24-041</t>
  </si>
  <si>
    <t>Vestal Battery Storage</t>
  </si>
  <si>
    <t>Castle Garden - Jones 115 kV</t>
  </si>
  <si>
    <t>C24-042</t>
  </si>
  <si>
    <t>C24-043</t>
  </si>
  <si>
    <t>345kV PM2 between Pannell-Clay</t>
  </si>
  <si>
    <t>C24-044</t>
  </si>
  <si>
    <t>Honey Bee Battery Storage, LLC</t>
  </si>
  <si>
    <t>C24-045</t>
  </si>
  <si>
    <t>New Scotland 345kV</t>
  </si>
  <si>
    <t>C24-046</t>
  </si>
  <si>
    <t>Robinson Hill BESS</t>
  </si>
  <si>
    <t>C24-047</t>
  </si>
  <si>
    <t>Lincoln Park DG, LLC</t>
  </si>
  <si>
    <t>Lincoln Park - East Kingston 115 kV</t>
  </si>
  <si>
    <t>C24-049</t>
  </si>
  <si>
    <t>North Catskill -Churchtown 115 kV</t>
  </si>
  <si>
    <t>C24-050</t>
  </si>
  <si>
    <t>Rock Tavern - Roseton 345 kV</t>
  </si>
  <si>
    <t>C24-051</t>
  </si>
  <si>
    <t>Meyer-Eelpot 115 kV</t>
  </si>
  <si>
    <t>C24-055</t>
  </si>
  <si>
    <t>Sketch Book Storage 1, LLC</t>
  </si>
  <si>
    <t>Sketch Book Storage</t>
  </si>
  <si>
    <t>115 kV Falls Park Substation</t>
  </si>
  <si>
    <t>C24-056</t>
  </si>
  <si>
    <t>Naples Energy Storage</t>
  </si>
  <si>
    <t>C24-058</t>
  </si>
  <si>
    <t>Slide Energy Center</t>
  </si>
  <si>
    <t>Hurley Ave 115 kV substation</t>
  </si>
  <si>
    <t>C24-059</t>
  </si>
  <si>
    <t>115kV Modena Substation</t>
  </si>
  <si>
    <t>C24-060</t>
  </si>
  <si>
    <t>Gemma Energy Storage</t>
  </si>
  <si>
    <t>Stony Ridge 230kV</t>
  </si>
  <si>
    <t>C24-061</t>
  </si>
  <si>
    <t>Daphne Energy Storage</t>
  </si>
  <si>
    <t>Suffolk County &amp; Mastic City</t>
  </si>
  <si>
    <t>Moriches 69kV</t>
  </si>
  <si>
    <t>C24-062</t>
  </si>
  <si>
    <t>Highbush Energy Storage</t>
  </si>
  <si>
    <t>C24-064</t>
  </si>
  <si>
    <t>Fraser Energy Storage</t>
  </si>
  <si>
    <t>C24-066</t>
  </si>
  <si>
    <t>Coral Energy Storage</t>
  </si>
  <si>
    <t>Yawger 115kV Substation</t>
  </si>
  <si>
    <t>C24-069</t>
  </si>
  <si>
    <t>South Suffolk Energy Storage, LLC</t>
  </si>
  <si>
    <t>South Suffolk Storage</t>
  </si>
  <si>
    <t>Centereach 69kV</t>
  </si>
  <si>
    <t>C24-070</t>
  </si>
  <si>
    <t>C24-071</t>
  </si>
  <si>
    <t>Sweetwaters Energy Center LLC</t>
  </si>
  <si>
    <t>Sweetwaters Energy Center</t>
  </si>
  <si>
    <t>C24-074</t>
  </si>
  <si>
    <t>C24-075</t>
  </si>
  <si>
    <t>Oyster shore Energy storage</t>
  </si>
  <si>
    <t>Shore Road 138 kV</t>
  </si>
  <si>
    <t>C24-076</t>
  </si>
  <si>
    <t>SUNXI LLC</t>
  </si>
  <si>
    <t>Springbrooke</t>
  </si>
  <si>
    <t>C24-080</t>
  </si>
  <si>
    <t>Greenwood Heights Energy Storage</t>
  </si>
  <si>
    <t>C24-081</t>
  </si>
  <si>
    <t>Port Morris Energy Storage</t>
  </si>
  <si>
    <t>Hell Gate Annex 138kV</t>
  </si>
  <si>
    <t>C24-085</t>
  </si>
  <si>
    <t>Arch 4</t>
  </si>
  <si>
    <t>C24-086</t>
  </si>
  <si>
    <t>C24-087</t>
  </si>
  <si>
    <t>C24-088</t>
  </si>
  <si>
    <t>C24-089</t>
  </si>
  <si>
    <t>Ramapo 345kV Substation</t>
  </si>
  <si>
    <t>C24-090</t>
  </si>
  <si>
    <t>Quantum DPI group</t>
  </si>
  <si>
    <t>Cuba Solar Facility</t>
  </si>
  <si>
    <t>HOMER HILL - ANDOVER 115kV line #157</t>
  </si>
  <si>
    <t>C24-091</t>
  </si>
  <si>
    <t>BPP NY Somerset BESS I LLC</t>
  </si>
  <si>
    <t>C24-092</t>
  </si>
  <si>
    <t>Quantum DPI Group</t>
  </si>
  <si>
    <t>Scio Solar Facility</t>
  </si>
  <si>
    <t>C24-093</t>
  </si>
  <si>
    <t>Alcazar 1</t>
  </si>
  <si>
    <t>C24-094</t>
  </si>
  <si>
    <t>Alcazar 2</t>
  </si>
  <si>
    <t>C24-095</t>
  </si>
  <si>
    <t>Westerlo Solar LLC</t>
  </si>
  <si>
    <t>Westerlo Solar</t>
  </si>
  <si>
    <t>C24-097</t>
  </si>
  <si>
    <t>C24-098</t>
  </si>
  <si>
    <t>C24-099</t>
  </si>
  <si>
    <t>Ticonderoga to Republic 115Kv Line 2</t>
  </si>
  <si>
    <t>C24-101</t>
  </si>
  <si>
    <t>MN8 Energy Development Company LLC</t>
  </si>
  <si>
    <t>Halo Energy Storage</t>
  </si>
  <si>
    <t>Wyoming County</t>
  </si>
  <si>
    <t>South Perry Substation 230 kV</t>
  </si>
  <si>
    <t>09-2028</t>
  </si>
  <si>
    <t>C24-102</t>
  </si>
  <si>
    <t>C24-103</t>
  </si>
  <si>
    <t>Bath Solar LLC</t>
  </si>
  <si>
    <t>Bath Solar</t>
  </si>
  <si>
    <t>Avoca 230 kV - Stoney Ridge 230 kV Line #68</t>
  </si>
  <si>
    <t>C24-104</t>
  </si>
  <si>
    <t>West Yaphank 69kV Substation</t>
  </si>
  <si>
    <t>C24-105</t>
  </si>
  <si>
    <t>Clay-Lighthouse Hill 115kV, Line #7</t>
  </si>
  <si>
    <t>C24-106</t>
  </si>
  <si>
    <t>Granby Storage LLC</t>
  </si>
  <si>
    <t>Granby Storage</t>
  </si>
  <si>
    <t>South Oswego to Curtis Street 115kV Line 10</t>
  </si>
  <si>
    <t>C24-107</t>
  </si>
  <si>
    <t>Boralex US Development LLC</t>
  </si>
  <si>
    <t>Haverstock to Willis 345kV HW2 Line</t>
  </si>
  <si>
    <t>C24-108</t>
  </si>
  <si>
    <t>NY125C - Little Salmon Solar</t>
  </si>
  <si>
    <t>345kV Line HW1 Haverstock - WIllis</t>
  </si>
  <si>
    <t>C24-109</t>
  </si>
  <si>
    <t>Falls Park Energy Storage Project, LLC</t>
  </si>
  <si>
    <t>Falls Park Energy Storage</t>
  </si>
  <si>
    <t>FALLS PARK 115 kV</t>
  </si>
  <si>
    <t>04-2030</t>
  </si>
  <si>
    <t>C24-110</t>
  </si>
  <si>
    <t>345 kV line HW1 from Haverstock to Willis</t>
  </si>
  <si>
    <t>C24-111</t>
  </si>
  <si>
    <t>C24-112</t>
  </si>
  <si>
    <t>Porter - Valley 115 kV, Line #4</t>
  </si>
  <si>
    <t>C24-113</t>
  </si>
  <si>
    <t>Porter - Deerfield 115 kV, Line #9</t>
  </si>
  <si>
    <t>C24-114</t>
  </si>
  <si>
    <t>Mayfield to Northville 69kV line #8</t>
  </si>
  <si>
    <t>C24-115</t>
  </si>
  <si>
    <t>Iris Bloom Solar</t>
  </si>
  <si>
    <t>Moon Road Sub 115 kV</t>
  </si>
  <si>
    <t>C24-116</t>
  </si>
  <si>
    <t>Eelpot Road to Flat St Substations 115 kV line</t>
  </si>
  <si>
    <t>C24-118</t>
  </si>
  <si>
    <t>Jefferson County</t>
  </si>
  <si>
    <t>Staplin Creek Station 115 kV</t>
  </si>
  <si>
    <t>C24-120</t>
  </si>
  <si>
    <t>Field Day Solar Project, LLC</t>
  </si>
  <si>
    <t>Field Day Solar</t>
  </si>
  <si>
    <t>Boonville to Rome 115KV Line 3</t>
  </si>
  <si>
    <t>C24-121</t>
  </si>
  <si>
    <t>Beacon Harbor Solar Project, LLC</t>
  </si>
  <si>
    <t>Beacon Harbor Solar</t>
  </si>
  <si>
    <t>BGTF US Development Holdings LLC</t>
  </si>
  <si>
    <t>Capital Energy Storage</t>
  </si>
  <si>
    <t>C24-123</t>
  </si>
  <si>
    <t>Ohioville 115kV Substation</t>
  </si>
  <si>
    <t>C24-124</t>
  </si>
  <si>
    <t>Dunkirk Energy Storage</t>
  </si>
  <si>
    <t>C24-125</t>
  </si>
  <si>
    <t>Town Line Solar Phase II</t>
  </si>
  <si>
    <t>Coopers Corner to Middletown Tap 345 kV Line</t>
  </si>
  <si>
    <t>C24-126</t>
  </si>
  <si>
    <t>Pine Grove Energy Storage</t>
  </si>
  <si>
    <t>Austin Road 345 kV</t>
  </si>
  <si>
    <t>C24-127</t>
  </si>
  <si>
    <t>Crescent Energy Storage</t>
  </si>
  <si>
    <t>C24-128</t>
  </si>
  <si>
    <t>Homer City - Mainesburg 345kV Line</t>
  </si>
  <si>
    <t>C24-129</t>
  </si>
  <si>
    <t>Buffalo Road Energy Storage</t>
  </si>
  <si>
    <t>Dupont to Packard 115 kV Line #184</t>
  </si>
  <si>
    <t>C24-130</t>
  </si>
  <si>
    <t>Elevate Bethlehem</t>
  </si>
  <si>
    <t>C24-131</t>
  </si>
  <si>
    <t>Elevate Arthur Kill II</t>
  </si>
  <si>
    <t>ConED</t>
  </si>
  <si>
    <t>C24-132</t>
  </si>
  <si>
    <t>Eastview to Buchanan, 345 kV</t>
  </si>
  <si>
    <t>C24-133</t>
  </si>
  <si>
    <t>Janes Road Energy Storage</t>
  </si>
  <si>
    <t>Station 7 - Station 69 115 kV Line #917</t>
  </si>
  <si>
    <t>C24-134</t>
  </si>
  <si>
    <t>River Road Energy Storage</t>
  </si>
  <si>
    <t>Packard-Huntley 230 kV Line#78</t>
  </si>
  <si>
    <t>C24-135</t>
  </si>
  <si>
    <t>Cayuga Lake Solar, LLC</t>
  </si>
  <si>
    <t>C24-136</t>
  </si>
  <si>
    <t>Ryan 230kV Substation</t>
  </si>
  <si>
    <t>C24-137</t>
  </si>
  <si>
    <t>Gillie Brook</t>
  </si>
  <si>
    <t>C24-138</t>
  </si>
  <si>
    <t>Marathon Power</t>
  </si>
  <si>
    <t>Marathon BESS</t>
  </si>
  <si>
    <t>Greenlawn 138kV</t>
  </si>
  <si>
    <t>C24-139</t>
  </si>
  <si>
    <t>Patnode 230 kV substation</t>
  </si>
  <si>
    <t>C24-140</t>
  </si>
  <si>
    <t>Flatrock 46kV</t>
  </si>
  <si>
    <t>C24-144</t>
  </si>
  <si>
    <t>Blue Line Solar</t>
  </si>
  <si>
    <t>St Lawrence County</t>
  </si>
  <si>
    <t>Battle Hill - Corning 115 kV (National Grid Line #4)</t>
  </si>
  <si>
    <t>C24-145</t>
  </si>
  <si>
    <t>Edwards Ave 138kV Substation</t>
  </si>
  <si>
    <t>C24-147</t>
  </si>
  <si>
    <t>Battle Hill 115kV</t>
  </si>
  <si>
    <t>C24-148</t>
  </si>
  <si>
    <t>Willard Storage</t>
  </si>
  <si>
    <t>Eastover 115kV</t>
  </si>
  <si>
    <t>C24-149</t>
  </si>
  <si>
    <t>Manchester Solar NY LLC</t>
  </si>
  <si>
    <t>C24-150</t>
  </si>
  <si>
    <t>Kingbird Solar NY LLC</t>
  </si>
  <si>
    <t>Gardenville to Dunkirk 115kV Line - Line #142</t>
  </si>
  <si>
    <t>C24-153</t>
  </si>
  <si>
    <t>C24-154</t>
  </si>
  <si>
    <t>Sandlot IFB</t>
  </si>
  <si>
    <t>C24-155</t>
  </si>
  <si>
    <t>Zenobe Stockton LLC</t>
  </si>
  <si>
    <t>Moon Road 115kV</t>
  </si>
  <si>
    <t>C24-156</t>
  </si>
  <si>
    <t>C24-157</t>
  </si>
  <si>
    <t>East Walden 1115 kV Substation</t>
  </si>
  <si>
    <t>C24-158</t>
  </si>
  <si>
    <t>C24-159</t>
  </si>
  <si>
    <t>Viridity Energy Solutions</t>
  </si>
  <si>
    <t>Cruiser BESS</t>
  </si>
  <si>
    <t>C24-160</t>
  </si>
  <si>
    <t>Mustang BESS</t>
  </si>
  <si>
    <t>Hartley 69 kV</t>
  </si>
  <si>
    <t>C24-162</t>
  </si>
  <si>
    <t>Ramadi Utility Storage</t>
  </si>
  <si>
    <t>William Floyd to West Yaphank 69kV</t>
  </si>
  <si>
    <t>C24-163</t>
  </si>
  <si>
    <t>C24-164</t>
  </si>
  <si>
    <t>Riverhead - Tuthill 69kV</t>
  </si>
  <si>
    <t>C24-165</t>
  </si>
  <si>
    <t>Churchtown 115 kV Substation</t>
  </si>
  <si>
    <t>C24-167</t>
  </si>
  <si>
    <t>KCE NY 37, LLC</t>
  </si>
  <si>
    <t>KCE NY 37</t>
  </si>
  <si>
    <t>C24-168</t>
  </si>
  <si>
    <t>Ball Hill BESS</t>
  </si>
  <si>
    <t>Stebbins Road 230kV</t>
  </si>
  <si>
    <t>C24-169</t>
  </si>
  <si>
    <t>Endurance Power LLC</t>
  </si>
  <si>
    <t>Endurance</t>
  </si>
  <si>
    <t>C24-170</t>
  </si>
  <si>
    <t>Zenith Power LLC</t>
  </si>
  <si>
    <t>Zenith BESS</t>
  </si>
  <si>
    <t>C24-171</t>
  </si>
  <si>
    <t>Fieldstone Power Station LLC</t>
  </si>
  <si>
    <t>North Chelsea (Fieldstone Power Station)</t>
  </si>
  <si>
    <t>North Chelsea 115 kV Substation</t>
  </si>
  <si>
    <t>C24-172</t>
  </si>
  <si>
    <t>Blue Stone Renewable XVI</t>
  </si>
  <si>
    <t>BRESH HYBRID</t>
  </si>
  <si>
    <t>BOULEVARD 69 kV SUBSTATION</t>
  </si>
  <si>
    <t>C24-174</t>
  </si>
  <si>
    <t>Long Island Wind</t>
  </si>
  <si>
    <t>Ruland Road 345kV</t>
  </si>
  <si>
    <t>C24-175</t>
  </si>
  <si>
    <t>Stargazer I</t>
  </si>
  <si>
    <t>Homer City to Pierce Brook 345 kV Line</t>
  </si>
  <si>
    <t>C24-176</t>
  </si>
  <si>
    <t>Stargazer II</t>
  </si>
  <si>
    <t>C24-177</t>
  </si>
  <si>
    <t>Jericho Power Station LLC</t>
  </si>
  <si>
    <t>Commack(Jericho Power Station)</t>
  </si>
  <si>
    <t>Commack 69 kV Substation</t>
  </si>
  <si>
    <t>C24-178</t>
  </si>
  <si>
    <t>Gowanus 138kV Substation</t>
  </si>
  <si>
    <t>C24-181</t>
  </si>
  <si>
    <t>Setauket energy Storage, LLC</t>
  </si>
  <si>
    <t>Setauket Storage</t>
  </si>
  <si>
    <t>Setauket</t>
  </si>
  <si>
    <t>Terryville - Port Jefferson 69kV</t>
  </si>
  <si>
    <t>C24-183</t>
  </si>
  <si>
    <t>East Setauket Energy Storage, LLC</t>
  </si>
  <si>
    <t>East Setauket Storage II</t>
  </si>
  <si>
    <t>Holbrook - North Shore Beach 138kV</t>
  </si>
  <si>
    <t>C24-190</t>
  </si>
  <si>
    <t>North Country Wind II</t>
  </si>
  <si>
    <t>Franklin and Clinton</t>
  </si>
  <si>
    <t>C24-191</t>
  </si>
  <si>
    <t>Zenobe Rotterdam LLC</t>
  </si>
  <si>
    <t>Rotterdam 115kV</t>
  </si>
  <si>
    <t>C24-192</t>
  </si>
  <si>
    <t>Blue Frost Solar</t>
  </si>
  <si>
    <t>Marcy - New Scotland 345kV line</t>
  </si>
  <si>
    <t>C24-194</t>
  </si>
  <si>
    <t>Sapphire Sun Energy Center, LLC</t>
  </si>
  <si>
    <t>Sapphire Sun</t>
  </si>
  <si>
    <t>C24-195</t>
  </si>
  <si>
    <t>Sweet Valley Energy Center, LLC</t>
  </si>
  <si>
    <t>Dysinger - Station 255 345kV, line #1</t>
  </si>
  <si>
    <t>C24-196</t>
  </si>
  <si>
    <t>Yellow Feather Energy Center, LLC</t>
  </si>
  <si>
    <t>Yellow Feather</t>
  </si>
  <si>
    <t>Fulton and Montgomery</t>
  </si>
  <si>
    <t>C24-197</t>
  </si>
  <si>
    <t>C24-200</t>
  </si>
  <si>
    <t>Hickory Hill Energy Storage</t>
  </si>
  <si>
    <t>C24-208</t>
  </si>
  <si>
    <t>Independence 345 KV</t>
  </si>
  <si>
    <t>C24-209</t>
  </si>
  <si>
    <t>ACE DevCo NC LLC</t>
  </si>
  <si>
    <t>Sidecar</t>
  </si>
  <si>
    <t>S Owego Substation to Goudey Substation tap line 115 kV</t>
  </si>
  <si>
    <t>C24-211</t>
  </si>
  <si>
    <t>The Commodore Storage, LLC</t>
  </si>
  <si>
    <t>Marcy BESS 2</t>
  </si>
  <si>
    <t>Volney - Marcy 345 kV</t>
  </si>
  <si>
    <t>C24-214</t>
  </si>
  <si>
    <t>Saratoga County</t>
  </si>
  <si>
    <t>Luther Forest-Eastover Rd 115kV Line 308</t>
  </si>
  <si>
    <t>C24-215</t>
  </si>
  <si>
    <t>Mount Hope Storage</t>
  </si>
  <si>
    <t>Cuddebackville-Shoemaker stations 69 kV Line #13</t>
  </si>
  <si>
    <t>C24-218</t>
  </si>
  <si>
    <t>Poplar Energy Center</t>
  </si>
  <si>
    <t>C24-219</t>
  </si>
  <si>
    <t>Krenzer</t>
  </si>
  <si>
    <t>C24-220</t>
  </si>
  <si>
    <t>Blue Mountain BESS</t>
  </si>
  <si>
    <t>Saugerties to Hurley 69 kV Line</t>
  </si>
  <si>
    <t>Snowy Knoll Wind Project, LLC</t>
  </si>
  <si>
    <t>Snowy Knoll Wind Project</t>
  </si>
  <si>
    <t>C24-225</t>
  </si>
  <si>
    <t>Goldenrod Wind LLC</t>
  </si>
  <si>
    <t>Goldenrod Wind</t>
  </si>
  <si>
    <t>C24-226</t>
  </si>
  <si>
    <t>Lucy?s Energy Reserve LLC</t>
  </si>
  <si>
    <t>South Dow (Lucy's Energy Reserve)</t>
  </si>
  <si>
    <t>Falconer 115kV Substation</t>
  </si>
  <si>
    <t>C24-227</t>
  </si>
  <si>
    <t>South Dow 2 (Lucy's Energy Reserve 2)</t>
  </si>
  <si>
    <t>C24-229</t>
  </si>
  <si>
    <t>Buttercup Wind LLC</t>
  </si>
  <si>
    <t>Buttercup Wind</t>
  </si>
  <si>
    <t>C24-230</t>
  </si>
  <si>
    <t>Dewdrop Wind LLC</t>
  </si>
  <si>
    <t>Dewdrop Wind</t>
  </si>
  <si>
    <t>C24-234</t>
  </si>
  <si>
    <t>Bethlehem Road 115kV</t>
  </si>
  <si>
    <t>C24-235</t>
  </si>
  <si>
    <t>Champlain Solar Uprate</t>
  </si>
  <si>
    <t>C24-236</t>
  </si>
  <si>
    <t>C24-244</t>
  </si>
  <si>
    <t>Utica Solar PV Project</t>
  </si>
  <si>
    <t>C24-247</t>
  </si>
  <si>
    <t>Jerry Smith Energy Storage</t>
  </si>
  <si>
    <t>C24-250</t>
  </si>
  <si>
    <t>Black River - North Carthage 115 kV, Line #1</t>
  </si>
  <si>
    <t>C24-252</t>
  </si>
  <si>
    <t>Maple City Energy Storage</t>
  </si>
  <si>
    <t>Bennett Substation 115kV</t>
  </si>
  <si>
    <t>C24-259</t>
  </si>
  <si>
    <t>Christmas Tree</t>
  </si>
  <si>
    <t>Cayuta to Ridge Road 34.5 kV Line# 501</t>
  </si>
  <si>
    <t>C24-264</t>
  </si>
  <si>
    <t>Berry Farm Storage 1, LLC</t>
  </si>
  <si>
    <t>Berry Farm Storage</t>
  </si>
  <si>
    <t>L160 115 kV line (Dunkirk and Falconer)</t>
  </si>
  <si>
    <t>C24-267</t>
  </si>
  <si>
    <t>C24-271</t>
  </si>
  <si>
    <t>Sturgeon Pool BESS, LLC</t>
  </si>
  <si>
    <t>Margarita Storage</t>
  </si>
  <si>
    <t>Sturgeon Pool 115 kV</t>
  </si>
  <si>
    <t>C24-273</t>
  </si>
  <si>
    <t>Glenwood Power Station Battery Energy Storage System (BESS)</t>
  </si>
  <si>
    <t>LIPA Glenwood 69kV Substation</t>
  </si>
  <si>
    <t>C24-275</t>
  </si>
  <si>
    <t>Springville BESS, LLC</t>
  </si>
  <si>
    <t>Warrior Storage</t>
  </si>
  <si>
    <t>Gardenville to Arcade 115 kV Line 151</t>
  </si>
  <si>
    <t>C24-276</t>
  </si>
  <si>
    <t>Cobble Hill BESS, LLC</t>
  </si>
  <si>
    <t>Dime Energy Storage</t>
  </si>
  <si>
    <t>Cobble Hill 115 kV Substation</t>
  </si>
  <si>
    <t>C24-278</t>
  </si>
  <si>
    <t>Sullivan-Woodbourne Solar Project</t>
  </si>
  <si>
    <t>Mountaindale - Woodbourne 115 kV line</t>
  </si>
  <si>
    <t>C24-279</t>
  </si>
  <si>
    <t>Eastern Solar PV Project</t>
  </si>
  <si>
    <t>C24-280</t>
  </si>
  <si>
    <t>Wading River 138 kV Substation</t>
  </si>
  <si>
    <t>C24-284</t>
  </si>
  <si>
    <t>South Bronx Energy Storage</t>
  </si>
  <si>
    <t>Hell Gate 138 kV Substation</t>
  </si>
  <si>
    <t>C24-285</t>
  </si>
  <si>
    <t>North Watertown BESS</t>
  </si>
  <si>
    <t>115kV North Watertown Substation</t>
  </si>
  <si>
    <t>C24-298</t>
  </si>
  <si>
    <t>Black Cherry Wind Power, LLC</t>
  </si>
  <si>
    <t>Cameron &amp; McKean</t>
  </si>
  <si>
    <t>Homer City - Piercebrook 345kV</t>
  </si>
  <si>
    <t>C24-299</t>
  </si>
  <si>
    <t>Cameron, Elk, and McKean</t>
  </si>
  <si>
    <t>C24-300</t>
  </si>
  <si>
    <t>Kimberlite Solar Power, LLC</t>
  </si>
  <si>
    <t>Kimberlite Solar</t>
  </si>
  <si>
    <t>Homer City - Mainesburg 345kV Line (L47)</t>
  </si>
  <si>
    <t>C24-301</t>
  </si>
  <si>
    <t>Moonlight Flats Solar Power, LLC</t>
  </si>
  <si>
    <t>Moonlight Flats Solar</t>
  </si>
  <si>
    <t>C24-302</t>
  </si>
  <si>
    <t>McMullen Pond LLC</t>
  </si>
  <si>
    <t>NY Oswego 200 Erie St Storage</t>
  </si>
  <si>
    <t>Oswego - S Oswego 115kV circuit 3</t>
  </si>
  <si>
    <t>C24-303</t>
  </si>
  <si>
    <t>Bergholtz Creek LLC</t>
  </si>
  <si>
    <t>NY Niagara Falls 5800 Niagara Falls Blvd Storage</t>
  </si>
  <si>
    <t>Chateauguay River, LLC</t>
  </si>
  <si>
    <t>NY Chateaugay 0 Willis Rd Storage</t>
  </si>
  <si>
    <t>C24-309</t>
  </si>
  <si>
    <t>Black Cherry BESS</t>
  </si>
  <si>
    <t>Homer City to Piercebrook 345kV Line</t>
  </si>
  <si>
    <t>C24-313</t>
  </si>
  <si>
    <t>Southport Solar PV Project</t>
  </si>
  <si>
    <t>Caton Ave. 115 kV Station</t>
  </si>
  <si>
    <t>C24-317</t>
  </si>
  <si>
    <t>Leo Energy Storage</t>
  </si>
  <si>
    <t>Lyon Mountain 115 kV Substation</t>
  </si>
  <si>
    <t>C24-318</t>
  </si>
  <si>
    <t>Sherburne Storage</t>
  </si>
  <si>
    <t>County Line 46 kV Substation</t>
  </si>
  <si>
    <t>C24-320</t>
  </si>
  <si>
    <t>Boonville Standalone Storage</t>
  </si>
  <si>
    <t>115kV Boonville-Waters Road Line#8 (proposed as Boonville-Taylorville Line#6)</t>
  </si>
  <si>
    <t>C24-323</t>
  </si>
  <si>
    <t>Echo Lake Solar LLC</t>
  </si>
  <si>
    <t>Echo Lake</t>
  </si>
  <si>
    <t>115 kV Boonville Village - Porter Line #1, Circuit #1</t>
  </si>
  <si>
    <t>C24-332</t>
  </si>
  <si>
    <t>Stoner Trail Storage</t>
  </si>
  <si>
    <t>Inghams-Stoner 115kV line 9 and Meco-Maple Ave 115kV line 22</t>
  </si>
  <si>
    <t>C24-364</t>
  </si>
  <si>
    <t>CR24-1001</t>
  </si>
  <si>
    <t>Suffolk County Energy Storage II, LLC</t>
  </si>
  <si>
    <t>Southold 69kV station.</t>
  </si>
  <si>
    <t>CR24-1002</t>
  </si>
  <si>
    <t>National Grid Generation, LLC</t>
  </si>
  <si>
    <t>West Babylon Internal Combustion (IC), Unit 4</t>
  </si>
  <si>
    <t>West Babylon 13.8 kV</t>
  </si>
  <si>
    <t>O</t>
  </si>
  <si>
    <t>06/2027</t>
  </si>
  <si>
    <t>4</t>
  </si>
  <si>
    <t>Brooklyn Clean Energy Hub (BCEH) 345kV, Farragut 345kV, W49th Street 345kV - E13th Street 345 kV lines, Goethals 345kV</t>
  </si>
  <si>
    <t>1720</t>
  </si>
  <si>
    <t>Elk Run Storage LLC</t>
  </si>
  <si>
    <t>Elk Run Storage</t>
  </si>
  <si>
    <t>Mainesburg 115 kV Substation</t>
  </si>
  <si>
    <t>Treebeard BESS Project Co LLC</t>
  </si>
  <si>
    <t>Treebeard BESS</t>
  </si>
  <si>
    <t>New Milford</t>
  </si>
  <si>
    <t>115 kV line 1555 between Rocky River and Bulls Bridge substations</t>
  </si>
  <si>
    <t>ISO-NE</t>
  </si>
  <si>
    <t>C24-100</t>
  </si>
  <si>
    <t>C24-117</t>
  </si>
  <si>
    <t>Town Line Solar CSR Phase I</t>
  </si>
  <si>
    <t>C24-119</t>
  </si>
  <si>
    <t>West 49th Street 345 kV Substation</t>
  </si>
  <si>
    <t>C24-142</t>
  </si>
  <si>
    <t>Beaver Kill Storage</t>
  </si>
  <si>
    <t>CHGE SAUGERTIES Substation, Feeder 3003, 13.8kV</t>
  </si>
  <si>
    <t>C24-146</t>
  </si>
  <si>
    <t>Amsterdam Energy Storage</t>
  </si>
  <si>
    <t>Stoner to Amsterdam 115 kV Line</t>
  </si>
  <si>
    <t>C24-161</t>
  </si>
  <si>
    <t>Cedar Lake Storage</t>
  </si>
  <si>
    <t>Moses (Haverstock) - Adirondack 345 kV line</t>
  </si>
  <si>
    <t>C24-166</t>
  </si>
  <si>
    <t>KCE NY 41, LLC</t>
  </si>
  <si>
    <t>KCE NY 41</t>
  </si>
  <si>
    <t>C24-185</t>
  </si>
  <si>
    <t>Flat Creek Solar NY LLC</t>
  </si>
  <si>
    <t>C24-187</t>
  </si>
  <si>
    <t>Flat Creek Solar II</t>
  </si>
  <si>
    <t>Edic to Princetown 345kV Line #352</t>
  </si>
  <si>
    <t>C24-210</t>
  </si>
  <si>
    <t>Marcy BESS 1</t>
  </si>
  <si>
    <t>Volney - Marcy</t>
  </si>
  <si>
    <t>C24-212</t>
  </si>
  <si>
    <t>Marcy BESS 3</t>
  </si>
  <si>
    <t>Marcy-Volney 345 kV Line</t>
  </si>
  <si>
    <t>C24-228</t>
  </si>
  <si>
    <t>Winterberry Wind LLC</t>
  </si>
  <si>
    <t>Winterberry Wind</t>
  </si>
  <si>
    <t>Hillside to East Towanda 230 kV</t>
  </si>
  <si>
    <t>C24-231</t>
  </si>
  <si>
    <t>Azalea Wind LLC</t>
  </si>
  <si>
    <t>Azalea Wind 1</t>
  </si>
  <si>
    <t>Montour Falls Substation to Coddington Road Substation 115kV</t>
  </si>
  <si>
    <t>C24-232</t>
  </si>
  <si>
    <t>Azalea Wind 2</t>
  </si>
  <si>
    <t>Montour Falls Substation (#130830) to Coddington Road Substation 115kV (#130787)</t>
  </si>
  <si>
    <t>C24-291</t>
  </si>
  <si>
    <t>BayWa r.e. Solar Projects, LLC</t>
  </si>
  <si>
    <t>Pine Hill Energy Storage</t>
  </si>
  <si>
    <t>Belleayre 115 kV</t>
  </si>
  <si>
    <t>C24-305</t>
  </si>
  <si>
    <t>BW Solar Holding Inc.</t>
  </si>
  <si>
    <t>St. Regis River LLC</t>
  </si>
  <si>
    <t>Lawrence - A [136781] to Sugar Island [136806] 115kV line.</t>
  </si>
  <si>
    <t>C24-314</t>
  </si>
  <si>
    <t>Albany Steam Station, Jawside of 6177, 6277, 6377, 6477 Disconnects</t>
  </si>
  <si>
    <t>C24-315</t>
  </si>
  <si>
    <t>Arthur Kill Power</t>
  </si>
  <si>
    <t>Arthur Kill Upgrade</t>
  </si>
  <si>
    <t>Fresh Kills Substation between breakers BT1-4 and BT1-3</t>
  </si>
  <si>
    <t>HSR</t>
  </si>
  <si>
    <t>Developer/Interconnection Customer</t>
  </si>
  <si>
    <t>Interconnection Customer Name</t>
  </si>
  <si>
    <t>Ruland Rd 345kV</t>
  </si>
  <si>
    <t>Greenwood 138KV</t>
  </si>
  <si>
    <t>Oakdale 115 kV</t>
  </si>
  <si>
    <t>Queensbridge 138kV</t>
  </si>
  <si>
    <t>C24-152</t>
  </si>
  <si>
    <t>Quogue - Tiana 69kV</t>
  </si>
  <si>
    <t>Sills Rd - Brookhaven 138 kV line</t>
  </si>
  <si>
    <t>Jericho- New Cassel 69kV</t>
  </si>
  <si>
    <t>C24-173</t>
  </si>
  <si>
    <t>Saugerties 69 kV</t>
  </si>
  <si>
    <t>C24-179</t>
  </si>
  <si>
    <t>Miliken to Etna Line #974 115 kV line</t>
  </si>
  <si>
    <t>C24-180</t>
  </si>
  <si>
    <t>East Setauket Storage</t>
  </si>
  <si>
    <t>Holbrook - North Shore Beach 138kV line</t>
  </si>
  <si>
    <t>C24-182</t>
  </si>
  <si>
    <t>Oakdale 130755 - Watercure 130757 345 kV line</t>
  </si>
  <si>
    <t>C24-184</t>
  </si>
  <si>
    <t>Tabletop Solar NY LLC</t>
  </si>
  <si>
    <t>Fort Plain</t>
  </si>
  <si>
    <t>C24-189</t>
  </si>
  <si>
    <t>C24-193</t>
  </si>
  <si>
    <t>North Seneca</t>
  </si>
  <si>
    <t>Hooks Road - Elbridge 115kV line #7</t>
  </si>
  <si>
    <t>C24-198</t>
  </si>
  <si>
    <t>Blue Frost Storage I</t>
  </si>
  <si>
    <t>C24-203</t>
  </si>
  <si>
    <t>Renew Development HoldCo LLC</t>
  </si>
  <si>
    <t>Mill Run BESS</t>
  </si>
  <si>
    <t>Elbridge - Geres Lock 115kV 18 &amp; 19 lines</t>
  </si>
  <si>
    <t>C24-217</t>
  </si>
  <si>
    <t>Bay Breeze Solar, LLC</t>
  </si>
  <si>
    <t>Bay Breeze solar</t>
  </si>
  <si>
    <t>C24-222</t>
  </si>
  <si>
    <t>Knickerbocker Energy Storage Project, LLC</t>
  </si>
  <si>
    <t>Knickerbocker Energy Storage</t>
  </si>
  <si>
    <t>Schodack Landing</t>
  </si>
  <si>
    <t>KNICKERBOCKER 345 kV</t>
  </si>
  <si>
    <t>C24-224</t>
  </si>
  <si>
    <t>Cohocton</t>
  </si>
  <si>
    <t>C24-237</t>
  </si>
  <si>
    <t>SBMT Energy Center, LLC</t>
  </si>
  <si>
    <t>C24-238</t>
  </si>
  <si>
    <t>Zenobe Americas Inc.</t>
  </si>
  <si>
    <t>Zenobe Burns LLC</t>
  </si>
  <si>
    <t>Moraine Rd 115kV Substation</t>
  </si>
  <si>
    <t>C24-240</t>
  </si>
  <si>
    <t>Moran 2</t>
  </si>
  <si>
    <t>C24-246</t>
  </si>
  <si>
    <t>Block Perch solar</t>
  </si>
  <si>
    <t>C24-249</t>
  </si>
  <si>
    <t>Empire Solar LLC</t>
  </si>
  <si>
    <t>Empire</t>
  </si>
  <si>
    <t>Chautaqua</t>
  </si>
  <si>
    <t>C24-253</t>
  </si>
  <si>
    <t>Troy Heights Energy Storage</t>
  </si>
  <si>
    <t>Coddington Substation 34.5 kV</t>
  </si>
  <si>
    <t>C24-265</t>
  </si>
  <si>
    <t>Bethpage Battery Storage Project</t>
  </si>
  <si>
    <t>C24-266</t>
  </si>
  <si>
    <t>Mission Clean Energy Devco, LLC</t>
  </si>
  <si>
    <t>Summersweet Energy Center</t>
  </si>
  <si>
    <t>Orange county</t>
  </si>
  <si>
    <t>Sugarloaf - Sterling Forest 138 kV</t>
  </si>
  <si>
    <t>C24-269</t>
  </si>
  <si>
    <t>Stonewall Solar LLC</t>
  </si>
  <si>
    <t>Stonewall Solar</t>
  </si>
  <si>
    <t>Fraser Tap-Colliers 115 kV line #951</t>
  </si>
  <si>
    <t>C24-272</t>
  </si>
  <si>
    <t>Kerhonkson, LLC</t>
  </si>
  <si>
    <t>File Cabinet Storage</t>
  </si>
  <si>
    <t>GALEVILLE to KERHONKS 115 kV</t>
  </si>
  <si>
    <t>C24-274</t>
  </si>
  <si>
    <t>C24-277</t>
  </si>
  <si>
    <t>Tierken Storage 1, LLC</t>
  </si>
  <si>
    <t>Tierken Storage</t>
  </si>
  <si>
    <t>Reynolds Road - Greenbush 115 kV Line #9</t>
  </si>
  <si>
    <t>C24-281</t>
  </si>
  <si>
    <t>Brentwood 69 kV Substation</t>
  </si>
  <si>
    <t>C24-282</t>
  </si>
  <si>
    <t>82 Shingle House Rd, LLC</t>
  </si>
  <si>
    <t>Millwood West 345kV</t>
  </si>
  <si>
    <t>C24-283</t>
  </si>
  <si>
    <t>C24-287</t>
  </si>
  <si>
    <t>Harrigan Solar</t>
  </si>
  <si>
    <t>Willis to Lyon Mountain Line Tap 115 kV</t>
  </si>
  <si>
    <t>C24-289</t>
  </si>
  <si>
    <t>C24-290</t>
  </si>
  <si>
    <t>Cazenovia Solar</t>
  </si>
  <si>
    <t>C24-295</t>
  </si>
  <si>
    <t>Winn Hill Solar</t>
  </si>
  <si>
    <t>Kattelville to Jennison Line Tap 115 kV</t>
  </si>
  <si>
    <t>C24-297</t>
  </si>
  <si>
    <t>C24-307</t>
  </si>
  <si>
    <t>Oriden</t>
  </si>
  <si>
    <t>Marshville BESS</t>
  </si>
  <si>
    <t>Marshville 115kV Substation</t>
  </si>
  <si>
    <t>C24-308</t>
  </si>
  <si>
    <t>Chazy Lake BESS</t>
  </si>
  <si>
    <t>C24-319</t>
  </si>
  <si>
    <t>Ditch Creek Solar LLC</t>
  </si>
  <si>
    <t>Ditch Creek</t>
  </si>
  <si>
    <t>CLAY to EDIC 345 kV Line #15 Circuit #2</t>
  </si>
  <si>
    <t>C24-322</t>
  </si>
  <si>
    <t>Rolling Upland Wind Farm</t>
  </si>
  <si>
    <t>Madison and Oneida County</t>
  </si>
  <si>
    <t>County Line-Brothertown 115kV</t>
  </si>
  <si>
    <t>C24-326</t>
  </si>
  <si>
    <t>Origis Development LLC</t>
  </si>
  <si>
    <t>Robinson Road 230 kV</t>
  </si>
  <si>
    <t>C24-327</t>
  </si>
  <si>
    <t>North Creek</t>
  </si>
  <si>
    <t>EDIC to GORDON ROAD 345kV, Line #14</t>
  </si>
  <si>
    <t>C24-330</t>
  </si>
  <si>
    <t>Pine Hill Storage</t>
  </si>
  <si>
    <t>Homer Hill - Falconer 115kV, Line #154</t>
  </si>
  <si>
    <t>C24-334</t>
  </si>
  <si>
    <t>West Bus - 138kV</t>
  </si>
  <si>
    <t>10-2030</t>
  </si>
  <si>
    <t>11-2030</t>
  </si>
  <si>
    <t>C24-351</t>
  </si>
  <si>
    <t>CEDAR HOLDCO LLC</t>
  </si>
  <si>
    <t>Green Isles Energy Storage</t>
  </si>
  <si>
    <t>C24-352</t>
  </si>
  <si>
    <t>Swiss Valley Energy Storage</t>
  </si>
  <si>
    <t>Wethersfield 230 kV Substation</t>
  </si>
  <si>
    <t>C24-354</t>
  </si>
  <si>
    <t>AMBAR POWER HOLDCO LLC</t>
  </si>
  <si>
    <t>Bayonne Energy Storage I</t>
  </si>
  <si>
    <t>C24-355</t>
  </si>
  <si>
    <t>Bayonne Energy Storage II</t>
  </si>
  <si>
    <t>Gowanus Substation 345 kV</t>
  </si>
  <si>
    <t>C24-358</t>
  </si>
  <si>
    <t>Sugar Loaf Energy Storage I</t>
  </si>
  <si>
    <t>Sugarloaf 138 kV Substation</t>
  </si>
  <si>
    <t>C24-359</t>
  </si>
  <si>
    <t>Sugar Loaf Energy Storage II</t>
  </si>
  <si>
    <t>C24-362</t>
  </si>
  <si>
    <t>Amsterdam Solar</t>
  </si>
  <si>
    <t>C24-363</t>
  </si>
  <si>
    <t>C24-366</t>
  </si>
  <si>
    <t>C24-368</t>
  </si>
  <si>
    <t>Huntley Energy Storage</t>
  </si>
  <si>
    <t>C24-370</t>
  </si>
  <si>
    <t>CR24-1004</t>
  </si>
  <si>
    <t>Arthur Kill Power LLC</t>
  </si>
  <si>
    <t>Arthur Kill Unit 2 Uprate</t>
  </si>
  <si>
    <t>Freshkills 138kV</t>
  </si>
  <si>
    <t>CR24-1005</t>
  </si>
  <si>
    <t>LIPA, Transco</t>
  </si>
  <si>
    <t>NYSEG, O&amp;R</t>
  </si>
  <si>
    <t>C24-053</t>
  </si>
  <si>
    <t>Milliken - Wright Ave 115kV Line 973</t>
  </si>
  <si>
    <t>C24-206</t>
  </si>
  <si>
    <t>C24-243</t>
  </si>
  <si>
    <t>Genesee River Solar</t>
  </si>
  <si>
    <t>Lovers Lane-Elbridge Line 6 &amp; Station 168-Elbridge Line 2</t>
  </si>
  <si>
    <t>C24-262</t>
  </si>
  <si>
    <t>Beacon Wind</t>
  </si>
  <si>
    <t>Mott Haven - Rainey 345kV circuits</t>
  </si>
  <si>
    <t>LIPA Grumann B 69 kV Substation</t>
  </si>
  <si>
    <t>Montour Falls to Coddington Road 115kV</t>
  </si>
  <si>
    <t>Huntley 230 kV Substation</t>
  </si>
  <si>
    <t>C24-012</t>
  </si>
  <si>
    <t>Empire Wind 2 LLC</t>
  </si>
  <si>
    <t>EI Melville</t>
  </si>
  <si>
    <t>Offshore</t>
  </si>
  <si>
    <t>Ruland Road 345 kV</t>
  </si>
  <si>
    <t>Thousand Islands-Coffeen Line 4: Lyme Tap 115kV</t>
  </si>
  <si>
    <t>Colton - Malone Line 3 115 kV</t>
  </si>
  <si>
    <t>Fenner - Shippy Rd Line 3 115 kV</t>
  </si>
  <si>
    <t>North Troy -Hoosick Line 5 115 kV</t>
  </si>
  <si>
    <t>Eelpot Road 115 kV</t>
  </si>
  <si>
    <t>Manchester 115 kV</t>
  </si>
  <si>
    <t>C24-065</t>
  </si>
  <si>
    <t>Maplehurst Energy Park</t>
  </si>
  <si>
    <t>Dunkirk - Falconer 115kV Line #160</t>
  </si>
  <si>
    <t>Station 82 - Station 121 Line 23 115kV</t>
  </si>
  <si>
    <t>Gardenville - Dunkirk Line 74 230 kV</t>
  </si>
  <si>
    <t>Shore Rd ESS LLC</t>
  </si>
  <si>
    <t>Southeast Batavia-Golah Line 119</t>
  </si>
  <si>
    <t>C24-077</t>
  </si>
  <si>
    <t>Abundant Solar Power Inc.</t>
  </si>
  <si>
    <t>NY-5632 Turnpike Rd</t>
  </si>
  <si>
    <t>Bath - Howard 115 kV Line</t>
  </si>
  <si>
    <t>C24-078</t>
  </si>
  <si>
    <t>NY-MARKHAM HOLLOW RD</t>
  </si>
  <si>
    <t>Tilden-Cortland Line 18</t>
  </si>
  <si>
    <t>Tilden-Cortland Line 18.</t>
  </si>
  <si>
    <t>Homer Hill to ANDOVER 115kV Line 157</t>
  </si>
  <si>
    <t>C24-096</t>
  </si>
  <si>
    <t>Laona Station 115kV</t>
  </si>
  <si>
    <t>Rotterdam-Maple Ave 115kV Line 10.</t>
  </si>
  <si>
    <t>Dunkirk-Laona Line 162 115kV</t>
  </si>
  <si>
    <t>Moons Road to Falconer 115 kV Line 175</t>
  </si>
  <si>
    <t>Station 127(Hooks Rd)-Elbridge Line 7 115kV</t>
  </si>
  <si>
    <t>C24-151</t>
  </si>
  <si>
    <t>Richardson BESS</t>
  </si>
  <si>
    <t>Lawrence</t>
  </si>
  <si>
    <t>McIntyre 115 kV Substation</t>
  </si>
  <si>
    <t>Hague Road to Ticonderoga 115 kV line 4</t>
  </si>
  <si>
    <t>Geres Lock-Tilden Line 16 115kV</t>
  </si>
  <si>
    <t>Clinton Tap off the Inghams-Meco-Marshviille Line 15 115kV</t>
  </si>
  <si>
    <t>C24-186</t>
  </si>
  <si>
    <t>Blue Stone Renewable III</t>
  </si>
  <si>
    <t>THOR SOLAR</t>
  </si>
  <si>
    <t>Schodack - Falls Park 115kV</t>
  </si>
  <si>
    <t>C24-188</t>
  </si>
  <si>
    <t>Wheelhouse Solar Energy Center, LLC</t>
  </si>
  <si>
    <t>Wheelhouse Solar Energy Center</t>
  </si>
  <si>
    <t>Herkimer, Oswego</t>
  </si>
  <si>
    <t>NM-NG, LS Power</t>
  </si>
  <si>
    <t>Willis 230kV substation</t>
  </si>
  <si>
    <t>Marcy - New Scotland 345kV line 18</t>
  </si>
  <si>
    <t>Homer Hill-Andover Line 157 115kV line</t>
  </si>
  <si>
    <t>Inghams-Stoner Line 9 115kV</t>
  </si>
  <si>
    <t>Inghams-Meco-Marshville Line 15/12 115kV</t>
  </si>
  <si>
    <t>C24-202</t>
  </si>
  <si>
    <t>Brusselville Solar Energy Center</t>
  </si>
  <si>
    <t>Dysinger-New Rochester 345kV Line (DH2)</t>
  </si>
  <si>
    <t>NYSEG,RG&amp;E</t>
  </si>
  <si>
    <t>C24-204</t>
  </si>
  <si>
    <t>NM-NG, RG&amp;E</t>
  </si>
  <si>
    <t>C24-205</t>
  </si>
  <si>
    <t>NEER Interconnection Holdings, LLC</t>
  </si>
  <si>
    <t>Wheelhouse Energy Storage</t>
  </si>
  <si>
    <t>C24-207</t>
  </si>
  <si>
    <t>NextEra Energy Resources Interconnection Holdings, LLC</t>
  </si>
  <si>
    <t>Trelina Energy Storage</t>
  </si>
  <si>
    <t>Seneca, Ontario</t>
  </si>
  <si>
    <t>C24-213</t>
  </si>
  <si>
    <t>Zenobe Lancaster LLC</t>
  </si>
  <si>
    <t>Pavement 115kV Substation</t>
  </si>
  <si>
    <t>North Watertown (Lyme Junction)-Lyme Line 13 115 kV</t>
  </si>
  <si>
    <t>C24-223</t>
  </si>
  <si>
    <t>Queen Energy Center</t>
  </si>
  <si>
    <t>Etna - Milliken 115 kV line</t>
  </si>
  <si>
    <t>Moon Road-Hartfield 115kV Line159</t>
  </si>
  <si>
    <t>Falconer-South Dow Line 154 115kV</t>
  </si>
  <si>
    <t>Dunkirk-Falconer Line 160 115kV</t>
  </si>
  <si>
    <t>South Ripley Substation -Dunkirk Substation 230kV</t>
  </si>
  <si>
    <t>C24-233</t>
  </si>
  <si>
    <t>Shallow Seam Energy Storage, LLC</t>
  </si>
  <si>
    <t>Mohican - Whitehall 115 kV Line 13</t>
  </si>
  <si>
    <t>C24-239</t>
  </si>
  <si>
    <t>Zenobe Wellsville LLC</t>
  </si>
  <si>
    <t>Homer Hill - Andover 115 kV Line 157</t>
  </si>
  <si>
    <t>Inghams-Stoner Line 9 115 kV</t>
  </si>
  <si>
    <t>Deerfield - Schuyler 46kV Line 22</t>
  </si>
  <si>
    <t>C24-245</t>
  </si>
  <si>
    <t>PA-Hockenberry LLC</t>
  </si>
  <si>
    <t>Tap on Homer City to Pierce Brook 345kV line</t>
  </si>
  <si>
    <t>Moon Road-Falconer Line 175 115V</t>
  </si>
  <si>
    <t>C24-248</t>
  </si>
  <si>
    <t>Dove Energy Storage</t>
  </si>
  <si>
    <t>Dunkirk-South Ripley Line 68 230kV</t>
  </si>
  <si>
    <t>C24-255</t>
  </si>
  <si>
    <t>Saltgrass Storage LLC</t>
  </si>
  <si>
    <t>Saltgrass Storage</t>
  </si>
  <si>
    <t>Line 33-222 and 33-317 LIPA 33kV</t>
  </si>
  <si>
    <t>C24-256</t>
  </si>
  <si>
    <t>Springer Storage</t>
  </si>
  <si>
    <t>Mohican-Whitehall Line 13 115kV</t>
  </si>
  <si>
    <t>C24-257</t>
  </si>
  <si>
    <t>Grapevine Storage LLC</t>
  </si>
  <si>
    <t>Grapevine Storage</t>
  </si>
  <si>
    <t>Fredonia</t>
  </si>
  <si>
    <t>Gardenville-Dunkirk Line 74 230kV</t>
  </si>
  <si>
    <t>C24-260</t>
  </si>
  <si>
    <t>Marcy to Coopers Corner - 345 kV</t>
  </si>
  <si>
    <t>C24-261</t>
  </si>
  <si>
    <t>Mott Haven to Rainey 345kV line tap</t>
  </si>
  <si>
    <t>C24-263</t>
  </si>
  <si>
    <t>Jefferson Energy Storage</t>
  </si>
  <si>
    <t>Austin Rd. - Edic #11, 345 kV</t>
  </si>
  <si>
    <t>Moon Road-Hartfield Line 159 115 kV</t>
  </si>
  <si>
    <t>C24-268</t>
  </si>
  <si>
    <t>Arnold Energy Storage</t>
  </si>
  <si>
    <t>Colton - Malone 115kV Line 3</t>
  </si>
  <si>
    <t>C24-270</t>
  </si>
  <si>
    <t>Bassett Energy Storage</t>
  </si>
  <si>
    <t>Spencer Hill 115 kV Substation</t>
  </si>
  <si>
    <t>Kerhonkson to Honks Falls 69kV line</t>
  </si>
  <si>
    <t>C24-288</t>
  </si>
  <si>
    <t>Mossy Bank Solar</t>
  </si>
  <si>
    <t>Prattsburgh Wind farm to Stony Ridge Line Tap 230 kV</t>
  </si>
  <si>
    <t>345 kV Line 1 QP580_POI2 Substation to Q721_POI Substation</t>
  </si>
  <si>
    <t>Fenner-Shippey Line 3 115 kV</t>
  </si>
  <si>
    <t>C24-293</t>
  </si>
  <si>
    <t>Oswego Clean Energy Holdings</t>
  </si>
  <si>
    <t>Oswego Clean Energy</t>
  </si>
  <si>
    <t>Black River-Lighthouse Hill Line 5 115kV</t>
  </si>
  <si>
    <t>Homer City 345 kV to Mainesburg 345 kV L47</t>
  </si>
  <si>
    <t>C24-306</t>
  </si>
  <si>
    <t>Lock 26 BESS</t>
  </si>
  <si>
    <t>Clyde 115kV</t>
  </si>
  <si>
    <t>C24-310</t>
  </si>
  <si>
    <t>Fresh Air Energy II, LLC</t>
  </si>
  <si>
    <t>C24-316</t>
  </si>
  <si>
    <t>DOVER PLAINS ENERGY PROPERTIES LLC</t>
  </si>
  <si>
    <t>DOVER NY BESS</t>
  </si>
  <si>
    <t>DUTCHESS</t>
  </si>
  <si>
    <t>Pleasant Valley-Cricket Valley 345kV</t>
  </si>
  <si>
    <t>C24-321</t>
  </si>
  <si>
    <t>Jericho Solar Park LLC</t>
  </si>
  <si>
    <t>C24-324</t>
  </si>
  <si>
    <t>Overlook Storage</t>
  </si>
  <si>
    <t>Pleasant Valley - Todd Hill 115 kV</t>
  </si>
  <si>
    <t>C24-325</t>
  </si>
  <si>
    <t>Dunkirk to Falconer 115kV Line 160</t>
  </si>
  <si>
    <t>C24-331</t>
  </si>
  <si>
    <t>C24-333</t>
  </si>
  <si>
    <t>Pouch Energy Storage System</t>
  </si>
  <si>
    <t>C24-336</t>
  </si>
  <si>
    <t>Marcy - New Scotland 345kV, Line 18</t>
  </si>
  <si>
    <t>C24-337</t>
  </si>
  <si>
    <t>Aria Storage 1</t>
  </si>
  <si>
    <t>East Fishkill 345 kV substation</t>
  </si>
  <si>
    <t>C24-338</t>
  </si>
  <si>
    <t>Aria Storage 2</t>
  </si>
  <si>
    <t>East Fishkill 345 kV</t>
  </si>
  <si>
    <t>C24-339</t>
  </si>
  <si>
    <t>Chateauguay BESS</t>
  </si>
  <si>
    <t>Leeds 345kV</t>
  </si>
  <si>
    <t>C24-341</t>
  </si>
  <si>
    <t>Marlboro Storage</t>
  </si>
  <si>
    <t>Marlboro 115kV Substation</t>
  </si>
  <si>
    <t>C24-342</t>
  </si>
  <si>
    <t>AGRE Storage</t>
  </si>
  <si>
    <t>Astoria West 138 kV</t>
  </si>
  <si>
    <t>C24-344</t>
  </si>
  <si>
    <t>Deerpark Energy Storage, LLC</t>
  </si>
  <si>
    <t>Cuddebackville 69kV Substation</t>
  </si>
  <si>
    <t>C24-346</t>
  </si>
  <si>
    <t>Shoemaker-Chester 138kV, Line 27</t>
  </si>
  <si>
    <t>C24-347</t>
  </si>
  <si>
    <t>Little Falls Solar</t>
  </si>
  <si>
    <t>Watkins Road-Inghams Line 2 115kV</t>
  </si>
  <si>
    <t>Brookhaven - Sills Rd 138 kV Circuit #1</t>
  </si>
  <si>
    <t>Edic - Gordon Road 345 kV, Line 14</t>
  </si>
  <si>
    <t>C24-141</t>
  </si>
  <si>
    <t>Station 162 - Station 180 115kV, Line 907</t>
  </si>
  <si>
    <t>GB II New York</t>
  </si>
  <si>
    <t>Brothertown - Oriskany Falls 46kV</t>
  </si>
  <si>
    <t>Augustus Solar</t>
  </si>
  <si>
    <t>0935</t>
  </si>
  <si>
    <t>Brooklyn Clean Energy Hub 345kV; Farragut 345kV; Goethals 345kV, Astoria Annex 345kV, Sprain Brook 345kV</t>
  </si>
  <si>
    <t>Kings, Westchester, Richmond</t>
  </si>
  <si>
    <t>Kings, Richmond, Queens, Westchester</t>
  </si>
  <si>
    <t>Brooklyn Clean Energy Hub 345kV; Farragut 345kV; Rainey 345kV; Astoria West 138kV; Mott Haven - Rainey 345kV lines; Goethals 345kV; Astoria Annex 345kV; Sprain Brook 345kV</t>
  </si>
  <si>
    <t>Brooklyn Clean Energy Hub 345kV, Farragut 345kV, Rainey 345kV, Academy 345kV, Mott Haven 345kV, Astoria Annex 345kV, Fraser 345kV</t>
  </si>
  <si>
    <t>Kings,Bronx,Queens,Westchester,Richmond</t>
  </si>
  <si>
    <t>Brooklyn Clean Energy Hub 345kV; Mott Haven 345kV; Rainey 345kV; Gowanus 345kV; Sprain Brook 345kV ; Goethals 345 kV</t>
  </si>
  <si>
    <t>Brooklyn Clean Energy Hub 345kV; Mott Haven 345kV; Rainey 345kV; Gowanus 345kV; Sprain Brook 345kV, Goethals 345 kV</t>
  </si>
  <si>
    <t>Brooklyn Clean Energy Hub 345 kV, Farragut 345 kV, Academy 345 kV, Astoria Annex 345 kV, Mott Haven 345 kV, Mott Haven - Rainey 345 kV Lines,</t>
  </si>
  <si>
    <t>Brooklyn Clean Energy Hub 345 kV, Farragut 345 kV, Rainey 345 kV, West 49 Street 345 kV, Mott Haven 345 kV, Astoria Annex 345 kV, Mott Haven - Rainey 345kV Lines</t>
  </si>
  <si>
    <t>Brooklyn Clean Energy Hub 345 kV, Farragut 345 kV, Rainey 345 kV, Academy 345 kV, Mott Haven 345 kV, Astoria Annex 345kV , Fraser, Mott Haven - Rainey 345kV Lines,</t>
  </si>
  <si>
    <t>Brooklyn Clean Energy Hub 345kV, Farragut 345kV, Rainey 345kV, Academy 345kV, Mott Haven 345 kV, Astoria Annex 345kV, Tremont 345kV, Mott Haven - Rainey 345kV Lines,</t>
  </si>
  <si>
    <t>Brooklyn Clean Energy Hub 345kV, Farragut 345kV, Rainey 345kV, Academy 345kV, Mott Haven 345kV, Astoria Annex 345kV, Fraser 345kV, Mott Haven - Rainey 345kV Lines,</t>
  </si>
  <si>
    <t>Kings,Queens,Bronx,Richmond,Westchester</t>
  </si>
  <si>
    <t>Kings,Queens,Bronx,Richmond,Westchester,</t>
  </si>
  <si>
    <t>Brooklyn Clean Energy Hub 345kV, Farragut 345kV, Rainey 345kV, Astoria Annex 345kV, Mott Haven 345kV, Tremont 345kV, W49th St 345kV, Gowanus - Goethals 345kV Lines, Mott Haven - Rainey 345kV Lines, Gowanus 345 kV</t>
  </si>
  <si>
    <t>Kings,Queens,NY,Bronx,Westchester,Delawa</t>
  </si>
  <si>
    <t>Brooklyn Clean Energy Hub 345kV, Farragut 345kV, Rainey 345kV, Academy 345kV, Astoria Annex 345kV, Mott Haven 345kV, Vernon 138kV, Fraser 345kV,</t>
  </si>
  <si>
    <t>Brooklyn Clean Energy Hub 345kV, Farragut 345kV, Rainey 345kV, Academy 345kV, Astoria Annex 345kV, Mott Haven 345kV, Gowanus - Goethals 345kV Lines, Mott Haven - Rainey 345kV Lines, Fraser 345kV, Gowanus 345</t>
  </si>
  <si>
    <t>1721</t>
  </si>
  <si>
    <t>WF Industrial XII LLC</t>
  </si>
  <si>
    <t>Brookhaven Logistics Center</t>
  </si>
  <si>
    <t>1723</t>
  </si>
  <si>
    <t>Olean Digital LLC</t>
  </si>
  <si>
    <t>Olean Digital Data Center</t>
  </si>
  <si>
    <t>Wildwood - Riverhead 138 kV</t>
  </si>
  <si>
    <t>Brusselville Solar, LLC</t>
  </si>
  <si>
    <t>C24-216</t>
  </si>
  <si>
    <t>Zenobe Harmony LLC</t>
  </si>
  <si>
    <t>C24-251</t>
  </si>
  <si>
    <t>Vidal Blanc Storage 1, LLC</t>
  </si>
  <si>
    <t>Vidal Blanc Storage</t>
  </si>
  <si>
    <t>Galeville-Kerhonkson 115kV</t>
  </si>
  <si>
    <t>C24-294</t>
  </si>
  <si>
    <t>Birch Whistler, LLC</t>
  </si>
  <si>
    <t>Birch-Whistler</t>
  </si>
  <si>
    <t>Line Tap Edic to Fraser Line, 345kV</t>
  </si>
  <si>
    <t>C24-296</t>
  </si>
  <si>
    <t>Medina Solar</t>
  </si>
  <si>
    <t>Connection on Brunner to Sour Springs 115 kV Line 118</t>
  </si>
  <si>
    <t>C24-312</t>
  </si>
  <si>
    <t>St. Regis</t>
  </si>
  <si>
    <t>Dennison-Colton #5 115 kV Line.</t>
  </si>
  <si>
    <t>C24-329</t>
  </si>
  <si>
    <t>WEB Addison Solar</t>
  </si>
  <si>
    <t>C24-335</t>
  </si>
  <si>
    <t>PA-Fritz Kiln LLC</t>
  </si>
  <si>
    <t>Tap on Homer City - Pierce Rd 345kV line</t>
  </si>
  <si>
    <t>C24-340</t>
  </si>
  <si>
    <t>Solitude Solar, LLC d/b/a U.S. Light Energy</t>
  </si>
  <si>
    <t>Weststreet Boonville 115kV</t>
  </si>
  <si>
    <t>MC Boonville</t>
  </si>
  <si>
    <t>C24-343</t>
  </si>
  <si>
    <t>Avangrid Renewables, LLC</t>
  </si>
  <si>
    <t>AGR NY1</t>
  </si>
  <si>
    <t>C24-348</t>
  </si>
  <si>
    <t>Wright Avenue - Milliken 115kV Line 973</t>
  </si>
  <si>
    <t>RIC Development, LLC</t>
  </si>
  <si>
    <t>Richland III Solar</t>
  </si>
  <si>
    <t>C24-350</t>
  </si>
  <si>
    <t>Hickling Storage, LLC</t>
  </si>
  <si>
    <t>115kV Hickling Substation</t>
  </si>
  <si>
    <t>C24-357</t>
  </si>
  <si>
    <t>Stoner (137906) to Inghams (137228) 115kV line</t>
  </si>
  <si>
    <t>C24-367</t>
  </si>
  <si>
    <t>Lewis Wind, LLC</t>
  </si>
  <si>
    <t>Lewis Wind</t>
  </si>
  <si>
    <t>Volney-Marcy Line 19 345kV line</t>
  </si>
  <si>
    <t>CR24-1003</t>
  </si>
  <si>
    <t>Albany Steam 115 kV</t>
  </si>
  <si>
    <t>Adirondack - Austin Road Line #13, 345kV line.</t>
  </si>
  <si>
    <t>Deposit - Indian Head 69 kV Line</t>
  </si>
  <si>
    <t>N. Ogdensburg - Alcoa 115 kV Line (Line # 13)</t>
  </si>
  <si>
    <t>Clay - Pannell (Station 122), Line #1 345 kV line</t>
  </si>
  <si>
    <t>345kV Gowanus Substation</t>
  </si>
  <si>
    <t>St. Johnsville - Marshville, Line id #11 (CLCPA rebuild), 115 kV,</t>
  </si>
  <si>
    <t>Holbrook - Bohemia Ckt#1, 69kV</t>
  </si>
  <si>
    <t>Indeck Oswego - Tar Hill Line 2 115kV</t>
  </si>
  <si>
    <t>04/2028</t>
  </si>
  <si>
    <t>1. Moses 230 kV substation 2. Haverstock 345 kV sub (new) 3. Massena 230 kV substation 4. Adirondack 345 kV sub (new) 5. Willis 230 kV substation 6. Ryan &amp; Patnode 230 kV substations 7. Chases Lake 345 kV sub (new) 8. Marcy 345 kV sub 9. Edic 345 kV sub</t>
  </si>
  <si>
    <t>Brooklyn Clean Energy Hub 345 kV, Farragut 345 kV, Sprain Brook 345 kV, Astoria Annex 345 kV, Goethals 345 kV, Gowanus- Goethals 345 kV lines</t>
  </si>
  <si>
    <t>Brooklyn Clean Energy Hub 345kV; Farragut 345kV; Rainey 345kV; Astoria West 138kV; Mott Haven - Rainey 345kV lines; Goethals 345kV, Astoria Annex 345kV; Sprain Brook 345kV; Gowanus- Goethals 345kV lines</t>
  </si>
  <si>
    <t>Brooklyn Clean Energy Hub 345kV, Farragut 345kV, Sprain Brook 345kV , Astoria Annex 345kV , Goethals 345kV , Mott Haven - Rainey 345kV substations, Gowanus - Goethals 345kV , Astoria West 345 kV, Rainey 345 kV</t>
  </si>
  <si>
    <t>Five Boro Energy Connect ? Mint</t>
  </si>
  <si>
    <t>Five Boro Energy Connect ? Sage</t>
  </si>
  <si>
    <t>Five Boro Energy Connect ? Olive</t>
  </si>
  <si>
    <t>Five Boro Energy Connect ? Kelly</t>
  </si>
  <si>
    <t>Five Boro Energy Connect ? Hazel</t>
  </si>
  <si>
    <t>Five Boro Energy Connect ? Navy</t>
  </si>
  <si>
    <t>Brooklyn Clean Energy Hub 345kV, Farragut 345kV, Astoria Annex 345kV, Mott Haven 345kV, Rainey 345kV, Dunwoodie 345kV, Sprain Brook 345kV, Gowanus - Goethals 345kV Lines, Mott Haven - Rainey 345kV Lines, Gowanus 345 kV</t>
  </si>
  <si>
    <t>Five Boro Energy Connect ? Royal</t>
  </si>
  <si>
    <t>Five Boro Energy Connect ? Golden</t>
  </si>
  <si>
    <t>Brooklyn Clean Energy Hub 345kV, Farragut 345kV, Rainey 345kV, Academy 345kV, Astoria Annex 345kV, Mott Haven 345kV, Dunwoodie 345kV, Fraser 345kV, Vernon 138kV, Mott Haven - Rainey 345kV Lines</t>
  </si>
  <si>
    <t>Five Boro Energy Connect ? Honey</t>
  </si>
  <si>
    <t>Five Boro Energy Connect ? Cobalt</t>
  </si>
  <si>
    <t>C24-052-001</t>
  </si>
  <si>
    <t>C24-122-002</t>
  </si>
  <si>
    <t>Marcy to New Scotland 345 kV line 18</t>
  </si>
  <si>
    <t>C24-221-003</t>
  </si>
  <si>
    <t>C24-292</t>
  </si>
  <si>
    <t>Loganberry Energy Storage, LLC</t>
  </si>
  <si>
    <t>Dunkirk to Falconer Line 160 115 kV</t>
  </si>
  <si>
    <t>C24-304-004</t>
  </si>
  <si>
    <t>C24-349-005</t>
  </si>
  <si>
    <t>C24-356</t>
  </si>
  <si>
    <t>Five Mile Energy, LLC</t>
  </si>
  <si>
    <t>5Mile Storage Project</t>
  </si>
  <si>
    <t>Five Mile 345 kV</t>
  </si>
  <si>
    <t>C24-143</t>
  </si>
  <si>
    <t>Line 907 Substation 162 and Houghton Substation (S180). 115kV</t>
  </si>
  <si>
    <t>C24-199</t>
  </si>
  <si>
    <t>Blue Frost Storage II</t>
  </si>
  <si>
    <t>Edic - Gordon Road 345kV Line 14</t>
  </si>
  <si>
    <t>C24-201</t>
  </si>
  <si>
    <t>Milliken - Etna 115 kV #975</t>
  </si>
  <si>
    <t>C24-241</t>
  </si>
  <si>
    <t>Soper Road Solar</t>
  </si>
  <si>
    <t>Perry Center Substation</t>
  </si>
  <si>
    <t>C24-242</t>
  </si>
  <si>
    <t>Willet - Tarbell 34.5kV</t>
  </si>
  <si>
    <t>C24-286</t>
  </si>
  <si>
    <t>Mastodon Storage 1, LLC</t>
  </si>
  <si>
    <t>Mastodon Storage</t>
  </si>
  <si>
    <t>Rock Tavern - Sugarloaf 115 kV Line SL</t>
  </si>
  <si>
    <t>C24-311</t>
  </si>
  <si>
    <t>Watson (Bus #129777) - Brightwaters (Bus #129723) Ckt #2, 69 kV</t>
  </si>
  <si>
    <t>C24-345</t>
  </si>
  <si>
    <t>Athens Energy Storage LLC</t>
  </si>
  <si>
    <t>Tap of Leeds-Van Wagner 345kV line 92</t>
  </si>
  <si>
    <t>C24-353</t>
  </si>
  <si>
    <t>Caithness LI Energy Storage LLC</t>
  </si>
  <si>
    <t>CLIES 70 MW</t>
  </si>
  <si>
    <t>Sills Road 138kV substation</t>
  </si>
  <si>
    <t>C24-365</t>
  </si>
  <si>
    <t>Ford Hill Road Solar</t>
  </si>
  <si>
    <t>Whitney Point Southwest 34.5kV substation</t>
  </si>
  <si>
    <t>C24-369</t>
  </si>
  <si>
    <t>Hillside - East Towanda 230 kV</t>
  </si>
  <si>
    <t>C24-328</t>
  </si>
  <si>
    <t>WEB Worth Wind</t>
  </si>
  <si>
    <t>115 kV Middle Road - Lighthouse Hill Line 6</t>
  </si>
  <si>
    <t>C24-360</t>
  </si>
  <si>
    <t>North Foothills Solar</t>
  </si>
  <si>
    <t>line tap between 115kV NMNG Lake Colby (136777) and Malone (136783) substations</t>
  </si>
  <si>
    <t>C24-361</t>
  </si>
  <si>
    <t>Cherry Valley Energy Center, LLC</t>
  </si>
  <si>
    <t>Edic to Princetown Line #351, 345 kV</t>
  </si>
  <si>
    <t>C24-371</t>
  </si>
  <si>
    <t>EZ ENERGY SOLUTIONS LLC</t>
  </si>
  <si>
    <t>EZ ENERGY SOLUTIONS LLC 5802 BESS</t>
  </si>
  <si>
    <t>KINGS</t>
  </si>
  <si>
    <t>Gowanus 138 kV</t>
  </si>
  <si>
    <t>Hawthorn Solar, LLC</t>
  </si>
  <si>
    <t>1724</t>
  </si>
  <si>
    <t>Alcoa</t>
  </si>
  <si>
    <t>Alcoa East Energy Allocation Project</t>
  </si>
  <si>
    <t>Haverstock - Willis 345kV lines HW1 &amp; HW2</t>
  </si>
  <si>
    <t>NYS-Locke 718 34.5 kV Substation</t>
  </si>
  <si>
    <t>1410</t>
  </si>
  <si>
    <t>1/31/25</t>
  </si>
  <si>
    <t>New York State Artificial Intelligence Data Center</t>
  </si>
  <si>
    <t>12/2023-06/2025</t>
  </si>
  <si>
    <t>Reynolds Road Line 5 through existing on-site infrastructure and metering.</t>
  </si>
  <si>
    <t>Wet Compression</t>
  </si>
  <si>
    <t>01-2031</t>
  </si>
  <si>
    <t>08-2031</t>
  </si>
  <si>
    <t>03-2032</t>
  </si>
  <si>
    <t>BayWa r.e Projects LLC.</t>
  </si>
  <si>
    <t>Packard - Huntley Line 77 230kV</t>
  </si>
  <si>
    <t>Beacon Wind Land LLC</t>
  </si>
  <si>
    <t>Scipio Solar NY LLC</t>
  </si>
  <si>
    <t>Gateway Solar Energy Center, LLC</t>
  </si>
  <si>
    <t>Gateway Solar Energy Center</t>
  </si>
  <si>
    <t>Moraine Solar Energy Center, LLC</t>
  </si>
  <si>
    <t>Tracy Solar Energy Center, LLC</t>
  </si>
  <si>
    <t>Bayonne Energy Center III, LLC</t>
  </si>
  <si>
    <t>Delaware, Queens</t>
  </si>
  <si>
    <t>06/29-06/30</t>
  </si>
  <si>
    <t>Kings,Queens,NY,Bronx,Delaware,</t>
  </si>
  <si>
    <t>Kings/Queens/NY/Bronx/Delaware</t>
  </si>
  <si>
    <t>Kings,Queens,NY,Bronx,Delaware</t>
  </si>
  <si>
    <t>Kings,Queens,NY,Bronx,Richmond,Delaware</t>
  </si>
  <si>
    <t>1726</t>
  </si>
  <si>
    <t>Riverview Innovation &amp; Technology Campus, Inc.</t>
  </si>
  <si>
    <t>Data &amp; Technology Campus</t>
  </si>
  <si>
    <t>Kings Substation 138kV</t>
  </si>
  <si>
    <t>Westerlo-New Baltimore 69kV Line #NW</t>
  </si>
  <si>
    <t>New York State Electric &amp; Gas</t>
  </si>
  <si>
    <t>New York Power Authority</t>
  </si>
  <si>
    <t>Eastern Generation, LLC</t>
  </si>
  <si>
    <t>New York Power Authority and National Grid</t>
  </si>
  <si>
    <t>Northern New York Priority Transmission Project (NNYPTP)</t>
  </si>
  <si>
    <t>Clean Path New York LLC</t>
  </si>
  <si>
    <t>New York Power Authority &amp; LS Power Grid New York Corporation II</t>
  </si>
  <si>
    <t>New York Transco LLC</t>
  </si>
  <si>
    <t>Energy Link New York Solution 1</t>
  </si>
  <si>
    <t>Energy Link New York Solution 2</t>
  </si>
  <si>
    <t>Energy Link New York Solution 3</t>
  </si>
  <si>
    <t>Energy Link New York Solution 4</t>
  </si>
  <si>
    <t>Energy Link New York Solution 5</t>
  </si>
  <si>
    <t>Energy Link New York Solution 6</t>
  </si>
  <si>
    <t>Energy Link New York Solution 7</t>
  </si>
  <si>
    <t>Energy Link New York Solution 10</t>
  </si>
  <si>
    <t>New York Power Authority &amp; LS Power Grid New York Corporation I</t>
  </si>
  <si>
    <t>Energy Link New York Solution 8</t>
  </si>
  <si>
    <t>Energy Link New York Solution 9</t>
  </si>
  <si>
    <t>Kings, Queens, New York, Bronx</t>
  </si>
  <si>
    <t>1725</t>
  </si>
  <si>
    <t>Greenidge Generation, LLC</t>
  </si>
  <si>
    <t>Greenidge 200 MW Data Center Project</t>
  </si>
  <si>
    <t>1731</t>
  </si>
  <si>
    <t>Zone</t>
  </si>
  <si>
    <t>1734</t>
  </si>
  <si>
    <t>Mid-Atlantic Interstate Transmission, LLC</t>
  </si>
  <si>
    <t>Fairbanks Run Mod Sub</t>
  </si>
  <si>
    <t>Tapping the National Grid Falconer to MAIT Warren line on the Pennsylvania side of the line.</t>
  </si>
  <si>
    <t>79.9</t>
  </si>
  <si>
    <t>Luyster Creek Energy Storage 3</t>
  </si>
  <si>
    <t>NY Transco, LSPNY, CHGE</t>
  </si>
  <si>
    <t>1728</t>
  </si>
  <si>
    <t>Arconic Corporation</t>
  </si>
  <si>
    <t>Arsenal Data Site 250</t>
  </si>
  <si>
    <t>1729</t>
  </si>
  <si>
    <t>Arsenal Data Site 500</t>
  </si>
  <si>
    <t>1730</t>
  </si>
  <si>
    <t>Arsenal Data Site 1000</t>
  </si>
  <si>
    <t>1732</t>
  </si>
  <si>
    <t>Wulf Compute Data Center II</t>
  </si>
  <si>
    <t>1733</t>
  </si>
  <si>
    <t>Cayuga Data</t>
  </si>
  <si>
    <t>the New York Power Authority</t>
  </si>
  <si>
    <t>Mohican to Battenkill 115 kV Line #15</t>
  </si>
  <si>
    <t>Willis-Haverstock 345kV HW1</t>
  </si>
  <si>
    <t>Wading River Power Station Battery Energy Storage System (BESS)</t>
  </si>
  <si>
    <t>NYPA, LSpower</t>
  </si>
  <si>
    <t>OSW</t>
  </si>
  <si>
    <t>Energy Storage Capability</t>
  </si>
  <si>
    <t>Minimum_Duration Full Discharge</t>
  </si>
  <si>
    <t>Rich Road Solar Energy Center, LLC</t>
  </si>
  <si>
    <t>Lighthouse Arthur Kill, LLC</t>
  </si>
  <si>
    <t>Hoffman Falls Wind LLC</t>
  </si>
  <si>
    <t>1735</t>
  </si>
  <si>
    <t>Turin Management LLC</t>
  </si>
  <si>
    <t>Remington Factory Redevelopment</t>
  </si>
  <si>
    <t>1736</t>
  </si>
  <si>
    <t>Ranalli SuperDC LLC</t>
  </si>
  <si>
    <t>Ranalli SuperDC</t>
  </si>
  <si>
    <t>1494</t>
  </si>
  <si>
    <t>Wishbone Solar</t>
  </si>
  <si>
    <t>Canandaigua to Stony Ridge 230 kV Line</t>
  </si>
  <si>
    <t>1495</t>
  </si>
  <si>
    <t>Argos Solar</t>
  </si>
  <si>
    <t>Etna 115 kV substation</t>
  </si>
  <si>
    <t>Porter's corner to Dundee 34.5kV Line, Line #594</t>
  </si>
  <si>
    <t>Barrington Solar</t>
  </si>
  <si>
    <t>NJR Clean Energy Ventures III Corporation</t>
  </si>
  <si>
    <t>1575</t>
  </si>
  <si>
    <t>1644</t>
  </si>
  <si>
    <t>White Springs</t>
  </si>
  <si>
    <t>Haley Road to AES Greenidge Substation 115 kV</t>
  </si>
  <si>
    <t>East Fishkill Storage 1, LLC</t>
  </si>
  <si>
    <t>Agricola Wind LLC</t>
  </si>
  <si>
    <t>1737</t>
  </si>
  <si>
    <t>Griffiss Utility Services Corporation</t>
  </si>
  <si>
    <t>Griffiss Park Triangle Development</t>
  </si>
  <si>
    <t>11</t>
  </si>
  <si>
    <t>12</t>
  </si>
  <si>
    <t>7</t>
  </si>
  <si>
    <t>NextEra</t>
  </si>
  <si>
    <t>6</t>
  </si>
  <si>
    <t>9</t>
  </si>
  <si>
    <t>5</t>
  </si>
  <si>
    <t>Lighthouse Bethlehem, LLC</t>
  </si>
  <si>
    <t>Lighthouse Arthur Kill II, LLC</t>
  </si>
  <si>
    <t>Edic 345 kV to Princetown 345 kV circuit #352</t>
  </si>
  <si>
    <t>Edic - Princetown Line #352</t>
  </si>
  <si>
    <t>Border City to Station 168 115 kV</t>
  </si>
  <si>
    <t>Bath - Spencer Hill (Howard) 115 kV</t>
  </si>
  <si>
    <t>Milliken to Ludlowville 34.5kV Line #522</t>
  </si>
  <si>
    <t>Morris Solar NY LLC</t>
  </si>
  <si>
    <t>Slide Energy Center, LLC</t>
  </si>
  <si>
    <t>Antelope Energy Storage LLC</t>
  </si>
  <si>
    <t>Summersweet Energy Center, LLC</t>
  </si>
  <si>
    <t>Transco, O&amp;R, NYPA</t>
  </si>
  <si>
    <t>Transco, O&amp;R</t>
  </si>
  <si>
    <t>560</t>
  </si>
  <si>
    <t>240</t>
  </si>
  <si>
    <t>760</t>
  </si>
  <si>
    <t>600</t>
  </si>
  <si>
    <t>480</t>
  </si>
  <si>
    <t>316</t>
  </si>
  <si>
    <t>800</t>
  </si>
  <si>
    <t>540</t>
  </si>
  <si>
    <t>520</t>
  </si>
  <si>
    <t>2</t>
  </si>
  <si>
    <t>1800</t>
  </si>
  <si>
    <t>340</t>
  </si>
  <si>
    <t>80</t>
  </si>
  <si>
    <t>4.0</t>
  </si>
  <si>
    <t>992</t>
  </si>
  <si>
    <t>DC, L=Load, FC=Fuel Cell,CW=CSR - ES + Wind, CR=CSR - ES + Solar</t>
  </si>
  <si>
    <t>1685</t>
  </si>
  <si>
    <t>energyRe Giga-Projects USA, LLC</t>
  </si>
  <si>
    <t>Clean Borough Power Link #1</t>
  </si>
  <si>
    <t>Richmond,Kings,Queens,West Chester</t>
  </si>
  <si>
    <t>1686</t>
  </si>
  <si>
    <t>Clean Borough Power Link #2</t>
  </si>
  <si>
    <t>New York, Richmond, Kings</t>
  </si>
  <si>
    <t>Brooklyn Clean Energy Hub 345kV; Farragut 345kV; West 49 St - East13 St 345kV lines; Goethals 345kV,</t>
  </si>
  <si>
    <t>1687</t>
  </si>
  <si>
    <t>Clean Borough Power Link #3</t>
  </si>
  <si>
    <t>Richmond, New York, Kings, Queens</t>
  </si>
  <si>
    <t>Brooklyn Clean Energy Hub 345kV; Mott Haven - Rainey 345kV lines; Rainey 345kV; Astoria West 138kV; Farragut 345kV; Astoria Annex 345kV, Goethals 345 kV</t>
  </si>
  <si>
    <t>1739</t>
  </si>
  <si>
    <t>Brookhaven Science Associates on behalf of US Department of Energy</t>
  </si>
  <si>
    <t>Brookhaven National Laboratory Electron Ion Collider Project</t>
  </si>
  <si>
    <t>LIPA existing 69 kV / 13.8 kV substation (PSEG Fifth Ave substation)</t>
  </si>
  <si>
    <t>1740</t>
  </si>
  <si>
    <t>Incremental Load Request for Remington Factory Redevelopment</t>
  </si>
  <si>
    <t>Line 1: 345KV from EDIC to Fraser. Line 2: 345 KV from Marcy to Coopers Corners</t>
  </si>
  <si>
    <t>1741</t>
  </si>
  <si>
    <t>North East Data LLC</t>
  </si>
  <si>
    <t>North East Data LLC Data Center</t>
  </si>
  <si>
    <t>1742</t>
  </si>
  <si>
    <t>St. Lawrence Infrastructure, LLC</t>
  </si>
  <si>
    <t>St. Lawrence Infrastructure 1</t>
  </si>
  <si>
    <t>NYPA HA-2, 345kV Transmission Line</t>
  </si>
  <si>
    <t>1743</t>
  </si>
  <si>
    <t>St. Lawrence Infrastructure 2</t>
  </si>
  <si>
    <t>NYPA's 230kV Moses Massena 1 (MMS-1) and 230kV Moses Massena 2 (MMS-2)</t>
  </si>
  <si>
    <t>A01-206</t>
  </si>
  <si>
    <t>Tennessee Gas-East Towanda 115 kV</t>
  </si>
  <si>
    <t>A01-220</t>
  </si>
  <si>
    <t>East Towanda-South Troy 115 kV</t>
  </si>
  <si>
    <t>A01-221</t>
  </si>
  <si>
    <t>South Troy - North Towanda 34.5 kV</t>
  </si>
  <si>
    <t>A01-327</t>
  </si>
  <si>
    <t>A01-356</t>
  </si>
  <si>
    <t>South Troy - Canton 34.5 kV</t>
  </si>
  <si>
    <t>A01-439</t>
  </si>
  <si>
    <t>Oxbow 34.5 kV</t>
  </si>
  <si>
    <t>A01-456</t>
  </si>
  <si>
    <t>Pierce Brook-Lewis Run 230 kV</t>
  </si>
  <si>
    <t>A01-457</t>
  </si>
  <si>
    <t>Pierce Brook - Lewis Run 230 kV</t>
  </si>
  <si>
    <t>A01-005</t>
  </si>
  <si>
    <t>East Towanda-South Troy 115 kV II</t>
  </si>
  <si>
    <t>A01-102</t>
  </si>
  <si>
    <t>Seward-Glory 115 kV</t>
  </si>
  <si>
    <t>A01-268</t>
  </si>
  <si>
    <t>Seward-Glory 115 kV II</t>
  </si>
  <si>
    <t>A01-357</t>
  </si>
  <si>
    <t>Pierce Brook-Lewis Run 230kV</t>
  </si>
  <si>
    <t>A01-358</t>
  </si>
  <si>
    <t>A01-359</t>
  </si>
  <si>
    <t>A01-360</t>
  </si>
  <si>
    <t>A01-587</t>
  </si>
  <si>
    <t>Farmers Valley – Ridgeway 115 kV</t>
  </si>
  <si>
    <t>A01-588</t>
  </si>
  <si>
    <t>Lewis Run - Pierce Brook 230 kV</t>
  </si>
  <si>
    <t>A01-589</t>
  </si>
  <si>
    <t>A01-703</t>
  </si>
  <si>
    <t>Bergen 230kV</t>
  </si>
  <si>
    <t>A01-715</t>
  </si>
  <si>
    <t>Linden 230kV</t>
  </si>
  <si>
    <t>A01-720</t>
  </si>
  <si>
    <t>East Towanda 230 kV</t>
  </si>
  <si>
    <t>A01-722</t>
  </si>
  <si>
    <t>Agnes Solar, LLC</t>
  </si>
  <si>
    <t>Franklin Energy, LLC</t>
  </si>
  <si>
    <t xml:space="preserve">Field Brook Solar LLC </t>
  </si>
  <si>
    <t>McKean County Solar, LLC</t>
  </si>
  <si>
    <t xml:space="preserve">Franklin Energy, LLC </t>
  </si>
  <si>
    <t>Clark Run Solar LLC</t>
  </si>
  <si>
    <t xml:space="preserve">RWE Solar Development, LLC </t>
  </si>
  <si>
    <t>Parkway Generation Operating LLC</t>
  </si>
  <si>
    <t>Hamilton Liberty LLC</t>
  </si>
  <si>
    <t>Indiana</t>
  </si>
  <si>
    <t>Bergen</t>
  </si>
  <si>
    <t>10/31/2025</t>
  </si>
  <si>
    <t xml:space="preserve">	
Robin Solar LLC</t>
  </si>
  <si>
    <t xml:space="preserve">	
Oxbow 34.5 kV</t>
  </si>
  <si>
    <t xml:space="preserve">	
Pierce Brook - Lewis Run 230 kV</t>
  </si>
  <si>
    <t xml:space="preserve">	
Lewis Run - Pierce Brook 230 kV</t>
  </si>
  <si>
    <t xml:space="preserve">	
Bergen 230kV</t>
  </si>
  <si>
    <t xml:space="preserve">	
Linden 230kV</t>
  </si>
  <si>
    <t>0276</t>
  </si>
  <si>
    <t>Watkins Road Solar NY LLC</t>
  </si>
  <si>
    <t>Valley Solar NY LLC</t>
  </si>
  <si>
    <t>225</t>
  </si>
  <si>
    <t>Fairway Solar NY LLC</t>
  </si>
  <si>
    <t>Grassy Knoll Solar NY LLC</t>
  </si>
  <si>
    <t>2380</t>
  </si>
  <si>
    <t>8</t>
  </si>
  <si>
    <t>376</t>
  </si>
  <si>
    <t>2383.6</t>
  </si>
  <si>
    <t>880.4</t>
  </si>
  <si>
    <t>700</t>
  </si>
  <si>
    <t>420</t>
  </si>
  <si>
    <t>8-2028</t>
  </si>
  <si>
    <t>9-2028</t>
  </si>
  <si>
    <t>Two Rivers Solar Farm, LLC</t>
  </si>
  <si>
    <t>Holtsville Brookhaven Battery Storage LLC</t>
  </si>
  <si>
    <t>159.8</t>
  </si>
  <si>
    <t>Huntley - Packard 230kV line 78</t>
  </si>
  <si>
    <t>Haverstock to Adirondak 345kV line HA-1</t>
  </si>
  <si>
    <t>Haverstock-Adirondack 345kV transmission line HA-2</t>
  </si>
  <si>
    <t>TeraWulf Brookings LLC</t>
  </si>
  <si>
    <t>Kintigh 345kV sub-station</t>
  </si>
  <si>
    <t>Milliken 115kV Substation</t>
  </si>
  <si>
    <t>NYPA ,National Grid</t>
  </si>
  <si>
    <t>Clay to Pannell ckts PC-1 and PC-2</t>
  </si>
  <si>
    <t>NM-NG, NYSEG/RGE</t>
  </si>
  <si>
    <t>Gulf to Rome 115kV line</t>
  </si>
  <si>
    <t>1738</t>
  </si>
  <si>
    <t>Donovan Drive Holdings LLC</t>
  </si>
  <si>
    <t>1 Gig Data Center East Fishkill, NY</t>
  </si>
  <si>
    <t>NYSEG, Central Hudson</t>
  </si>
  <si>
    <t>1744</t>
  </si>
  <si>
    <t>Brookhaven Logistics Center, LLC</t>
  </si>
  <si>
    <t>Brookhaven Data Center</t>
  </si>
  <si>
    <t>LIPA 138kV line circuit, between Caithness Long Island Energy Center Substation and Brookhaven Substation. Coordinates: 40°49'05.8"N 72°55'45.4"W.</t>
  </si>
  <si>
    <t>1745</t>
  </si>
  <si>
    <t>American Data Center Partners LLC</t>
  </si>
  <si>
    <t>Pontoon Bridge Road Data Center</t>
  </si>
  <si>
    <t>Haverstock-Adirondack 345kV transmission lines</t>
  </si>
  <si>
    <t>1746</t>
  </si>
  <si>
    <t>Onondaga County Department of Water Environment Protection</t>
  </si>
  <si>
    <t>OOWWTP Expansion Program</t>
  </si>
  <si>
    <t>National Grid's 115kV lines: Clay-Teall LN#11 and Clay-Woodard LN#17</t>
  </si>
  <si>
    <t>1747</t>
  </si>
  <si>
    <t>Globe Digital Holdings - 1</t>
  </si>
  <si>
    <t>1748</t>
  </si>
  <si>
    <t>GLOBE DH 2</t>
  </si>
  <si>
    <t>NIAGARA FALLS</t>
  </si>
  <si>
    <t>1749</t>
  </si>
  <si>
    <t>Globe DH 3</t>
  </si>
  <si>
    <t>niagara falls</t>
  </si>
  <si>
    <t>1750</t>
  </si>
  <si>
    <t>Advance Albany County Alliance</t>
  </si>
  <si>
    <t>Al Tech Steel Site</t>
  </si>
  <si>
    <t>Maplewood Menands 18</t>
  </si>
  <si>
    <t>1751</t>
  </si>
  <si>
    <t>St; Lawrence</t>
  </si>
  <si>
    <t>NYPA - HW1 and HW2 (345kV) Lines - at Haverstock Substation</t>
  </si>
  <si>
    <t>1752</t>
  </si>
  <si>
    <t>The Agency</t>
  </si>
  <si>
    <t>Broome County Tech Park</t>
  </si>
  <si>
    <t>345 kV POI via a loop on the existing Oakdale-Fraser Line 32. The interconnection substation will have a ring bus configuration.</t>
  </si>
  <si>
    <t>1753</t>
  </si>
  <si>
    <t>Woodlawn-State Campus #12 115kV feeder, and Menands-State Campus #15-115kV feeder.</t>
  </si>
  <si>
    <t>1754</t>
  </si>
  <si>
    <t>EKG Group LLC</t>
  </si>
  <si>
    <t>Kenwood Tech Center</t>
  </si>
  <si>
    <t>796</t>
  </si>
  <si>
    <t>680</t>
  </si>
  <si>
    <t>Little Salmon Solar LLC</t>
  </si>
  <si>
    <t>196.4</t>
  </si>
  <si>
    <t>720</t>
  </si>
  <si>
    <t>360</t>
  </si>
  <si>
    <t>188.4</t>
  </si>
  <si>
    <t>Sawhall Energy Storage LLC</t>
  </si>
  <si>
    <t>Hambletonian Energy Storage LLC</t>
  </si>
  <si>
    <t>Hambletonian Energy Storage II LLC</t>
  </si>
  <si>
    <t>920</t>
  </si>
  <si>
    <t>Kings, New York, Richmond</t>
  </si>
  <si>
    <t>Viridon New York Inc.</t>
  </si>
  <si>
    <t>West Winfield - Richfield Springs 46 kV Line #812</t>
  </si>
  <si>
    <t>1265</t>
  </si>
  <si>
    <t>1755</t>
  </si>
  <si>
    <t>Research Foundation of SUNY</t>
  </si>
  <si>
    <t>Site Master Plan Expansion Phase I</t>
  </si>
  <si>
    <t>Patroon Creek and McKnownville</t>
  </si>
  <si>
    <t>1756</t>
  </si>
  <si>
    <t>Site Master Plan Expansion Phase II</t>
  </si>
  <si>
    <t>The New York Power Authority</t>
  </si>
  <si>
    <t>Resilient New York Energy Storage</t>
  </si>
  <si>
    <t>GB II New York LLC</t>
  </si>
  <si>
    <t>1757</t>
  </si>
  <si>
    <t>NY-Route 9W LLC</t>
  </si>
  <si>
    <t>NY-Route 9W Load Center</t>
  </si>
  <si>
    <t>Dog Corners Solar NY LLC</t>
  </si>
  <si>
    <t>Flat Hill Solar NY LLC</t>
  </si>
  <si>
    <t>Flat Stone Solar NY LLC</t>
  </si>
  <si>
    <t>Flat Stone Solar</t>
  </si>
  <si>
    <t>GLOBE DH LLC</t>
  </si>
  <si>
    <t>138-872 Holbrook to Sills Rd</t>
  </si>
  <si>
    <t>Ilion Municipal 115kV substation</t>
  </si>
  <si>
    <t>IMEU</t>
  </si>
  <si>
    <t>East Fishkill to Wood Street 345 kV lines (38 and 39)</t>
  </si>
  <si>
    <t>National Grid, NYSEG, Transco, IMEU</t>
  </si>
  <si>
    <t>230kV lines 77 and 78</t>
  </si>
  <si>
    <t>Albany?Bethlehem 115 kV Line #18</t>
  </si>
  <si>
    <t>08-2025</t>
  </si>
  <si>
    <t>1758</t>
  </si>
  <si>
    <t>GE Vernova</t>
  </si>
  <si>
    <t>GE Vernova 2690 Balltown Road High Yard Upgrade</t>
  </si>
  <si>
    <t>Rosa Road - General Electric R&amp;D National Grid #14</t>
  </si>
  <si>
    <t>Resilient New York Storage, LLC by Hanwha Energy USA Holdings Corporation</t>
  </si>
  <si>
    <t>1759</t>
  </si>
  <si>
    <t>Robert Grant</t>
  </si>
  <si>
    <t>Saratoga Expansion</t>
  </si>
  <si>
    <t>Adjacent to existing 34.5kV service, a new 115kV substation will be built.</t>
  </si>
  <si>
    <t>1760</t>
  </si>
  <si>
    <t>iPark East Fishkill LLC</t>
  </si>
  <si>
    <t>iPark 84 Data Center Interconnection</t>
  </si>
  <si>
    <t>New 115kV line from CHG&amp;E East Fishkill Substation</t>
  </si>
  <si>
    <t>Clear View Solar LLC</t>
  </si>
  <si>
    <t>Massena Development LLC Power Allocation</t>
  </si>
  <si>
    <t>1761</t>
  </si>
  <si>
    <t>URI TALY</t>
  </si>
  <si>
    <t>NYISO Load Interconnection Process - Data Center Inquiry</t>
  </si>
  <si>
    <t>Beck Packard 76 230kV</t>
  </si>
  <si>
    <t>Niagara Packard 77 230kV</t>
  </si>
  <si>
    <t>Horseheads</t>
  </si>
  <si>
    <t>Broad Street 34.5 kV Line 93</t>
  </si>
  <si>
    <t>NGRID, NYPA</t>
  </si>
  <si>
    <t>TransGrid Energy LLC</t>
  </si>
  <si>
    <t>BGTF NY BESS Holdings LLC</t>
  </si>
  <si>
    <t>New York Power Authority / New York Transco LLC.</t>
  </si>
  <si>
    <t>Micron New York Semiconductor Manufacturing LLC</t>
  </si>
  <si>
    <t>Consolidated Edison Company of New York</t>
  </si>
  <si>
    <t>New York State Office of General Services</t>
  </si>
  <si>
    <t>New York State Dept. of Health Lab (Harriman Campus, Albany NY)</t>
  </si>
  <si>
    <t xml:space="preserve">●  Type / Fuel Key: ST=Steam Turbine, CT=Combustion Turbine, CC, CS= Steam Turbine &amp; Combustion Turbine, H=Hydro, PS=Pumped Storage, W=Wind, OSW= Off-Shore Wind, NU=Nuclear, NG=Natural Gas, M=Methane, SW=Solid Waste, S=Solar, Wo=Wood, F=Flywheel ES=Energy Storage, O=Oil, C=Coal, D=Dual Fuel, AC, </t>
  </si>
  <si>
    <t>NYISO Zone</t>
  </si>
  <si>
    <t>Cluster Projects - Withdrawn, note all queue projects in this list may not have been validated</t>
  </si>
  <si>
    <t>New York</t>
  </si>
  <si>
    <t>Edwards Calverton Battery Storage LLC</t>
  </si>
  <si>
    <t>Record Type</t>
  </si>
  <si>
    <t>Large Facility</t>
  </si>
  <si>
    <t>Small Generation</t>
  </si>
  <si>
    <t>Transmission Interconnection</t>
  </si>
  <si>
    <t>Transmission Expansion</t>
  </si>
  <si>
    <t>New York County</t>
  </si>
  <si>
    <t>Queue Number</t>
  </si>
  <si>
    <t>Developer Name</t>
  </si>
  <si>
    <t>Project: Project Name</t>
  </si>
  <si>
    <t>IR Submission Date</t>
  </si>
  <si>
    <t>Peak MW load</t>
  </si>
  <si>
    <t>Record Type Name</t>
  </si>
  <si>
    <t>Type/Fuel</t>
  </si>
  <si>
    <t>CTO/Utility</t>
  </si>
  <si>
    <t>Project Status #</t>
  </si>
  <si>
    <t>FS Completion Date</t>
  </si>
  <si>
    <t>Proposed Initial Backfeed Date</t>
  </si>
  <si>
    <t>Load Interconnection</t>
  </si>
  <si>
    <t>New York State Electric &amp; Gas (NYSEG) - Greenidge 115 kV Substation</t>
  </si>
  <si>
    <t>1762</t>
  </si>
  <si>
    <t>Highwall Energy, LLC</t>
  </si>
  <si>
    <t>Highwall Data Center</t>
  </si>
  <si>
    <t>same POI of Q#1080 (Mineral Basin Solar), connects to NYSEG's L47 line</t>
  </si>
  <si>
    <t>1763</t>
  </si>
  <si>
    <t>Patriot Forge PA, LLC</t>
  </si>
  <si>
    <t>Patriot Forge</t>
  </si>
  <si>
    <t>Project Type</t>
  </si>
  <si>
    <t>A proposed new Generating Facility</t>
  </si>
  <si>
    <t>A material modification to a proposed or existing facility</t>
  </si>
  <si>
    <t>A proposed Co-located Storage Resource (CSR)</t>
  </si>
  <si>
    <t>CRIS Only Request</t>
  </si>
  <si>
    <t>NYISO Status</t>
  </si>
  <si>
    <t>Sugar Maple Energy Storage, LLC</t>
  </si>
  <si>
    <t>NYCA</t>
  </si>
  <si>
    <t>-</t>
  </si>
  <si>
    <t>Withdrawn (not included in NYCA total)</t>
  </si>
  <si>
    <t>Scoping Meeting Pending</t>
  </si>
  <si>
    <t>SIS Pending</t>
  </si>
  <si>
    <t>SIS In-Progress</t>
  </si>
  <si>
    <t>SIS Approved</t>
  </si>
  <si>
    <t>FS Pending</t>
  </si>
  <si>
    <t>FS In-Progress</t>
  </si>
  <si>
    <t>Under Construction</t>
  </si>
  <si>
    <t>In-service</t>
  </si>
  <si>
    <t>Total</t>
  </si>
  <si>
    <t>DAT</t>
  </si>
  <si>
    <t>Data Center (general)</t>
  </si>
  <si>
    <t>DAT-AI</t>
  </si>
  <si>
    <t>AI Datacenter</t>
  </si>
  <si>
    <t>DAT-CM</t>
  </si>
  <si>
    <t>Cryptocurrency mining</t>
  </si>
  <si>
    <t>Manufacturing (general)</t>
  </si>
  <si>
    <t>M-CH</t>
  </si>
  <si>
    <t>Microchip fabrication</t>
  </si>
  <si>
    <t>M-CG</t>
  </si>
  <si>
    <t>Consumable Goods</t>
  </si>
  <si>
    <t>M-IN</t>
  </si>
  <si>
    <t>Industrial Goods</t>
  </si>
  <si>
    <t>RD</t>
  </si>
  <si>
    <t>Research and Development</t>
  </si>
  <si>
    <t>HP</t>
  </si>
  <si>
    <t>Hydrogen Production</t>
  </si>
  <si>
    <t>Other</t>
  </si>
  <si>
    <t>Running Total</t>
  </si>
  <si>
    <t>2020 and earlier</t>
  </si>
  <si>
    <t>End-Use Key</t>
  </si>
  <si>
    <t>DAT Data Center</t>
  </si>
  <si>
    <t xml:space="preserve">    AI AI Data center</t>
  </si>
  <si>
    <t xml:space="preserve">    CM Cryptocurrency mining data center</t>
  </si>
  <si>
    <t>M Manufacturing</t>
  </si>
  <si>
    <t xml:space="preserve">    CH Microchip fabrication</t>
  </si>
  <si>
    <t xml:space="preserve">    CG Consumable Goods</t>
  </si>
  <si>
    <t xml:space="preserve">    IN Industrial Goods</t>
  </si>
  <si>
    <t>RD Research and Development</t>
  </si>
  <si>
    <t>HP Hydrogen Production</t>
  </si>
  <si>
    <t>O Other</t>
  </si>
  <si>
    <r>
      <t>●</t>
    </r>
    <r>
      <rPr>
        <sz val="9.6"/>
        <rFont val="Arial"/>
        <family val="2"/>
      </rPr>
      <t xml:space="preserve"> </t>
    </r>
    <r>
      <rPr>
        <sz val="8"/>
        <rFont val="Arial"/>
        <family val="2"/>
      </rPr>
      <t>Availability of Studies  Key: None=Not Available, FES=Feasibility Study Available, SRIS=System Reliability Impact Study Available, FS=Facilities Study and/or ATRA Available</t>
    </r>
  </si>
  <si>
    <r>
      <t>●</t>
    </r>
    <r>
      <rPr>
        <sz val="9.6"/>
        <rFont val="Arial"/>
        <family val="2"/>
      </rPr>
      <t xml:space="preserve"> </t>
    </r>
    <r>
      <rPr>
        <sz val="8"/>
        <rFont val="Arial"/>
        <family val="2"/>
      </rPr>
      <t>Proposed In-Service Dates, Proposed Initial Synchronization Dates and Commercial Operation Dates (COD) are shown in format Year/Qualifier, where Qualifier may indicate the month, season, or quarter.</t>
    </r>
  </si>
  <si>
    <t>● The column labeled "SIS Bundle" refers to the groupings of load projects being studied in the same post project SIS case (bundle), as described in the SIS scope. The SIS code is in the following format, "XX-Y", where "XX" is the year the SIS scope was approved, and "Y" is a serial number within the given year.</t>
  </si>
  <si>
    <t>End-Use</t>
  </si>
  <si>
    <t>SIS Bundle</t>
  </si>
  <si>
    <t>25-1</t>
  </si>
  <si>
    <t>25-2</t>
  </si>
  <si>
    <t>26-1</t>
  </si>
  <si>
    <t>25-3</t>
  </si>
  <si>
    <t>26-2</t>
  </si>
  <si>
    <t>26-4</t>
  </si>
  <si>
    <t>26-3</t>
  </si>
  <si>
    <r>
      <t xml:space="preserve">● </t>
    </r>
    <r>
      <rPr>
        <i/>
        <sz val="8"/>
        <rFont val="Arial"/>
        <family val="2"/>
      </rPr>
      <t>The column labeled 'M' refers to the zone</t>
    </r>
  </si>
  <si>
    <t>North Country Data Center LLC</t>
  </si>
  <si>
    <t xml:space="preserve">● Project Status # Key: 1=Scoping Meeting Pending, 2=FES Pending, 3=FES in Progress,3A=FES Approved/Performed, 4=SRIS/SIS Pending, 5=SRIS/SIS in Progress,5P=SRIS Commenced, Stopped and Pending  Adoption of IP, 6=SRIS/SIS Approved, 7=FS Pending, 8=Rejected Cost Allocation/Next FS Pending, 9=FS in Progress, 10=Accepted Cost Allocation/IA in Progress, </t>
  </si>
  <si>
    <t>● Project Status # Key: 1C = IR Validated/ Scoping Meeting Pending,  2C = Customer Engagement Window, 3C = Phase 1 Entry Decision Period, 4C = Phase 1 Study, 5C = Phase 2 Entry Decision Period, 6C = Phase 2 Study, 7C = Final Decision Period, 10C = Accepted Cost Allocation/ IA in Progress, 11C = IA Completed, 12C = Under Construction, 13C = In Service for Test, 14C = In Service Commercial, 15C =Partially In-Service/ Partially under construction</t>
  </si>
  <si>
    <t xml:space="preserve">● Project Status # Key:  4=Affected System Study Pending, 5=Affected System Study in Progress,5P=SRIS Commenced, Stopped and Pending  Adoption of IP, 6=SRIS/SIS Approved, 7=FS Pending, 8=Rejected Cost Allocation/Next FS Pending, 9=FS in Progress, 10=Accepted Cost Allocation/IA in Progress, </t>
  </si>
  <si>
    <t xml:space="preserve">● Project status # Key:0=Withdrawn, 1=Scoping Meeting Pending, 2=FES Pending, 3=FES in Progress,3A=FES Approved/Performed, 4=SRIS/SIS Pending, 5=SRIS/SIS in Progress, 5P=SRIS Commenced, Stopped and Pending  Adoption of IP, 6=SRIS/SIS Approved, 7=FS Pending, 8=Rejected Cost Allocation/Next FS Pending, 9=FS in Progress, 10=Accepted Cost Allocation/IA in Progress, </t>
  </si>
  <si>
    <t>Load Project Tracking Summary
(by NYISO Zone and Requested MW)</t>
  </si>
  <si>
    <t>Note total excludes withdrawn and in-service load projects</t>
  </si>
  <si>
    <t>*Note total excludes withdrawn and in-service load projects</t>
  </si>
  <si>
    <t>Accepted Cost Allocation IA in Progress</t>
  </si>
  <si>
    <t>MW By IR Submission Date</t>
  </si>
  <si>
    <t>MW By End-Use</t>
  </si>
  <si>
    <t>MW By Status</t>
  </si>
  <si>
    <t>Number of new projects during July</t>
  </si>
  <si>
    <t>Number withdrawn during July</t>
  </si>
  <si>
    <t>1198</t>
  </si>
  <si>
    <t>Stern Solar</t>
  </si>
  <si>
    <t>Renssalear</t>
  </si>
  <si>
    <t>Battenkill - Schaghticoke 115kV</t>
  </si>
  <si>
    <t>1591</t>
  </si>
  <si>
    <t>Cuba Solar Farm</t>
  </si>
  <si>
    <t>115 kV transmission line between HOMER HILL substation and ANDOVER #157 substation</t>
  </si>
  <si>
    <t>Lighthouse Battery, LLC</t>
  </si>
  <si>
    <t>A02-002</t>
  </si>
  <si>
    <t>A02-003</t>
  </si>
  <si>
    <t>1764</t>
  </si>
  <si>
    <t>Titan Mining Corporation</t>
  </si>
  <si>
    <t>Kilbourne Graphite Concentrator Plant</t>
  </si>
  <si>
    <t>ST LAWRENCE</t>
  </si>
  <si>
    <t>ZINCO 115</t>
  </si>
  <si>
    <t>1</t>
  </si>
  <si>
    <t>Tap on the NYSEG 345 kV Line 47 (Homer City -Mainesburg 345 kV)</t>
  </si>
  <si>
    <t>02-2030</t>
  </si>
  <si>
    <t>Homer City Generation, L.P.</t>
  </si>
  <si>
    <t>Homer City 230 kV</t>
  </si>
  <si>
    <t>Homer City 345 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</si>
</sst>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m/d/yy;@"/>
    <numFmt numFmtId="165" formatCode="0.0"/>
    <numFmt numFmtId="166" formatCode="mm/dd/yy"/>
  </numFmts>
  <fonts count="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2"/>
      <name val="Arial"/>
      <family val="2"/>
    </font>
    <font>
      <sz val="10"/>
      <name val="Arial"/>
      <family val="2"/>
    </font>
    <font>
      <b/>
      <sz val="10"/>
      <name val="Arial"/>
      <family val="2"/>
    </font>
    <font>
      <sz val="8"/>
      <name val="Arial"/>
      <family val="2"/>
    </font>
    <font>
      <sz val="9"/>
      <name val="Arial"/>
      <family val="2"/>
    </font>
    <font>
      <i/>
      <sz val="8"/>
      <name val="Arial"/>
      <family val="2"/>
    </font>
    <font>
      <i/>
      <sz val="9.6"/>
      <name val="Arial"/>
      <family val="2"/>
    </font>
    <font>
      <sz val="10"/>
      <name val="Arial"/>
      <family val="2"/>
    </font>
    <font>
      <strike/>
      <sz val="9"/>
      <name val="Arial"/>
      <family val="2"/>
    </font>
    <font>
      <sz val="12"/>
      <name val="Arial"/>
      <family val="2"/>
    </font>
    <font>
      <u/>
      <sz val="12"/>
      <color theme="10"/>
      <name val="Arial"/>
      <family val="2"/>
    </font>
    <font>
      <u/>
      <sz val="10"/>
      <color theme="10"/>
      <name val="Arial"/>
      <family val="2"/>
    </font>
    <font>
      <sz val="10"/>
      <name val="Arial"/>
      <family val="2"/>
    </font>
    <font>
      <u/>
      <sz val="10"/>
      <color indexed="12"/>
      <name val="Arial"/>
      <family val="2"/>
    </font>
    <font>
      <sz val="10"/>
      <color rgb="FFFF0000"/>
      <name val="Arial"/>
      <family val="2"/>
    </font>
    <font>
      <b/>
      <sz val="10"/>
      <color rgb="FF56585B"/>
      <name val="Arial"/>
      <family val="2"/>
    </font>
    <font>
      <sz val="10"/>
      <color indexed="8"/>
      <name val="Arial"/>
      <family val="2"/>
    </font>
    <font>
      <sz val="10"/>
      <color rgb="FF000000"/>
      <name val="Arial"/>
      <family val="2"/>
    </font>
    <font>
      <b/>
      <sz val="10"/>
      <color rgb="FF000000"/>
      <name val="Arial"/>
      <family val="2"/>
    </font>
    <font>
      <sz val="9"/>
      <color rgb="FF000000"/>
      <name val="Arial"/>
      <family val="2"/>
    </font>
    <font>
      <b/>
      <strike/>
      <sz val="9"/>
      <color rgb="FF000000"/>
      <name val="Arial"/>
      <family val="2"/>
    </font>
    <font>
      <strike/>
      <sz val="9"/>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FF0000"/>
      <name val="Arial"/>
      <family val="2"/>
    </font>
    <font>
      <b/>
      <sz val="10"/>
      <color rgb="FF4D4D4D"/>
      <name val="Arial"/>
      <family val="2"/>
    </font>
    <font>
      <sz val="10"/>
      <color rgb="FF4D4D4D"/>
      <name val="Arial"/>
      <family val="2"/>
    </font>
    <font>
      <sz val="12"/>
      <color theme="9"/>
      <name val="Arial"/>
      <family val="2"/>
    </font>
    <font>
      <b/>
      <sz val="10"/>
      <color theme="0"/>
      <name val="Arial"/>
      <family val="2"/>
    </font>
    <font>
      <b/>
      <i/>
      <sz val="8"/>
      <name val="Arial"/>
      <family val="2"/>
    </font>
    <font>
      <sz val="9.6"/>
      <name val="Arial"/>
      <family val="2"/>
    </font>
    <font>
      <b/>
      <sz val="12"/>
      <name val="Arial"/>
      <family val="2"/>
    </font>
    <font>
      <b/>
      <sz val="9"/>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style="thin">
        <color rgb="FFD5D3D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D5D3D1"/>
      </left>
      <right style="thin">
        <color rgb="FFD5D3D1"/>
      </right>
      <top/>
      <bottom/>
      <diagonal/>
    </border>
    <border>
      <left style="thin">
        <color rgb="FFD5D3D1"/>
      </left>
      <right style="thin">
        <color rgb="FFD5D3D1"/>
      </right>
      <top/>
      <bottom style="thin">
        <color rgb="FFD5D3D1"/>
      </bottom>
      <diagonal/>
    </border>
  </borders>
  <cellStyleXfs count="95">
    <xf numFmtId="0" fontId="0" fillId="0" borderId="0"/>
    <xf numFmtId="0" fontId="4" fillId="0" borderId="0"/>
    <xf numFmtId="43" fontId="14" fillId="0" borderId="0" applyFont="0" applyFill="0" applyBorder="0" applyAlignment="0" applyProtection="0"/>
    <xf numFmtId="0" fontId="15" fillId="0" borderId="0" applyNumberFormat="0" applyFill="0" applyBorder="0" applyAlignment="0" applyProtection="0">
      <alignment vertical="top"/>
      <protection locked="0"/>
    </xf>
    <xf numFmtId="43" fontId="4" fillId="0" borderId="0" applyFont="0" applyFill="0" applyBorder="0" applyAlignment="0" applyProtection="0"/>
    <xf numFmtId="0" fontId="17" fillId="0" borderId="0"/>
    <xf numFmtId="0" fontId="18" fillId="0" borderId="0" applyNumberFormat="0" applyFill="0" applyBorder="0" applyAlignment="0" applyProtection="0">
      <alignment vertical="top"/>
      <protection locked="0"/>
    </xf>
    <xf numFmtId="0" fontId="6" fillId="0" borderId="0"/>
    <xf numFmtId="0" fontId="4" fillId="0" borderId="0"/>
    <xf numFmtId="0" fontId="4" fillId="0" borderId="0"/>
    <xf numFmtId="43" fontId="4" fillId="0" borderId="0" applyFont="0" applyFill="0" applyBorder="0" applyAlignment="0" applyProtection="0"/>
    <xf numFmtId="0" fontId="15" fillId="0" borderId="0" applyNumberFormat="0" applyFill="0" applyBorder="0" applyAlignment="0" applyProtection="0">
      <alignment vertical="top"/>
      <protection locked="0"/>
    </xf>
    <xf numFmtId="0" fontId="6" fillId="0" borderId="0"/>
    <xf numFmtId="0" fontId="27" fillId="0" borderId="0" applyNumberFormat="0" applyFill="0" applyBorder="0" applyAlignment="0" applyProtection="0"/>
    <xf numFmtId="0" fontId="28" fillId="0" borderId="11"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14" applyNumberFormat="0" applyAlignment="0" applyProtection="0"/>
    <xf numFmtId="0" fontId="35" fillId="6" borderId="15" applyNumberFormat="0" applyAlignment="0" applyProtection="0"/>
    <xf numFmtId="0" fontId="36" fillId="6" borderId="14" applyNumberFormat="0" applyAlignment="0" applyProtection="0"/>
    <xf numFmtId="0" fontId="37" fillId="0" borderId="16" applyNumberFormat="0" applyFill="0" applyAlignment="0" applyProtection="0"/>
    <xf numFmtId="0" fontId="38" fillId="7" borderId="1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9" applyNumberFormat="0" applyFill="0" applyAlignment="0" applyProtection="0"/>
    <xf numFmtId="0" fontId="42"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2"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2"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8" borderId="18" applyNumberFormat="0" applyFont="0" applyAlignment="0" applyProtection="0"/>
    <xf numFmtId="0" fontId="2" fillId="0" borderId="0"/>
    <xf numFmtId="0" fontId="2" fillId="8" borderId="1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1">
    <xf numFmtId="0" fontId="0" fillId="0" borderId="0" xfId="0"/>
    <xf numFmtId="0" fontId="20" fillId="0" borderId="5" xfId="0" applyFont="1" applyBorder="1" applyAlignment="1">
      <alignment wrapText="1"/>
    </xf>
    <xf numFmtId="0" fontId="22" fillId="0" borderId="9" xfId="0" applyFont="1" applyBorder="1" applyAlignment="1">
      <alignment horizontal="left"/>
    </xf>
    <xf numFmtId="0" fontId="21" fillId="0" borderId="0" xfId="0" applyFont="1"/>
    <xf numFmtId="0" fontId="4" fillId="0" borderId="0" xfId="0" applyFont="1"/>
    <xf numFmtId="0" fontId="6" fillId="0" borderId="0" xfId="0" applyFont="1" applyAlignment="1">
      <alignment horizontal="center"/>
    </xf>
    <xf numFmtId="0" fontId="10"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left" wrapText="1"/>
    </xf>
    <xf numFmtId="0" fontId="6" fillId="0" borderId="0" xfId="0" applyFont="1"/>
    <xf numFmtId="0" fontId="6" fillId="0" borderId="0" xfId="0" applyFont="1" applyAlignment="1">
      <alignment horizontal="left"/>
    </xf>
    <xf numFmtId="0" fontId="5" fillId="0" borderId="0" xfId="0" applyFont="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0" fontId="6" fillId="0" borderId="0" xfId="1" applyFont="1" applyAlignment="1">
      <alignment horizontal="center"/>
    </xf>
    <xf numFmtId="0" fontId="4" fillId="0" borderId="0" xfId="1"/>
    <xf numFmtId="0" fontId="20" fillId="0" borderId="5" xfId="0" applyFont="1" applyBorder="1" applyAlignment="1">
      <alignment horizontal="left" wrapText="1"/>
    </xf>
    <xf numFmtId="0" fontId="21" fillId="0" borderId="0" xfId="0" applyFont="1" applyAlignment="1">
      <alignment wrapText="1"/>
    </xf>
    <xf numFmtId="14" fontId="22" fillId="0" borderId="9" xfId="0" applyNumberFormat="1" applyFont="1" applyBorder="1" applyAlignment="1">
      <alignment horizontal="left"/>
    </xf>
    <xf numFmtId="14" fontId="22" fillId="0" borderId="10" xfId="0" applyNumberFormat="1" applyFont="1" applyBorder="1" applyAlignment="1">
      <alignment horizontal="left"/>
    </xf>
    <xf numFmtId="14" fontId="22" fillId="0" borderId="9" xfId="0" applyNumberFormat="1" applyFont="1" applyBorder="1" applyAlignment="1">
      <alignment horizontal="center"/>
    </xf>
    <xf numFmtId="0" fontId="21" fillId="0" borderId="0" xfId="0" applyFont="1" applyAlignment="1">
      <alignment horizontal="left"/>
    </xf>
    <xf numFmtId="0" fontId="7" fillId="0" borderId="0" xfId="0" applyFont="1" applyAlignment="1">
      <alignment horizontal="center"/>
    </xf>
    <xf numFmtId="1" fontId="19" fillId="0" borderId="0" xfId="0" applyNumberFormat="1" applyFont="1" applyAlignment="1">
      <alignment horizontal="right"/>
    </xf>
    <xf numFmtId="1" fontId="6" fillId="0" borderId="0" xfId="0" applyNumberFormat="1" applyFont="1" applyAlignment="1">
      <alignment horizontal="right"/>
    </xf>
    <xf numFmtId="49" fontId="6" fillId="0" borderId="0" xfId="0" applyNumberFormat="1" applyFont="1" applyAlignment="1">
      <alignment horizontal="center"/>
    </xf>
    <xf numFmtId="164" fontId="6" fillId="0" borderId="0" xfId="0" applyNumberFormat="1" applyFont="1" applyAlignment="1">
      <alignment horizontal="right"/>
    </xf>
    <xf numFmtId="0" fontId="10" fillId="0" borderId="0" xfId="0" applyFont="1" applyAlignment="1">
      <alignment horizontal="left" vertical="top"/>
    </xf>
    <xf numFmtId="0" fontId="16" fillId="0" borderId="0" xfId="3" applyNumberFormat="1" applyFont="1" applyFill="1" applyAlignment="1" applyProtection="1"/>
    <xf numFmtId="0" fontId="6"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49" fontId="5" fillId="0" borderId="0" xfId="0" applyNumberFormat="1" applyFont="1" applyAlignment="1">
      <alignment horizontal="center"/>
    </xf>
    <xf numFmtId="0" fontId="7" fillId="0" borderId="5" xfId="0" applyFont="1" applyBorder="1" applyAlignment="1">
      <alignment horizontal="left"/>
    </xf>
    <xf numFmtId="0" fontId="7" fillId="0" borderId="5" xfId="0" applyFont="1" applyBorder="1" applyAlignment="1">
      <alignment horizontal="center" wrapText="1"/>
    </xf>
    <xf numFmtId="0" fontId="7" fillId="0" borderId="5" xfId="0" applyFont="1" applyBorder="1" applyAlignment="1">
      <alignment horizontal="left" wrapText="1"/>
    </xf>
    <xf numFmtId="0" fontId="7" fillId="0" borderId="5" xfId="0" applyFont="1" applyBorder="1"/>
    <xf numFmtId="0" fontId="7" fillId="0" borderId="5" xfId="0" applyFont="1" applyBorder="1" applyAlignment="1">
      <alignment horizontal="center"/>
    </xf>
    <xf numFmtId="0" fontId="13" fillId="0" borderId="0" xfId="0" applyFont="1" applyAlignment="1">
      <alignment horizontal="left"/>
    </xf>
    <xf numFmtId="164" fontId="13" fillId="0" borderId="0" xfId="0" applyNumberFormat="1" applyFont="1" applyAlignment="1">
      <alignment horizontal="center"/>
    </xf>
    <xf numFmtId="0" fontId="13" fillId="0" borderId="0" xfId="0" applyFont="1" applyAlignment="1">
      <alignment horizontal="right"/>
    </xf>
    <xf numFmtId="0" fontId="13" fillId="0" borderId="0" xfId="0" applyFont="1"/>
    <xf numFmtId="0" fontId="9" fillId="0" borderId="0" xfId="0" applyFont="1" applyAlignment="1">
      <alignment horizontal="left"/>
    </xf>
    <xf numFmtId="0" fontId="9" fillId="0" borderId="0" xfId="0" applyFont="1" applyAlignment="1">
      <alignment horizontal="center"/>
    </xf>
    <xf numFmtId="164" fontId="9" fillId="0" borderId="0" xfId="0" applyNumberFormat="1" applyFont="1" applyAlignment="1">
      <alignment horizontal="center"/>
    </xf>
    <xf numFmtId="0" fontId="9" fillId="0" borderId="0" xfId="0" applyFont="1" applyAlignment="1">
      <alignment horizontal="right"/>
    </xf>
    <xf numFmtId="166" fontId="9" fillId="0" borderId="0" xfId="0" applyNumberFormat="1" applyFont="1" applyAlignment="1">
      <alignment horizontal="right"/>
    </xf>
    <xf numFmtId="0" fontId="9" fillId="0" borderId="0" xfId="0" applyFont="1"/>
    <xf numFmtId="0" fontId="13" fillId="0" borderId="0" xfId="0" applyFont="1" applyAlignment="1">
      <alignment horizontal="center"/>
    </xf>
    <xf numFmtId="49" fontId="9" fillId="0" borderId="0" xfId="0" applyNumberFormat="1" applyFont="1" applyAlignment="1">
      <alignment horizontal="right"/>
    </xf>
    <xf numFmtId="1" fontId="9" fillId="0" borderId="0" xfId="0" applyNumberFormat="1" applyFont="1" applyAlignment="1">
      <alignment horizontal="right"/>
    </xf>
    <xf numFmtId="0" fontId="9" fillId="0" borderId="0" xfId="0" applyFont="1" applyAlignment="1">
      <alignment horizontal="center" vertical="center" wrapText="1"/>
    </xf>
    <xf numFmtId="165" fontId="9" fillId="0" borderId="0" xfId="0" applyNumberFormat="1" applyFont="1" applyAlignment="1">
      <alignment horizontal="right"/>
    </xf>
    <xf numFmtId="1" fontId="13" fillId="0" borderId="0" xfId="0" applyNumberFormat="1" applyFont="1" applyAlignment="1">
      <alignment horizontal="right"/>
    </xf>
    <xf numFmtId="49" fontId="9" fillId="0" borderId="0" xfId="0" applyNumberFormat="1" applyFont="1" applyAlignment="1">
      <alignment horizontal="center"/>
    </xf>
    <xf numFmtId="0" fontId="9"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horizontal="center" vertical="center"/>
    </xf>
    <xf numFmtId="0" fontId="25" fillId="0" borderId="0" xfId="0" applyFont="1" applyAlignment="1">
      <alignment horizontal="center"/>
    </xf>
    <xf numFmtId="0" fontId="26" fillId="0" borderId="0" xfId="0" applyFont="1" applyAlignment="1">
      <alignment horizontal="left"/>
    </xf>
    <xf numFmtId="0" fontId="26" fillId="0" borderId="0" xfId="0" applyFont="1" applyAlignment="1">
      <alignment horizontal="right"/>
    </xf>
    <xf numFmtId="0" fontId="24" fillId="0" borderId="0" xfId="0" applyFont="1" applyAlignment="1">
      <alignment horizontal="right"/>
    </xf>
    <xf numFmtId="0" fontId="24" fillId="0" borderId="0" xfId="0" applyFont="1" applyAlignment="1">
      <alignment horizontal="center"/>
    </xf>
    <xf numFmtId="0" fontId="24" fillId="0" borderId="0" xfId="0" applyFont="1" applyAlignment="1">
      <alignment horizontal="left"/>
    </xf>
    <xf numFmtId="164" fontId="24" fillId="0" borderId="0" xfId="0" applyNumberFormat="1" applyFont="1" applyAlignment="1">
      <alignment horizontal="center"/>
    </xf>
    <xf numFmtId="165" fontId="13" fillId="0" borderId="0" xfId="0" applyNumberFormat="1" applyFont="1" applyAlignment="1">
      <alignment horizontal="right"/>
    </xf>
    <xf numFmtId="0" fontId="9" fillId="0" borderId="0" xfId="0" applyFont="1" applyAlignment="1">
      <alignment horizontal="center" vertical="top" wrapText="1"/>
    </xf>
    <xf numFmtId="49" fontId="13" fillId="0" borderId="0" xfId="0" applyNumberFormat="1" applyFont="1" applyAlignment="1">
      <alignment horizontal="right"/>
    </xf>
    <xf numFmtId="0" fontId="9" fillId="0" borderId="0" xfId="1" applyFont="1"/>
    <xf numFmtId="0" fontId="13" fillId="0" borderId="0" xfId="2" applyNumberFormat="1" applyFont="1" applyFill="1" applyAlignment="1">
      <alignment horizontal="right"/>
    </xf>
    <xf numFmtId="3" fontId="13" fillId="0" borderId="0" xfId="0" applyNumberFormat="1" applyFont="1" applyAlignment="1">
      <alignment horizontal="right"/>
    </xf>
    <xf numFmtId="3" fontId="9" fillId="0" borderId="0" xfId="0" applyNumberFormat="1" applyFont="1" applyAlignment="1">
      <alignment horizontal="right"/>
    </xf>
    <xf numFmtId="0" fontId="7" fillId="0" borderId="3" xfId="1" applyFont="1" applyBorder="1" applyAlignment="1">
      <alignment horizontal="center"/>
    </xf>
    <xf numFmtId="0" fontId="7" fillId="0" borderId="1" xfId="1" applyFont="1" applyBorder="1" applyAlignment="1">
      <alignment horizontal="left"/>
    </xf>
    <xf numFmtId="49" fontId="7" fillId="0" borderId="1" xfId="1" applyNumberFormat="1" applyFont="1" applyBorder="1" applyAlignment="1">
      <alignment horizontal="center"/>
    </xf>
    <xf numFmtId="0" fontId="7" fillId="0" borderId="4" xfId="1" applyFont="1" applyBorder="1" applyAlignment="1">
      <alignment horizontal="center"/>
    </xf>
    <xf numFmtId="0" fontId="7" fillId="0" borderId="2" xfId="1" applyFont="1" applyBorder="1" applyAlignment="1">
      <alignment horizontal="left"/>
    </xf>
    <xf numFmtId="49" fontId="7" fillId="0" borderId="2" xfId="1" applyNumberFormat="1" applyFont="1" applyBorder="1" applyAlignment="1">
      <alignment horizontal="center"/>
    </xf>
    <xf numFmtId="0" fontId="7" fillId="0" borderId="0" xfId="0" quotePrefix="1" applyFont="1" applyAlignment="1">
      <alignment horizontal="center"/>
    </xf>
    <xf numFmtId="166" fontId="6" fillId="0" borderId="0" xfId="0" applyNumberFormat="1" applyFont="1" applyAlignment="1">
      <alignment horizontal="right"/>
    </xf>
    <xf numFmtId="165" fontId="6" fillId="0" borderId="0" xfId="0" applyNumberFormat="1" applyFont="1" applyAlignment="1">
      <alignment horizontal="right"/>
    </xf>
    <xf numFmtId="14" fontId="6" fillId="0" borderId="0" xfId="0" applyNumberFormat="1" applyFont="1" applyAlignment="1">
      <alignment horizontal="center"/>
    </xf>
    <xf numFmtId="0" fontId="6" fillId="0" borderId="0" xfId="1" applyFont="1"/>
    <xf numFmtId="14" fontId="6" fillId="0" borderId="0" xfId="0" applyNumberFormat="1" applyFont="1" applyAlignment="1">
      <alignment horizontal="right"/>
    </xf>
    <xf numFmtId="0" fontId="22" fillId="0" borderId="0" xfId="0" applyFont="1" applyAlignment="1">
      <alignment horizontal="left"/>
    </xf>
    <xf numFmtId="14" fontId="6" fillId="0" borderId="0" xfId="0" applyNumberFormat="1" applyFont="1"/>
    <xf numFmtId="0" fontId="7" fillId="0" borderId="0" xfId="1" quotePrefix="1" applyFont="1" applyAlignment="1">
      <alignment horizontal="center"/>
    </xf>
    <xf numFmtId="0" fontId="6" fillId="0" borderId="0" xfId="1" applyFont="1" applyAlignment="1">
      <alignment horizontal="left"/>
    </xf>
    <xf numFmtId="164" fontId="6" fillId="0" borderId="0" xfId="1" applyNumberFormat="1" applyFont="1" applyAlignment="1">
      <alignment horizontal="right"/>
    </xf>
    <xf numFmtId="0" fontId="6" fillId="0" borderId="0" xfId="1" applyFont="1" applyAlignment="1">
      <alignment horizontal="right"/>
    </xf>
    <xf numFmtId="0" fontId="8" fillId="0" borderId="0" xfId="1" applyFont="1" applyAlignment="1">
      <alignment horizontal="center"/>
    </xf>
    <xf numFmtId="14" fontId="6" fillId="0" borderId="0" xfId="1" applyNumberFormat="1" applyFont="1" applyAlignment="1">
      <alignment horizontal="center"/>
    </xf>
    <xf numFmtId="14" fontId="4" fillId="0" borderId="0" xfId="0" applyNumberFormat="1" applyFont="1"/>
    <xf numFmtId="165" fontId="6" fillId="0" borderId="0" xfId="1" applyNumberFormat="1" applyFont="1" applyAlignment="1">
      <alignment horizontal="right"/>
    </xf>
    <xf numFmtId="0" fontId="8" fillId="0" borderId="0" xfId="0" applyFont="1" applyAlignment="1">
      <alignment horizontal="center" vertical="center" wrapText="1"/>
    </xf>
    <xf numFmtId="1" fontId="6" fillId="0" borderId="0" xfId="1" applyNumberFormat="1" applyFont="1" applyAlignment="1">
      <alignment horizontal="right"/>
    </xf>
    <xf numFmtId="0" fontId="9" fillId="0" borderId="0" xfId="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center" wrapText="1"/>
    </xf>
    <xf numFmtId="0" fontId="8" fillId="0" borderId="0" xfId="0" applyFont="1" applyAlignment="1">
      <alignment horizontal="center"/>
    </xf>
    <xf numFmtId="0" fontId="8" fillId="0" borderId="0" xfId="1" applyFont="1" applyAlignment="1">
      <alignment horizontal="left"/>
    </xf>
    <xf numFmtId="0" fontId="9" fillId="0" borderId="0" xfId="1" applyFont="1" applyAlignment="1">
      <alignment horizontal="left"/>
    </xf>
    <xf numFmtId="49" fontId="7" fillId="0" borderId="0" xfId="0" quotePrefix="1" applyNumberFormat="1" applyFont="1" applyAlignment="1">
      <alignment horizontal="center"/>
    </xf>
    <xf numFmtId="0" fontId="12" fillId="0" borderId="0" xfId="0" applyFont="1"/>
    <xf numFmtId="0" fontId="12" fillId="0" borderId="0" xfId="0" applyFont="1" applyAlignment="1">
      <alignment horizontal="left"/>
    </xf>
    <xf numFmtId="165" fontId="12" fillId="0" borderId="0" xfId="0" applyNumberFormat="1" applyFont="1" applyAlignment="1">
      <alignment horizontal="right"/>
    </xf>
    <xf numFmtId="0" fontId="12" fillId="0" borderId="0" xfId="0" applyFont="1" applyAlignment="1">
      <alignment horizontal="center"/>
    </xf>
    <xf numFmtId="0" fontId="8" fillId="0" borderId="0" xfId="1" applyFont="1"/>
    <xf numFmtId="49" fontId="7" fillId="0" borderId="0" xfId="0" applyNumberFormat="1" applyFont="1" applyAlignment="1">
      <alignment horizontal="center"/>
    </xf>
    <xf numFmtId="0" fontId="8" fillId="0" borderId="0" xfId="1" applyFont="1" applyAlignment="1">
      <alignment horizontal="center" vertical="center"/>
    </xf>
    <xf numFmtId="0" fontId="6" fillId="0" borderId="0" xfId="0" applyFont="1" applyAlignment="1">
      <alignment horizontal="center" vertical="center" wrapText="1"/>
    </xf>
    <xf numFmtId="0" fontId="8" fillId="0" borderId="0" xfId="0" applyFont="1"/>
    <xf numFmtId="0" fontId="6" fillId="0" borderId="0" xfId="1" applyFont="1" applyAlignment="1">
      <alignment horizontal="center" vertical="center" wrapText="1"/>
    </xf>
    <xf numFmtId="0" fontId="7" fillId="0" borderId="0" xfId="1" applyFont="1" applyAlignment="1">
      <alignment horizontal="center"/>
    </xf>
    <xf numFmtId="0" fontId="4" fillId="0" borderId="0" xfId="1" applyAlignment="1">
      <alignment horizontal="left"/>
    </xf>
    <xf numFmtId="0" fontId="4" fillId="0" borderId="0" xfId="1" applyAlignment="1">
      <alignment horizontal="right"/>
    </xf>
    <xf numFmtId="0" fontId="4" fillId="0" borderId="0" xfId="1" applyAlignment="1">
      <alignment horizontal="center"/>
    </xf>
    <xf numFmtId="14" fontId="4" fillId="0" borderId="0" xfId="1" applyNumberFormat="1" applyAlignment="1">
      <alignment horizontal="center"/>
    </xf>
    <xf numFmtId="49" fontId="4" fillId="0" borderId="0" xfId="1" applyNumberFormat="1" applyAlignment="1">
      <alignment horizontal="center"/>
    </xf>
    <xf numFmtId="0" fontId="24" fillId="0" borderId="0" xfId="0" applyFont="1" applyAlignment="1">
      <alignment horizontal="left" wrapText="1"/>
    </xf>
    <xf numFmtId="2" fontId="20" fillId="0" borderId="5" xfId="0" applyNumberFormat="1" applyFont="1" applyBorder="1" applyAlignment="1">
      <alignment wrapText="1"/>
    </xf>
    <xf numFmtId="2" fontId="21" fillId="0" borderId="0" xfId="0" applyNumberFormat="1" applyFont="1"/>
    <xf numFmtId="2" fontId="4" fillId="0" borderId="0" xfId="0" applyNumberFormat="1" applyFont="1"/>
    <xf numFmtId="2" fontId="7" fillId="0" borderId="0" xfId="0" applyNumberFormat="1" applyFont="1" applyAlignment="1">
      <alignment horizontal="center"/>
    </xf>
    <xf numFmtId="2" fontId="10" fillId="0" borderId="0" xfId="0" applyNumberFormat="1" applyFont="1" applyAlignment="1">
      <alignment horizontal="left"/>
    </xf>
    <xf numFmtId="2" fontId="6" fillId="0" borderId="0" xfId="0" applyNumberFormat="1" applyFont="1" applyAlignment="1">
      <alignment horizontal="left"/>
    </xf>
    <xf numFmtId="2" fontId="10" fillId="0" borderId="0" xfId="0" applyNumberFormat="1" applyFont="1"/>
    <xf numFmtId="2" fontId="6" fillId="0" borderId="0" xfId="0" applyNumberFormat="1" applyFont="1"/>
    <xf numFmtId="0" fontId="23" fillId="0" borderId="9" xfId="0" applyFont="1" applyBorder="1" applyAlignment="1">
      <alignment horizontal="left"/>
    </xf>
    <xf numFmtId="14" fontId="20" fillId="0" borderId="5" xfId="0" applyNumberFormat="1" applyFont="1" applyBorder="1" applyAlignment="1">
      <alignment horizontal="left" wrapText="1"/>
    </xf>
    <xf numFmtId="14" fontId="0" fillId="0" borderId="0" xfId="0" applyNumberFormat="1"/>
    <xf numFmtId="2" fontId="10" fillId="0" borderId="9" xfId="0" applyNumberFormat="1"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4" fillId="0" borderId="9" xfId="0" applyFont="1" applyBorder="1"/>
    <xf numFmtId="0" fontId="0" fillId="0" borderId="0" xfId="0" applyAlignment="1">
      <alignment horizontal="right" wrapText="1"/>
    </xf>
    <xf numFmtId="2" fontId="22" fillId="0" borderId="9" xfId="0" applyNumberFormat="1" applyFont="1" applyBorder="1" applyAlignment="1">
      <alignment horizontal="left"/>
    </xf>
    <xf numFmtId="1" fontId="22" fillId="0" borderId="9" xfId="0" applyNumberFormat="1" applyFont="1" applyBorder="1" applyAlignment="1">
      <alignment horizontal="left"/>
    </xf>
    <xf numFmtId="0" fontId="6" fillId="0" borderId="9" xfId="0" applyFont="1" applyBorder="1" applyAlignment="1">
      <alignment horizontal="left"/>
    </xf>
    <xf numFmtId="0" fontId="0" fillId="0" borderId="20" xfId="0" applyBorder="1"/>
    <xf numFmtId="49" fontId="0" fillId="0" borderId="0" xfId="0" applyNumberFormat="1" applyAlignment="1">
      <alignment wrapText="1"/>
    </xf>
    <xf numFmtId="0" fontId="23" fillId="0" borderId="9" xfId="0" applyFont="1" applyBorder="1" applyAlignment="1">
      <alignment horizontal="center"/>
    </xf>
    <xf numFmtId="0" fontId="7" fillId="33" borderId="21" xfId="1" applyFont="1" applyFill="1" applyBorder="1" applyAlignment="1">
      <alignment horizontal="center" wrapText="1"/>
    </xf>
    <xf numFmtId="1" fontId="44" fillId="34" borderId="21" xfId="1" applyNumberFormat="1" applyFont="1" applyFill="1" applyBorder="1" applyAlignment="1">
      <alignment horizontal="left"/>
    </xf>
    <xf numFmtId="2" fontId="44" fillId="34" borderId="21" xfId="1" applyNumberFormat="1" applyFont="1" applyFill="1" applyBorder="1" applyAlignment="1">
      <alignment horizontal="left"/>
    </xf>
    <xf numFmtId="1" fontId="45" fillId="34" borderId="21" xfId="1" applyNumberFormat="1" applyFont="1" applyFill="1" applyBorder="1" applyAlignment="1">
      <alignment horizontal="center"/>
    </xf>
    <xf numFmtId="1" fontId="44" fillId="34" borderId="21" xfId="1" applyNumberFormat="1" applyFont="1" applyFill="1" applyBorder="1" applyAlignment="1">
      <alignment horizontal="center" wrapText="1"/>
    </xf>
    <xf numFmtId="1" fontId="23" fillId="0" borderId="21" xfId="1" applyNumberFormat="1" applyFont="1" applyBorder="1" applyAlignment="1">
      <alignment horizontal="left"/>
    </xf>
    <xf numFmtId="2" fontId="23" fillId="0" borderId="21" xfId="1" applyNumberFormat="1" applyFont="1" applyBorder="1" applyAlignment="1">
      <alignment horizontal="left"/>
    </xf>
    <xf numFmtId="1" fontId="22" fillId="0" borderId="21" xfId="1" applyNumberFormat="1" applyFont="1" applyBorder="1" applyAlignment="1">
      <alignment horizontal="center"/>
    </xf>
    <xf numFmtId="2" fontId="23" fillId="0" borderId="21" xfId="1" applyNumberFormat="1" applyFont="1" applyBorder="1" applyAlignment="1">
      <alignment horizontal="right"/>
    </xf>
    <xf numFmtId="2" fontId="22" fillId="0" borderId="22" xfId="1" applyNumberFormat="1" applyFont="1" applyBorder="1" applyAlignment="1">
      <alignment horizontal="left"/>
    </xf>
    <xf numFmtId="0" fontId="22" fillId="0" borderId="22" xfId="1" applyFont="1" applyBorder="1" applyAlignment="1">
      <alignment horizontal="left"/>
    </xf>
    <xf numFmtId="2" fontId="22" fillId="0" borderId="0" xfId="1" applyNumberFormat="1" applyFont="1" applyAlignment="1">
      <alignment horizontal="left"/>
    </xf>
    <xf numFmtId="0" fontId="22" fillId="0" borderId="0" xfId="1" applyFont="1" applyAlignment="1">
      <alignment horizontal="left"/>
    </xf>
    <xf numFmtId="2" fontId="7" fillId="0" borderId="21" xfId="1" applyNumberFormat="1" applyFont="1" applyBorder="1" applyAlignment="1">
      <alignment horizontal="left"/>
    </xf>
    <xf numFmtId="0" fontId="46" fillId="0" borderId="0" xfId="1" applyFont="1"/>
    <xf numFmtId="14" fontId="22" fillId="0" borderId="23" xfId="1" applyNumberFormat="1" applyFont="1" applyBorder="1" applyAlignment="1">
      <alignment horizontal="left"/>
    </xf>
    <xf numFmtId="0" fontId="22" fillId="0" borderId="23" xfId="1" applyFont="1" applyBorder="1" applyAlignment="1">
      <alignment horizontal="left"/>
    </xf>
    <xf numFmtId="14" fontId="22" fillId="0" borderId="0" xfId="1" applyNumberFormat="1" applyFont="1" applyAlignment="1">
      <alignment horizontal="left"/>
    </xf>
    <xf numFmtId="1" fontId="47" fillId="0" borderId="21" xfId="1" applyNumberFormat="1" applyFont="1" applyBorder="1" applyAlignment="1">
      <alignment horizontal="left"/>
    </xf>
    <xf numFmtId="2" fontId="48" fillId="0" borderId="0" xfId="0" applyNumberFormat="1" applyFont="1" applyAlignment="1">
      <alignment horizontal="left"/>
    </xf>
    <xf numFmtId="0" fontId="23" fillId="0" borderId="0" xfId="0" applyFont="1" applyAlignment="1">
      <alignment horizontal="left"/>
    </xf>
    <xf numFmtId="14" fontId="22" fillId="0" borderId="0" xfId="0" applyNumberFormat="1" applyFont="1" applyAlignment="1">
      <alignment horizontal="left"/>
    </xf>
    <xf numFmtId="164" fontId="13" fillId="0" borderId="0" xfId="0" applyNumberFormat="1" applyFont="1" applyAlignment="1">
      <alignment horizontal="left"/>
    </xf>
    <xf numFmtId="0" fontId="25" fillId="0" borderId="0" xfId="0" applyFont="1" applyAlignment="1">
      <alignment horizontal="left"/>
    </xf>
    <xf numFmtId="0" fontId="0" fillId="0" borderId="0" xfId="0" applyAlignment="1">
      <alignment horizontal="left"/>
    </xf>
    <xf numFmtId="0" fontId="50" fillId="0" borderId="0" xfId="1" applyFont="1"/>
    <xf numFmtId="2" fontId="23" fillId="0" borderId="0" xfId="1" applyNumberFormat="1" applyFont="1" applyAlignment="1">
      <alignment horizontal="right"/>
    </xf>
    <xf numFmtId="1" fontId="22" fillId="0" borderId="0" xfId="1" applyNumberFormat="1" applyFont="1" applyAlignment="1">
      <alignment horizontal="center"/>
    </xf>
    <xf numFmtId="17" fontId="22" fillId="0" borderId="9" xfId="0" applyNumberFormat="1" applyFont="1" applyBorder="1" applyAlignment="1">
      <alignment horizontal="left"/>
    </xf>
    <xf numFmtId="0" fontId="51" fillId="0" borderId="9" xfId="1" quotePrefix="1" applyFont="1" applyBorder="1" applyAlignment="1">
      <alignment horizontal="left"/>
    </xf>
    <xf numFmtId="0" fontId="25" fillId="0" borderId="9" xfId="0" applyFont="1" applyBorder="1" applyAlignment="1">
      <alignment horizontal="left"/>
    </xf>
    <xf numFmtId="0" fontId="51" fillId="0" borderId="9" xfId="0" applyFont="1" applyBorder="1" applyAlignment="1">
      <alignment horizontal="left"/>
    </xf>
    <xf numFmtId="0" fontId="9" fillId="0" borderId="9" xfId="1" applyFont="1" applyBorder="1" applyAlignment="1">
      <alignment horizontal="left"/>
    </xf>
    <xf numFmtId="0" fontId="26" fillId="0" borderId="9" xfId="0" applyFont="1" applyBorder="1" applyAlignment="1">
      <alignment horizontal="left"/>
    </xf>
    <xf numFmtId="0" fontId="9" fillId="0" borderId="9" xfId="0" applyFont="1" applyBorder="1" applyAlignment="1">
      <alignment horizontal="left"/>
    </xf>
    <xf numFmtId="0" fontId="13" fillId="0" borderId="9" xfId="0" applyFont="1" applyBorder="1" applyAlignment="1">
      <alignment horizontal="left"/>
    </xf>
    <xf numFmtId="164" fontId="9" fillId="0" borderId="9" xfId="1" applyNumberFormat="1" applyFont="1" applyBorder="1" applyAlignment="1">
      <alignment horizontal="left"/>
    </xf>
    <xf numFmtId="164" fontId="13" fillId="0" borderId="9" xfId="0" applyNumberFormat="1" applyFont="1" applyBorder="1" applyAlignment="1">
      <alignment horizontal="left"/>
    </xf>
    <xf numFmtId="164" fontId="9" fillId="0" borderId="9" xfId="0" applyNumberFormat="1" applyFont="1" applyBorder="1" applyAlignment="1">
      <alignment horizontal="left"/>
    </xf>
    <xf numFmtId="1" fontId="13" fillId="0" borderId="9" xfId="0" applyNumberFormat="1" applyFont="1" applyBorder="1" applyAlignment="1">
      <alignment horizontal="left"/>
    </xf>
    <xf numFmtId="0" fontId="24" fillId="0" borderId="9" xfId="0" applyFont="1" applyBorder="1" applyAlignment="1">
      <alignment horizontal="left"/>
    </xf>
    <xf numFmtId="1" fontId="9" fillId="0" borderId="9" xfId="0" applyNumberFormat="1" applyFont="1" applyBorder="1" applyAlignment="1">
      <alignment horizontal="left"/>
    </xf>
    <xf numFmtId="0" fontId="9" fillId="0" borderId="9" xfId="0" applyFont="1" applyBorder="1" applyAlignment="1">
      <alignment horizontal="left" vertical="center" wrapText="1"/>
    </xf>
    <xf numFmtId="14" fontId="9" fillId="0" borderId="9" xfId="0" applyNumberFormat="1" applyFont="1" applyBorder="1" applyAlignment="1">
      <alignment horizontal="left"/>
    </xf>
    <xf numFmtId="0" fontId="24" fillId="0" borderId="9" xfId="0" applyFont="1" applyBorder="1" applyAlignment="1">
      <alignment horizontal="center"/>
    </xf>
    <xf numFmtId="14" fontId="9" fillId="0" borderId="9" xfId="1" applyNumberFormat="1" applyFont="1" applyBorder="1" applyAlignment="1">
      <alignment horizontal="left"/>
    </xf>
    <xf numFmtId="0" fontId="0" fillId="0" borderId="9" xfId="0" applyBorder="1"/>
    <xf numFmtId="49" fontId="9" fillId="0" borderId="9" xfId="0" applyNumberFormat="1" applyFont="1" applyBorder="1" applyAlignment="1">
      <alignment horizontal="left"/>
    </xf>
    <xf numFmtId="2" fontId="0" fillId="0" borderId="9" xfId="0" applyNumberFormat="1" applyBorder="1"/>
    <xf numFmtId="0" fontId="0" fillId="0" borderId="9" xfId="0" applyBorder="1" applyAlignment="1">
      <alignment horizontal="left"/>
    </xf>
    <xf numFmtId="0" fontId="9" fillId="0" borderId="10" xfId="0" applyFont="1" applyBorder="1" applyAlignment="1">
      <alignment horizontal="left"/>
    </xf>
    <xf numFmtId="0" fontId="0" fillId="0" borderId="10" xfId="0" applyBorder="1"/>
    <xf numFmtId="0" fontId="9" fillId="0" borderId="10" xfId="1" applyFont="1" applyBorder="1" applyAlignment="1">
      <alignment horizontal="left"/>
    </xf>
    <xf numFmtId="0" fontId="0" fillId="0" borderId="10" xfId="0" applyBorder="1" applyAlignment="1">
      <alignment horizontal="left"/>
    </xf>
    <xf numFmtId="0" fontId="6" fillId="0" borderId="6" xfId="0" applyFont="1" applyBorder="1" applyAlignment="1">
      <alignment horizontal="left"/>
    </xf>
    <xf numFmtId="0" fontId="6" fillId="0" borderId="8" xfId="0" applyFont="1" applyBorder="1" applyAlignment="1">
      <alignment horizontal="left"/>
    </xf>
    <xf numFmtId="1" fontId="6" fillId="0" borderId="5" xfId="0" applyNumberFormat="1" applyFont="1" applyBorder="1" applyAlignment="1">
      <alignment horizontal="right"/>
    </xf>
    <xf numFmtId="0" fontId="23" fillId="0" borderId="0" xfId="0" applyFont="1" applyAlignment="1">
      <alignment horizontal="center"/>
    </xf>
    <xf numFmtId="14" fontId="22" fillId="0" borderId="0" xfId="0" applyNumberFormat="1" applyFont="1" applyAlignment="1">
      <alignment horizontal="center"/>
    </xf>
    <xf numFmtId="0" fontId="7" fillId="33" borderId="21" xfId="1" applyFont="1" applyFill="1" applyBorder="1" applyAlignment="1">
      <alignment horizontal="center" vertical="center" wrapText="1"/>
    </xf>
    <xf numFmtId="0" fontId="7" fillId="33" borderId="21" xfId="1" applyFont="1" applyFill="1" applyBorder="1" applyAlignment="1">
      <alignment horizontal="center" wrapText="1"/>
    </xf>
    <xf numFmtId="0" fontId="43" fillId="0" borderId="20" xfId="0" applyFont="1" applyBorder="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14" fontId="7" fillId="0" borderId="3" xfId="1" applyNumberFormat="1" applyFont="1" applyBorder="1" applyAlignment="1">
      <alignment horizontal="center" wrapText="1"/>
    </xf>
    <xf numFmtId="14" fontId="7" fillId="0" borderId="4" xfId="1" applyNumberFormat="1" applyFont="1" applyBorder="1" applyAlignment="1">
      <alignment horizontal="center" wrapText="1"/>
    </xf>
    <xf numFmtId="0" fontId="7" fillId="0" borderId="3" xfId="1" applyFont="1" applyBorder="1" applyAlignment="1">
      <alignment horizontal="center"/>
    </xf>
    <xf numFmtId="0" fontId="7" fillId="0" borderId="7" xfId="1" applyFont="1" applyBorder="1" applyAlignment="1">
      <alignment horizontal="center"/>
    </xf>
  </cellXfs>
  <cellStyles count="95">
    <cellStyle name="20% - Accent1" xfId="30" builtinId="30" customBuiltin="1"/>
    <cellStyle name="20% - Accent1 2" xfId="57" xr:uid="{8E4CAA40-E070-42A8-90FE-42E0048159BF}"/>
    <cellStyle name="20% - Accent1 3" xfId="77" xr:uid="{95FE0331-7039-46B8-853C-277B3963D41B}"/>
    <cellStyle name="20% - Accent2" xfId="34" builtinId="34" customBuiltin="1"/>
    <cellStyle name="20% - Accent2 2" xfId="60" xr:uid="{950C679D-036C-4A90-BAEF-3C40F904F854}"/>
    <cellStyle name="20% - Accent2 3" xfId="80" xr:uid="{E01736F8-C128-4172-8362-F68DE53F4FDB}"/>
    <cellStyle name="20% - Accent3" xfId="38" builtinId="38" customBuiltin="1"/>
    <cellStyle name="20% - Accent3 2" xfId="63" xr:uid="{E0611DF0-36DE-4522-812A-AADC82D61BE8}"/>
    <cellStyle name="20% - Accent3 3" xfId="83" xr:uid="{7BBCA120-B71D-40FD-9389-7C4EC7F49A43}"/>
    <cellStyle name="20% - Accent4" xfId="42" builtinId="42" customBuiltin="1"/>
    <cellStyle name="20% - Accent4 2" xfId="66" xr:uid="{71DFFCF6-3BAE-41F3-AB69-4D9DDEA451EC}"/>
    <cellStyle name="20% - Accent4 3" xfId="86" xr:uid="{2AF33886-B23E-4016-8A22-731DEA0B55C3}"/>
    <cellStyle name="20% - Accent5" xfId="46" builtinId="46" customBuiltin="1"/>
    <cellStyle name="20% - Accent5 2" xfId="69" xr:uid="{8644BDE4-F5D0-4F96-B998-2CC38DBF483B}"/>
    <cellStyle name="20% - Accent5 3" xfId="89" xr:uid="{B65EE166-FF2F-4D32-912C-5CAB1E521103}"/>
    <cellStyle name="20% - Accent6" xfId="50" builtinId="50" customBuiltin="1"/>
    <cellStyle name="20% - Accent6 2" xfId="72" xr:uid="{F3B14F3B-E200-4182-81B6-E76EF6209100}"/>
    <cellStyle name="20% - Accent6 3" xfId="92" xr:uid="{D6CA29D6-80AB-4E59-83A1-6A8C7FCC0439}"/>
    <cellStyle name="40% - Accent1" xfId="31" builtinId="31" customBuiltin="1"/>
    <cellStyle name="40% - Accent1 2" xfId="58" xr:uid="{6DE854DD-89E9-41E8-B287-D21007F3F021}"/>
    <cellStyle name="40% - Accent1 3" xfId="78" xr:uid="{67E90FE5-8FF6-4731-8BF1-228A14D72DC6}"/>
    <cellStyle name="40% - Accent2" xfId="35" builtinId="35" customBuiltin="1"/>
    <cellStyle name="40% - Accent2 2" xfId="61" xr:uid="{00EE2D89-B3C8-4171-AD5A-1C9D6EA41B67}"/>
    <cellStyle name="40% - Accent2 3" xfId="81" xr:uid="{A22276F2-565E-4C80-94CC-852CAF368444}"/>
    <cellStyle name="40% - Accent3" xfId="39" builtinId="39" customBuiltin="1"/>
    <cellStyle name="40% - Accent3 2" xfId="64" xr:uid="{5E862690-0595-49D8-830D-8E38FF53C49D}"/>
    <cellStyle name="40% - Accent3 3" xfId="84" xr:uid="{D898853A-1E9E-4EB7-944D-E0E5BB7A884A}"/>
    <cellStyle name="40% - Accent4" xfId="43" builtinId="43" customBuiltin="1"/>
    <cellStyle name="40% - Accent4 2" xfId="67" xr:uid="{7F290945-3D3B-4038-8856-A58F48A410BB}"/>
    <cellStyle name="40% - Accent4 3" xfId="87" xr:uid="{1F9C6584-ED5A-47EB-BF4A-5588743F3110}"/>
    <cellStyle name="40% - Accent5" xfId="47" builtinId="47" customBuiltin="1"/>
    <cellStyle name="40% - Accent5 2" xfId="70" xr:uid="{403E7750-011F-4703-8B6B-4D85281557A1}"/>
    <cellStyle name="40% - Accent5 3" xfId="90" xr:uid="{CB6BFE35-3A7D-438E-9E39-E716E86A7941}"/>
    <cellStyle name="40% - Accent6" xfId="51" builtinId="51" customBuiltin="1"/>
    <cellStyle name="40% - Accent6 2" xfId="73" xr:uid="{6654561E-D1FA-442E-9748-E1267152341A}"/>
    <cellStyle name="40% - Accent6 3" xfId="93" xr:uid="{635F2498-2D32-4B3B-B5C6-0EA8398CFE95}"/>
    <cellStyle name="60% - Accent1" xfId="32" builtinId="32" customBuiltin="1"/>
    <cellStyle name="60% - Accent1 2" xfId="59" xr:uid="{E7CFAA61-AC72-4C6A-8DCB-13FAF8A2E994}"/>
    <cellStyle name="60% - Accent1 3" xfId="79" xr:uid="{1D550467-F6CC-449E-BFF4-E4823D75D682}"/>
    <cellStyle name="60% - Accent2" xfId="36" builtinId="36" customBuiltin="1"/>
    <cellStyle name="60% - Accent2 2" xfId="62" xr:uid="{645F5D69-29BE-4DA1-828A-10C7F3B63374}"/>
    <cellStyle name="60% - Accent2 3" xfId="82" xr:uid="{1A76FE01-0614-444D-A669-51CF82122E0C}"/>
    <cellStyle name="60% - Accent3" xfId="40" builtinId="40" customBuiltin="1"/>
    <cellStyle name="60% - Accent3 2" xfId="65" xr:uid="{4AE2C718-3182-473F-B7B6-0E20AD5F5FC7}"/>
    <cellStyle name="60% - Accent3 3" xfId="85" xr:uid="{20AB4B32-2831-437D-AEE6-BDBF20C6191F}"/>
    <cellStyle name="60% - Accent4" xfId="44" builtinId="44" customBuiltin="1"/>
    <cellStyle name="60% - Accent4 2" xfId="68" xr:uid="{EBC64F38-4782-4E0E-BAFF-2877A92A23D4}"/>
    <cellStyle name="60% - Accent4 3" xfId="88" xr:uid="{DF5C195B-5333-4A3B-8182-A4B554D29DEC}"/>
    <cellStyle name="60% - Accent5" xfId="48" builtinId="48" customBuiltin="1"/>
    <cellStyle name="60% - Accent5 2" xfId="71" xr:uid="{A3F70FD6-0C9B-487D-9FD7-1AE5BA2D4B3A}"/>
    <cellStyle name="60% - Accent5 3" xfId="91" xr:uid="{103B1E40-AFC0-4863-8A95-47D22321EAE9}"/>
    <cellStyle name="60% - Accent6" xfId="52" builtinId="52" customBuiltin="1"/>
    <cellStyle name="60% - Accent6 2" xfId="74" xr:uid="{62B67D91-0811-432E-AC5F-EB52C5DE0786}"/>
    <cellStyle name="60% - Accent6 3" xfId="94" xr:uid="{ED525F8B-7416-4400-8969-2F3E46D031E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Comma" xfId="2" builtinId="3"/>
    <cellStyle name="Comma 2" xfId="4" xr:uid="{00000000-0005-0000-0000-000001000000}"/>
    <cellStyle name="Comma 3" xfId="10" xr:uid="{00000000-0005-0000-0000-000002000000}"/>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3" builtinId="8"/>
    <cellStyle name="Hyperlink 2" xfId="6" xr:uid="{00000000-0005-0000-0000-000004000000}"/>
    <cellStyle name="Hyperlink 3" xfId="11" xr:uid="{00000000-0005-0000-0000-000005000000}"/>
    <cellStyle name="Input" xfId="21" builtinId="20" customBuiltin="1"/>
    <cellStyle name="Linked Cell" xfId="24" builtinId="24" customBuiltin="1"/>
    <cellStyle name="Neutral" xfId="20" builtinId="28" customBuiltin="1"/>
    <cellStyle name="Normal" xfId="0" builtinId="0"/>
    <cellStyle name="Normal 2" xfId="1" xr:uid="{00000000-0005-0000-0000-000007000000}"/>
    <cellStyle name="Normal 2 2" xfId="7" xr:uid="{00000000-0005-0000-0000-000008000000}"/>
    <cellStyle name="Normal 2 3" xfId="9" xr:uid="{00000000-0005-0000-0000-000009000000}"/>
    <cellStyle name="Normal 3" xfId="8" xr:uid="{00000000-0005-0000-0000-00000A000000}"/>
    <cellStyle name="Normal 4" xfId="5" xr:uid="{00000000-0005-0000-0000-00000B000000}"/>
    <cellStyle name="Normal 4 2" xfId="12" xr:uid="{00000000-0005-0000-0000-00000C000000}"/>
    <cellStyle name="Normal 5" xfId="53" xr:uid="{AB4F89A2-4E03-4DF8-90A1-3CD2BB7FE5B0}"/>
    <cellStyle name="Normal 6" xfId="55" xr:uid="{5A3FAFBE-2423-41EF-AFE6-62E36ED9D978}"/>
    <cellStyle name="Normal 7" xfId="75" xr:uid="{511C696E-53D5-4D9C-B611-1072AF3F5FFE}"/>
    <cellStyle name="Note 2" xfId="54" xr:uid="{701D1981-CC71-49B6-9914-2CAB6DF18463}"/>
    <cellStyle name="Note 3" xfId="56" xr:uid="{AC47370B-BC38-4BBF-8F94-9ACA1902C541}"/>
    <cellStyle name="Note 4" xfId="76" xr:uid="{B880C3CC-BC40-4A6E-B6D3-8B68BD57D3B5}"/>
    <cellStyle name="Output" xfId="22" builtinId="21" customBuiltin="1"/>
    <cellStyle name="Title" xfId="13" builtinId="15" customBuiltin="1"/>
    <cellStyle name="Total" xfId="28" builtinId="25" customBuiltin="1"/>
    <cellStyle name="Warning Text" xfId="26" builtinId="11" customBuiltin="1"/>
  </cellStyles>
  <dxfs count="1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auto="1"/>
      </font>
      <fill>
        <patternFill patternType="none">
          <bgColor auto="1"/>
        </patternFill>
      </fill>
    </dxf>
  </dxfs>
  <tableStyles count="1" defaultTableStyle="TableStyleMedium9" defaultPivotStyle="PivotStyleLight16">
    <tableStyle name="Table Style 1" pivot="0" count="2" xr9:uid="{00000000-0011-0000-FFFF-FFFF00000000}">
      <tableStyleElement type="firstRowStripe" dxfId="100"/>
      <tableStyleElement type="secondRowStripe" dxfId="99"/>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Status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3657304620331E-2"/>
          <c:y val="0.10965088339835387"/>
          <c:w val="0.67649032260346742"/>
          <c:h val="0.76268461978212465"/>
        </c:manualLayout>
      </c:layout>
      <c:barChart>
        <c:barDir val="col"/>
        <c:grouping val="stacked"/>
        <c:varyColors val="0"/>
        <c:ser>
          <c:idx val="0"/>
          <c:order val="0"/>
          <c:tx>
            <c:strRef>
              <c:f>'Load Project Tracking'!$B$4:$C$4</c:f>
              <c:strCache>
                <c:ptCount val="2"/>
                <c:pt idx="0">
                  <c:v>-</c:v>
                </c:pt>
                <c:pt idx="1">
                  <c:v>Withdrawn (not included in NYCA total)</c:v>
                </c:pt>
              </c:strCache>
            </c:strRef>
          </c:tx>
          <c:spPr>
            <a:solidFill>
              <a:srgbClr val="ACBFCC"/>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Tracking'!$D$4:$N$4</c:f>
              <c:numCache>
                <c:formatCode>0</c:formatCode>
                <c:ptCount val="11"/>
                <c:pt idx="0">
                  <c:v>375</c:v>
                </c:pt>
                <c:pt idx="1">
                  <c:v>25</c:v>
                </c:pt>
                <c:pt idx="2">
                  <c:v>0</c:v>
                </c:pt>
                <c:pt idx="3">
                  <c:v>500</c:v>
                </c:pt>
                <c:pt idx="4">
                  <c:v>258</c:v>
                </c:pt>
                <c:pt idx="5">
                  <c:v>1104.3</c:v>
                </c:pt>
                <c:pt idx="6">
                  <c:v>296.5</c:v>
                </c:pt>
                <c:pt idx="7">
                  <c:v>0</c:v>
                </c:pt>
                <c:pt idx="8">
                  <c:v>0</c:v>
                </c:pt>
                <c:pt idx="9">
                  <c:v>0</c:v>
                </c:pt>
                <c:pt idx="10">
                  <c:v>420</c:v>
                </c:pt>
              </c:numCache>
            </c:numRef>
          </c:val>
          <c:extLst>
            <c:ext xmlns:c16="http://schemas.microsoft.com/office/drawing/2014/chart" uri="{C3380CC4-5D6E-409C-BE32-E72D297353CC}">
              <c16:uniqueId val="{00000000-D77A-4F4C-8A5F-4298D9184AB3}"/>
            </c:ext>
          </c:extLst>
        </c:ser>
        <c:ser>
          <c:idx val="1"/>
          <c:order val="1"/>
          <c:tx>
            <c:strRef>
              <c:f>'Load Project Tracking'!$B$5:$C$5</c:f>
              <c:strCache>
                <c:ptCount val="2"/>
                <c:pt idx="0">
                  <c:v>1</c:v>
                </c:pt>
                <c:pt idx="1">
                  <c:v>Scoping Meeting Pending</c:v>
                </c:pt>
              </c:strCache>
            </c:strRef>
          </c:tx>
          <c:spPr>
            <a:solidFill>
              <a:srgbClr val="005F86"/>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Tracking'!$D$5:$N$5</c:f>
              <c:numCache>
                <c:formatCode>0</c:formatCode>
                <c:ptCount val="11"/>
                <c:pt idx="0">
                  <c:v>0</c:v>
                </c:pt>
                <c:pt idx="1">
                  <c:v>0</c:v>
                </c:pt>
                <c:pt idx="2">
                  <c:v>150</c:v>
                </c:pt>
                <c:pt idx="3">
                  <c:v>0</c:v>
                </c:pt>
                <c:pt idx="4">
                  <c:v>15</c:v>
                </c:pt>
                <c:pt idx="5">
                  <c:v>0</c:v>
                </c:pt>
                <c:pt idx="6">
                  <c:v>0</c:v>
                </c:pt>
                <c:pt idx="7">
                  <c:v>0</c:v>
                </c:pt>
                <c:pt idx="8">
                  <c:v>0</c:v>
                </c:pt>
                <c:pt idx="9">
                  <c:v>0</c:v>
                </c:pt>
                <c:pt idx="10">
                  <c:v>0</c:v>
                </c:pt>
              </c:numCache>
            </c:numRef>
          </c:val>
          <c:extLst>
            <c:ext xmlns:c16="http://schemas.microsoft.com/office/drawing/2014/chart" uri="{C3380CC4-5D6E-409C-BE32-E72D297353CC}">
              <c16:uniqueId val="{00000001-D77A-4F4C-8A5F-4298D9184AB3}"/>
            </c:ext>
          </c:extLst>
        </c:ser>
        <c:ser>
          <c:idx val="2"/>
          <c:order val="2"/>
          <c:tx>
            <c:strRef>
              <c:f>'Load Project Tracking'!$B$6:$C$6</c:f>
              <c:strCache>
                <c:ptCount val="2"/>
                <c:pt idx="0">
                  <c:v>4</c:v>
                </c:pt>
                <c:pt idx="1">
                  <c:v>SIS Pending</c:v>
                </c:pt>
              </c:strCache>
            </c:strRef>
          </c:tx>
          <c:spPr>
            <a:solidFill>
              <a:srgbClr val="00B0F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Tracking'!$D$6:$N$6</c:f>
              <c:numCache>
                <c:formatCode>0</c:formatCode>
                <c:ptCount val="11"/>
                <c:pt idx="0">
                  <c:v>1100</c:v>
                </c:pt>
                <c:pt idx="1">
                  <c:v>0</c:v>
                </c:pt>
                <c:pt idx="2">
                  <c:v>1050</c:v>
                </c:pt>
                <c:pt idx="3">
                  <c:v>2135</c:v>
                </c:pt>
                <c:pt idx="4">
                  <c:v>1110</c:v>
                </c:pt>
                <c:pt idx="5">
                  <c:v>365</c:v>
                </c:pt>
                <c:pt idx="6">
                  <c:v>0</c:v>
                </c:pt>
                <c:pt idx="7">
                  <c:v>0</c:v>
                </c:pt>
                <c:pt idx="8">
                  <c:v>0</c:v>
                </c:pt>
                <c:pt idx="9">
                  <c:v>0</c:v>
                </c:pt>
                <c:pt idx="10">
                  <c:v>0</c:v>
                </c:pt>
              </c:numCache>
            </c:numRef>
          </c:val>
          <c:extLst>
            <c:ext xmlns:c16="http://schemas.microsoft.com/office/drawing/2014/chart" uri="{C3380CC4-5D6E-409C-BE32-E72D297353CC}">
              <c16:uniqueId val="{00000002-D77A-4F4C-8A5F-4298D9184AB3}"/>
            </c:ext>
          </c:extLst>
        </c:ser>
        <c:ser>
          <c:idx val="3"/>
          <c:order val="3"/>
          <c:tx>
            <c:strRef>
              <c:f>'Load Project Tracking'!$B$7:$C$7</c:f>
              <c:strCache>
                <c:ptCount val="2"/>
                <c:pt idx="0">
                  <c:v>5</c:v>
                </c:pt>
                <c:pt idx="1">
                  <c:v>SIS In-Progress</c:v>
                </c:pt>
              </c:strCache>
            </c:strRef>
          </c:tx>
          <c:spPr>
            <a:solidFill>
              <a:srgbClr val="00B05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Tracking'!$D$7:$N$7</c:f>
              <c:numCache>
                <c:formatCode>0</c:formatCode>
                <c:ptCount val="11"/>
                <c:pt idx="0">
                  <c:v>550</c:v>
                </c:pt>
                <c:pt idx="1">
                  <c:v>0</c:v>
                </c:pt>
                <c:pt idx="2">
                  <c:v>632</c:v>
                </c:pt>
                <c:pt idx="3">
                  <c:v>0</c:v>
                </c:pt>
                <c:pt idx="4">
                  <c:v>1799</c:v>
                </c:pt>
                <c:pt idx="5">
                  <c:v>0</c:v>
                </c:pt>
                <c:pt idx="6">
                  <c:v>150</c:v>
                </c:pt>
                <c:pt idx="7">
                  <c:v>1000</c:v>
                </c:pt>
                <c:pt idx="8">
                  <c:v>0</c:v>
                </c:pt>
                <c:pt idx="9">
                  <c:v>0</c:v>
                </c:pt>
                <c:pt idx="10">
                  <c:v>0</c:v>
                </c:pt>
              </c:numCache>
            </c:numRef>
          </c:val>
          <c:extLst>
            <c:ext xmlns:c16="http://schemas.microsoft.com/office/drawing/2014/chart" uri="{C3380CC4-5D6E-409C-BE32-E72D297353CC}">
              <c16:uniqueId val="{00000003-D77A-4F4C-8A5F-4298D9184AB3}"/>
            </c:ext>
          </c:extLst>
        </c:ser>
        <c:ser>
          <c:idx val="4"/>
          <c:order val="4"/>
          <c:tx>
            <c:strRef>
              <c:f>'Load Project Tracking'!$B$8:$C$8</c:f>
              <c:strCache>
                <c:ptCount val="2"/>
                <c:pt idx="0">
                  <c:v>6</c:v>
                </c:pt>
                <c:pt idx="1">
                  <c:v>SIS Approved</c:v>
                </c:pt>
              </c:strCache>
            </c:strRef>
          </c:tx>
          <c:spPr>
            <a:solidFill>
              <a:srgbClr val="7AD501"/>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Tracking'!$D$8:$N$8</c:f>
              <c:numCache>
                <c:formatCode>0</c:formatCode>
                <c:ptCount val="11"/>
                <c:pt idx="0">
                  <c:v>250</c:v>
                </c:pt>
                <c:pt idx="1">
                  <c:v>0</c:v>
                </c:pt>
                <c:pt idx="2">
                  <c:v>88</c:v>
                </c:pt>
                <c:pt idx="3">
                  <c:v>120</c:v>
                </c:pt>
                <c:pt idx="4">
                  <c:v>0</c:v>
                </c:pt>
                <c:pt idx="5">
                  <c:v>50</c:v>
                </c:pt>
                <c:pt idx="6">
                  <c:v>0</c:v>
                </c:pt>
                <c:pt idx="7">
                  <c:v>200</c:v>
                </c:pt>
                <c:pt idx="8">
                  <c:v>0</c:v>
                </c:pt>
                <c:pt idx="9">
                  <c:v>0</c:v>
                </c:pt>
                <c:pt idx="10">
                  <c:v>0</c:v>
                </c:pt>
              </c:numCache>
            </c:numRef>
          </c:val>
          <c:extLst>
            <c:ext xmlns:c16="http://schemas.microsoft.com/office/drawing/2014/chart" uri="{C3380CC4-5D6E-409C-BE32-E72D297353CC}">
              <c16:uniqueId val="{00000004-D77A-4F4C-8A5F-4298D9184AB3}"/>
            </c:ext>
          </c:extLst>
        </c:ser>
        <c:ser>
          <c:idx val="5"/>
          <c:order val="5"/>
          <c:tx>
            <c:strRef>
              <c:f>'Load Project Tracking'!$B$9:$C$9</c:f>
              <c:strCache>
                <c:ptCount val="2"/>
                <c:pt idx="0">
                  <c:v>7</c:v>
                </c:pt>
                <c:pt idx="1">
                  <c:v>FS Pending</c:v>
                </c:pt>
              </c:strCache>
            </c:strRef>
          </c:tx>
          <c:spPr>
            <a:solidFill>
              <a:srgbClr val="FEC8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Tracking'!$D$9:$N$9</c:f>
              <c:numCache>
                <c:formatCode>0</c:formatCode>
                <c:ptCount val="11"/>
                <c:pt idx="0">
                  <c:v>0</c:v>
                </c:pt>
                <c:pt idx="1">
                  <c:v>0</c:v>
                </c:pt>
                <c:pt idx="2">
                  <c:v>110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D77A-4F4C-8A5F-4298D9184AB3}"/>
            </c:ext>
          </c:extLst>
        </c:ser>
        <c:ser>
          <c:idx val="6"/>
          <c:order val="6"/>
          <c:tx>
            <c:strRef>
              <c:f>'Load Project Tracking'!$B$10:$C$10</c:f>
              <c:strCache>
                <c:ptCount val="2"/>
                <c:pt idx="0">
                  <c:v>9</c:v>
                </c:pt>
                <c:pt idx="1">
                  <c:v>FS In-Progress</c:v>
                </c:pt>
              </c:strCache>
            </c:strRef>
          </c:tx>
          <c:spPr>
            <a:solidFill>
              <a:srgbClr val="F2A9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Tracking'!$D$10:$N$10</c:f>
              <c:numCache>
                <c:formatCode>0</c:formatCode>
                <c:ptCount val="11"/>
                <c:pt idx="0">
                  <c:v>140</c:v>
                </c:pt>
                <c:pt idx="1">
                  <c:v>0</c:v>
                </c:pt>
                <c:pt idx="2">
                  <c:v>576</c:v>
                </c:pt>
                <c:pt idx="3">
                  <c:v>0</c:v>
                </c:pt>
                <c:pt idx="4">
                  <c:v>0</c:v>
                </c:pt>
                <c:pt idx="5">
                  <c:v>0</c:v>
                </c:pt>
                <c:pt idx="6">
                  <c:v>0</c:v>
                </c:pt>
                <c:pt idx="7">
                  <c:v>0</c:v>
                </c:pt>
                <c:pt idx="8">
                  <c:v>0</c:v>
                </c:pt>
                <c:pt idx="9">
                  <c:v>0</c:v>
                </c:pt>
                <c:pt idx="10">
                  <c:v>176.6</c:v>
                </c:pt>
              </c:numCache>
            </c:numRef>
          </c:val>
          <c:extLst>
            <c:ext xmlns:c16="http://schemas.microsoft.com/office/drawing/2014/chart" uri="{C3380CC4-5D6E-409C-BE32-E72D297353CC}">
              <c16:uniqueId val="{00000006-D77A-4F4C-8A5F-4298D9184AB3}"/>
            </c:ext>
          </c:extLst>
        </c:ser>
        <c:ser>
          <c:idx val="7"/>
          <c:order val="7"/>
          <c:tx>
            <c:strRef>
              <c:f>'Load Project Tracking'!$B$11:$C$11</c:f>
              <c:strCache>
                <c:ptCount val="2"/>
                <c:pt idx="0">
                  <c:v>10</c:v>
                </c:pt>
                <c:pt idx="1">
                  <c:v>Accepted Cost Allocation IA in Progress</c:v>
                </c:pt>
              </c:strCache>
            </c:strRef>
          </c:tx>
          <c:spPr>
            <a:solidFill>
              <a:schemeClr val="accent2"/>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Tracking'!$D$11:$N$11</c:f>
              <c:numCache>
                <c:formatCode>0</c:formatCode>
                <c:ptCount val="11"/>
                <c:pt idx="0">
                  <c:v>0</c:v>
                </c:pt>
                <c:pt idx="1">
                  <c:v>0</c:v>
                </c:pt>
                <c:pt idx="2">
                  <c:v>0</c:v>
                </c:pt>
                <c:pt idx="3">
                  <c:v>200</c:v>
                </c:pt>
                <c:pt idx="4">
                  <c:v>0</c:v>
                </c:pt>
                <c:pt idx="5">
                  <c:v>0</c:v>
                </c:pt>
                <c:pt idx="6">
                  <c:v>102.3</c:v>
                </c:pt>
                <c:pt idx="7">
                  <c:v>0</c:v>
                </c:pt>
                <c:pt idx="8">
                  <c:v>0</c:v>
                </c:pt>
                <c:pt idx="9">
                  <c:v>0</c:v>
                </c:pt>
                <c:pt idx="10">
                  <c:v>0</c:v>
                </c:pt>
              </c:numCache>
            </c:numRef>
          </c:val>
          <c:extLst>
            <c:ext xmlns:c16="http://schemas.microsoft.com/office/drawing/2014/chart" uri="{C3380CC4-5D6E-409C-BE32-E72D297353CC}">
              <c16:uniqueId val="{00000007-D77A-4F4C-8A5F-4298D9184AB3}"/>
            </c:ext>
          </c:extLst>
        </c:ser>
        <c:ser>
          <c:idx val="8"/>
          <c:order val="8"/>
          <c:tx>
            <c:strRef>
              <c:f>'Load Project Tracking'!$B$12:$C$12</c:f>
              <c:strCache>
                <c:ptCount val="2"/>
                <c:pt idx="0">
                  <c:v>12</c:v>
                </c:pt>
                <c:pt idx="1">
                  <c:v>Under Construction</c:v>
                </c:pt>
              </c:strCache>
            </c:strRef>
          </c:tx>
          <c:spPr>
            <a:solidFill>
              <a:schemeClr val="accent3">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Tracking'!$D$12:$N$12</c:f>
              <c:numCache>
                <c:formatCode>0</c:formatCode>
                <c:ptCount val="11"/>
                <c:pt idx="0">
                  <c:v>0</c:v>
                </c:pt>
                <c:pt idx="1">
                  <c:v>600</c:v>
                </c:pt>
                <c:pt idx="2">
                  <c:v>480</c:v>
                </c:pt>
                <c:pt idx="3">
                  <c:v>435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11C5-4B7B-938D-607EB9CF4F56}"/>
            </c:ext>
          </c:extLst>
        </c:ser>
        <c:ser>
          <c:idx val="9"/>
          <c:order val="9"/>
          <c:tx>
            <c:strRef>
              <c:f>'Load Project Tracking'!$B$13:$C$13</c:f>
              <c:strCache>
                <c:ptCount val="2"/>
                <c:pt idx="0">
                  <c:v>I/S</c:v>
                </c:pt>
                <c:pt idx="1">
                  <c:v>In-service</c:v>
                </c:pt>
              </c:strCache>
            </c:strRef>
          </c:tx>
          <c:spPr>
            <a:solidFill>
              <a:schemeClr val="accent4">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Tracking'!$D$13:$N$13</c:f>
              <c:numCache>
                <c:formatCode>0</c:formatCode>
                <c:ptCount val="11"/>
                <c:pt idx="0">
                  <c:v>300.2</c:v>
                </c:pt>
                <c:pt idx="1">
                  <c:v>0</c:v>
                </c:pt>
                <c:pt idx="2">
                  <c:v>0</c:v>
                </c:pt>
                <c:pt idx="3">
                  <c:v>0</c:v>
                </c:pt>
                <c:pt idx="4">
                  <c:v>0</c:v>
                </c:pt>
                <c:pt idx="5">
                  <c:v>60</c:v>
                </c:pt>
                <c:pt idx="6">
                  <c:v>0</c:v>
                </c:pt>
                <c:pt idx="7">
                  <c:v>0</c:v>
                </c:pt>
                <c:pt idx="8">
                  <c:v>0</c:v>
                </c:pt>
                <c:pt idx="9">
                  <c:v>0</c:v>
                </c:pt>
                <c:pt idx="10">
                  <c:v>0</c:v>
                </c:pt>
              </c:numCache>
            </c:numRef>
          </c:val>
          <c:extLst>
            <c:ext xmlns:c16="http://schemas.microsoft.com/office/drawing/2014/chart" uri="{C3380CC4-5D6E-409C-BE32-E72D297353CC}">
              <c16:uniqueId val="{00000003-11C5-4B7B-938D-607EB9CF4F56}"/>
            </c:ext>
          </c:extLst>
        </c:ser>
        <c:dLbls>
          <c:showLegendKey val="0"/>
          <c:showVal val="0"/>
          <c:showCatName val="0"/>
          <c:showSerName val="0"/>
          <c:showPercent val="0"/>
          <c:showBubbleSize val="0"/>
        </c:dLbls>
        <c:gapWidth val="40"/>
        <c:overlap val="100"/>
        <c:axId val="1964942352"/>
        <c:axId val="1964931792"/>
      </c:barChart>
      <c:catAx>
        <c:axId val="1964942352"/>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31792"/>
        <c:crosses val="autoZero"/>
        <c:auto val="1"/>
        <c:lblAlgn val="ctr"/>
        <c:lblOffset val="100"/>
        <c:noMultiLvlLbl val="0"/>
      </c:catAx>
      <c:valAx>
        <c:axId val="196493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42352"/>
        <c:crosses val="autoZero"/>
        <c:crossBetween val="between"/>
      </c:valAx>
      <c:spPr>
        <a:noFill/>
        <a:ln>
          <a:noFill/>
        </a:ln>
        <a:effectLst/>
      </c:spPr>
    </c:plotArea>
    <c:legend>
      <c:legendPos val="r"/>
      <c:layout>
        <c:manualLayout>
          <c:xMode val="edge"/>
          <c:yMode val="edge"/>
          <c:x val="0.75849599404291035"/>
          <c:y val="0.31600145354936576"/>
          <c:w val="0.24150403991378333"/>
          <c:h val="0.5588901854454199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Type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5624460798767E-2"/>
          <c:y val="9.6136856180763799E-2"/>
          <c:w val="0.68715163344531183"/>
          <c:h val="0.78451869465988211"/>
        </c:manualLayout>
      </c:layout>
      <c:barChart>
        <c:barDir val="col"/>
        <c:grouping val="stacked"/>
        <c:varyColors val="0"/>
        <c:ser>
          <c:idx val="0"/>
          <c:order val="0"/>
          <c:tx>
            <c:strRef>
              <c:f>'Load Project Tracking'!$C$43</c:f>
              <c:strCache>
                <c:ptCount val="1"/>
                <c:pt idx="0">
                  <c:v>Data Center (general)</c:v>
                </c:pt>
              </c:strCache>
            </c:strRef>
          </c:tx>
          <c:spPr>
            <a:solidFill>
              <a:srgbClr val="003D57"/>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Tracking'!$D$43:$N$43</c:f>
              <c:numCache>
                <c:formatCode>0</c:formatCode>
                <c:ptCount val="11"/>
                <c:pt idx="0">
                  <c:v>940</c:v>
                </c:pt>
                <c:pt idx="1">
                  <c:v>600</c:v>
                </c:pt>
                <c:pt idx="2">
                  <c:v>1458</c:v>
                </c:pt>
                <c:pt idx="3">
                  <c:v>320</c:v>
                </c:pt>
                <c:pt idx="4">
                  <c:v>750</c:v>
                </c:pt>
                <c:pt idx="5">
                  <c:v>180</c:v>
                </c:pt>
                <c:pt idx="6">
                  <c:v>252.3</c:v>
                </c:pt>
                <c:pt idx="7">
                  <c:v>1200</c:v>
                </c:pt>
                <c:pt idx="8">
                  <c:v>0</c:v>
                </c:pt>
                <c:pt idx="9">
                  <c:v>0</c:v>
                </c:pt>
                <c:pt idx="10">
                  <c:v>176.6</c:v>
                </c:pt>
              </c:numCache>
            </c:numRef>
          </c:val>
          <c:extLst>
            <c:ext xmlns:c16="http://schemas.microsoft.com/office/drawing/2014/chart" uri="{C3380CC4-5D6E-409C-BE32-E72D297353CC}">
              <c16:uniqueId val="{00000000-8A73-4751-B2EC-4D866A97CB76}"/>
            </c:ext>
          </c:extLst>
        </c:ser>
        <c:ser>
          <c:idx val="1"/>
          <c:order val="1"/>
          <c:tx>
            <c:strRef>
              <c:f>'Load Project Tracking'!$C$44</c:f>
              <c:strCache>
                <c:ptCount val="1"/>
                <c:pt idx="0">
                  <c:v>AI Datacenter</c:v>
                </c:pt>
              </c:strCache>
            </c:strRef>
          </c:tx>
          <c:spPr>
            <a:solidFill>
              <a:srgbClr val="005F86"/>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Tracking'!$D$44:$N$44</c:f>
              <c:numCache>
                <c:formatCode>0</c:formatCode>
                <c:ptCount val="11"/>
                <c:pt idx="0">
                  <c:v>1100</c:v>
                </c:pt>
                <c:pt idx="1">
                  <c:v>0</c:v>
                </c:pt>
                <c:pt idx="2">
                  <c:v>162</c:v>
                </c:pt>
                <c:pt idx="3">
                  <c:v>1935</c:v>
                </c:pt>
                <c:pt idx="4">
                  <c:v>2093</c:v>
                </c:pt>
                <c:pt idx="5">
                  <c:v>0</c:v>
                </c:pt>
                <c:pt idx="6">
                  <c:v>0</c:v>
                </c:pt>
                <c:pt idx="7">
                  <c:v>0</c:v>
                </c:pt>
                <c:pt idx="8">
                  <c:v>0</c:v>
                </c:pt>
                <c:pt idx="9">
                  <c:v>0</c:v>
                </c:pt>
                <c:pt idx="10">
                  <c:v>0</c:v>
                </c:pt>
              </c:numCache>
            </c:numRef>
          </c:val>
          <c:extLst>
            <c:ext xmlns:c16="http://schemas.microsoft.com/office/drawing/2014/chart" uri="{C3380CC4-5D6E-409C-BE32-E72D297353CC}">
              <c16:uniqueId val="{00000001-8A73-4751-B2EC-4D866A97CB76}"/>
            </c:ext>
          </c:extLst>
        </c:ser>
        <c:ser>
          <c:idx val="2"/>
          <c:order val="2"/>
          <c:tx>
            <c:strRef>
              <c:f>'Load Project Tracking'!$C$45</c:f>
              <c:strCache>
                <c:ptCount val="1"/>
                <c:pt idx="0">
                  <c:v>Cryptocurrency mining</c:v>
                </c:pt>
              </c:strCache>
            </c:strRef>
          </c:tx>
          <c:spPr>
            <a:solidFill>
              <a:srgbClr val="2BAAD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Tracking'!$D$45:$N$45</c:f>
              <c:numCache>
                <c:formatCode>0</c:formatCode>
                <c:ptCount val="11"/>
                <c:pt idx="0">
                  <c:v>0</c:v>
                </c:pt>
                <c:pt idx="1">
                  <c:v>0</c:v>
                </c:pt>
                <c:pt idx="2">
                  <c:v>110</c:v>
                </c:pt>
                <c:pt idx="3">
                  <c:v>635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A73-4751-B2EC-4D866A97CB76}"/>
            </c:ext>
          </c:extLst>
        </c:ser>
        <c:ser>
          <c:idx val="3"/>
          <c:order val="3"/>
          <c:tx>
            <c:strRef>
              <c:f>'Load Project Tracking'!$C$46</c:f>
              <c:strCache>
                <c:ptCount val="1"/>
                <c:pt idx="0">
                  <c:v>Manufacturing (general)</c:v>
                </c:pt>
              </c:strCache>
            </c:strRef>
          </c:tx>
          <c:spPr>
            <a:solidFill>
              <a:srgbClr val="7AD501"/>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Tracking'!$D$46:$N$46</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8A73-4751-B2EC-4D866A97CB76}"/>
            </c:ext>
          </c:extLst>
        </c:ser>
        <c:ser>
          <c:idx val="4"/>
          <c:order val="4"/>
          <c:tx>
            <c:strRef>
              <c:f>'Load Project Tracking'!$C$47</c:f>
              <c:strCache>
                <c:ptCount val="1"/>
                <c:pt idx="0">
                  <c:v>Microchip fabrication</c:v>
                </c:pt>
              </c:strCache>
            </c:strRef>
          </c:tx>
          <c:spPr>
            <a:solidFill>
              <a:srgbClr val="009F4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Tracking'!$D$47:$N$47</c:f>
              <c:numCache>
                <c:formatCode>0</c:formatCode>
                <c:ptCount val="11"/>
                <c:pt idx="0">
                  <c:v>0</c:v>
                </c:pt>
                <c:pt idx="1">
                  <c:v>0</c:v>
                </c:pt>
                <c:pt idx="2">
                  <c:v>1056</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8A73-4751-B2EC-4D866A97CB76}"/>
            </c:ext>
          </c:extLst>
        </c:ser>
        <c:ser>
          <c:idx val="5"/>
          <c:order val="5"/>
          <c:tx>
            <c:strRef>
              <c:f>'Load Project Tracking'!$C$48</c:f>
              <c:strCache>
                <c:ptCount val="1"/>
                <c:pt idx="0">
                  <c:v>Consumable Goods</c:v>
                </c:pt>
              </c:strCache>
            </c:strRef>
          </c:tx>
          <c:spPr>
            <a:solidFill>
              <a:srgbClr val="FEC800"/>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Tracking'!$D$48:$N$48</c:f>
              <c:numCache>
                <c:formatCode>0</c:formatCode>
                <c:ptCount val="11"/>
                <c:pt idx="0">
                  <c:v>0</c:v>
                </c:pt>
                <c:pt idx="1">
                  <c:v>0</c:v>
                </c:pt>
                <c:pt idx="2">
                  <c:v>0</c:v>
                </c:pt>
                <c:pt idx="3">
                  <c:v>0</c:v>
                </c:pt>
                <c:pt idx="4">
                  <c:v>66</c:v>
                </c:pt>
                <c:pt idx="5">
                  <c:v>40</c:v>
                </c:pt>
                <c:pt idx="6">
                  <c:v>0</c:v>
                </c:pt>
                <c:pt idx="7">
                  <c:v>0</c:v>
                </c:pt>
                <c:pt idx="8">
                  <c:v>0</c:v>
                </c:pt>
                <c:pt idx="9">
                  <c:v>0</c:v>
                </c:pt>
                <c:pt idx="10">
                  <c:v>0</c:v>
                </c:pt>
              </c:numCache>
            </c:numRef>
          </c:val>
          <c:extLst>
            <c:ext xmlns:c16="http://schemas.microsoft.com/office/drawing/2014/chart" uri="{C3380CC4-5D6E-409C-BE32-E72D297353CC}">
              <c16:uniqueId val="{00000005-8A73-4751-B2EC-4D866A97CB76}"/>
            </c:ext>
          </c:extLst>
        </c:ser>
        <c:ser>
          <c:idx val="6"/>
          <c:order val="6"/>
          <c:tx>
            <c:strRef>
              <c:f>'Load Project Tracking'!$C$49</c:f>
              <c:strCache>
                <c:ptCount val="1"/>
                <c:pt idx="0">
                  <c:v>Industrial Goods</c:v>
                </c:pt>
              </c:strCache>
            </c:strRef>
          </c:tx>
          <c:spPr>
            <a:solidFill>
              <a:schemeClr val="accent6">
                <a:lumMod val="75000"/>
              </a:schemeClr>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Tracking'!$D$49:$N$49</c:f>
              <c:numCache>
                <c:formatCode>0</c:formatCode>
                <c:ptCount val="11"/>
                <c:pt idx="0">
                  <c:v>0</c:v>
                </c:pt>
                <c:pt idx="1">
                  <c:v>0</c:v>
                </c:pt>
                <c:pt idx="2">
                  <c:v>0</c:v>
                </c:pt>
                <c:pt idx="3">
                  <c:v>0</c:v>
                </c:pt>
                <c:pt idx="4">
                  <c:v>0</c:v>
                </c:pt>
                <c:pt idx="5">
                  <c:v>50</c:v>
                </c:pt>
                <c:pt idx="6">
                  <c:v>0</c:v>
                </c:pt>
                <c:pt idx="7">
                  <c:v>0</c:v>
                </c:pt>
                <c:pt idx="8">
                  <c:v>0</c:v>
                </c:pt>
                <c:pt idx="9">
                  <c:v>0</c:v>
                </c:pt>
                <c:pt idx="10">
                  <c:v>0</c:v>
                </c:pt>
              </c:numCache>
            </c:numRef>
          </c:val>
          <c:extLst>
            <c:ext xmlns:c16="http://schemas.microsoft.com/office/drawing/2014/chart" uri="{C3380CC4-5D6E-409C-BE32-E72D297353CC}">
              <c16:uniqueId val="{00000006-8A73-4751-B2EC-4D866A97CB76}"/>
            </c:ext>
          </c:extLst>
        </c:ser>
        <c:ser>
          <c:idx val="7"/>
          <c:order val="7"/>
          <c:tx>
            <c:strRef>
              <c:f>'Load Project Tracking'!$C$50</c:f>
              <c:strCache>
                <c:ptCount val="1"/>
                <c:pt idx="0">
                  <c:v>Research and Development</c:v>
                </c:pt>
              </c:strCache>
            </c:strRef>
          </c:tx>
          <c:spPr>
            <a:solidFill>
              <a:schemeClr val="accent2"/>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Tracking'!$D$50:$N$50</c:f>
              <c:numCache>
                <c:formatCode>0</c:formatCode>
                <c:ptCount val="11"/>
                <c:pt idx="0">
                  <c:v>0</c:v>
                </c:pt>
                <c:pt idx="1">
                  <c:v>0</c:v>
                </c:pt>
                <c:pt idx="2">
                  <c:v>250</c:v>
                </c:pt>
                <c:pt idx="3">
                  <c:v>0</c:v>
                </c:pt>
                <c:pt idx="4">
                  <c:v>0</c:v>
                </c:pt>
                <c:pt idx="5">
                  <c:v>145</c:v>
                </c:pt>
                <c:pt idx="6">
                  <c:v>0</c:v>
                </c:pt>
                <c:pt idx="7">
                  <c:v>0</c:v>
                </c:pt>
                <c:pt idx="8">
                  <c:v>0</c:v>
                </c:pt>
                <c:pt idx="9">
                  <c:v>0</c:v>
                </c:pt>
                <c:pt idx="10">
                  <c:v>0</c:v>
                </c:pt>
              </c:numCache>
            </c:numRef>
          </c:val>
          <c:extLst>
            <c:ext xmlns:c16="http://schemas.microsoft.com/office/drawing/2014/chart" uri="{C3380CC4-5D6E-409C-BE32-E72D297353CC}">
              <c16:uniqueId val="{00000007-8A73-4751-B2EC-4D866A97CB76}"/>
            </c:ext>
          </c:extLst>
        </c:ser>
        <c:ser>
          <c:idx val="8"/>
          <c:order val="8"/>
          <c:tx>
            <c:strRef>
              <c:f>'Load Project Tracking'!$C$51</c:f>
              <c:strCache>
                <c:ptCount val="1"/>
                <c:pt idx="0">
                  <c:v>Hydrogen Production</c:v>
                </c:pt>
              </c:strCache>
            </c:strRef>
          </c:tx>
          <c:spPr>
            <a:solidFill>
              <a:schemeClr val="accent4"/>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Tracking'!$D$51:$N$51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8-8A73-4751-B2EC-4D866A97CB76}"/>
            </c:ext>
          </c:extLst>
        </c:ser>
        <c:ser>
          <c:idx val="9"/>
          <c:order val="9"/>
          <c:tx>
            <c:strRef>
              <c:f>'Load Project Tracking'!$C$52</c:f>
              <c:strCache>
                <c:ptCount val="1"/>
                <c:pt idx="0">
                  <c:v>Other</c:v>
                </c:pt>
              </c:strCache>
            </c:strRef>
          </c:tx>
          <c:spPr>
            <a:solidFill>
              <a:srgbClr val="ACBFCC"/>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Tracking'!$D$52:$N$52</c:f>
              <c:numCache>
                <c:formatCode>0</c:formatCode>
                <c:ptCount val="11"/>
                <c:pt idx="0">
                  <c:v>0</c:v>
                </c:pt>
                <c:pt idx="1">
                  <c:v>0</c:v>
                </c:pt>
                <c:pt idx="2">
                  <c:v>50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9-8A73-4751-B2EC-4D866A97CB76}"/>
            </c:ext>
          </c:extLst>
        </c:ser>
        <c:dLbls>
          <c:showLegendKey val="0"/>
          <c:showVal val="0"/>
          <c:showCatName val="0"/>
          <c:showSerName val="0"/>
          <c:showPercent val="0"/>
          <c:showBubbleSize val="0"/>
        </c:dLbls>
        <c:gapWidth val="54"/>
        <c:overlap val="100"/>
        <c:axId val="1025899296"/>
        <c:axId val="1025899776"/>
      </c:barChart>
      <c:catAx>
        <c:axId val="102589929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776"/>
        <c:crosses val="autoZero"/>
        <c:auto val="1"/>
        <c:lblAlgn val="ctr"/>
        <c:lblOffset val="100"/>
        <c:noMultiLvlLbl val="0"/>
      </c:catAx>
      <c:valAx>
        <c:axId val="1025899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296"/>
        <c:crosses val="autoZero"/>
        <c:crossBetween val="between"/>
      </c:valAx>
      <c:spPr>
        <a:noFill/>
        <a:ln>
          <a:noFill/>
        </a:ln>
        <a:effectLst/>
      </c:spPr>
    </c:plotArea>
    <c:legend>
      <c:legendPos val="r"/>
      <c:layout>
        <c:manualLayout>
          <c:xMode val="edge"/>
          <c:yMode val="edge"/>
          <c:x val="0.77140582998407659"/>
          <c:y val="0.31396088629329116"/>
          <c:w val="0.22185512196394611"/>
          <c:h val="0.439078173180077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Project Interconnection Requests by IR Submission Date</a:t>
            </a:r>
          </a:p>
          <a:p>
            <a:pPr>
              <a:defRPr sz="1600"/>
            </a:pPr>
            <a:r>
              <a:rPr lang="en-US" sz="1600"/>
              <a:t>(Running total MW)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9907472135967647E-2"/>
          <c:y val="0.19984208572620624"/>
          <c:w val="0.90670212610975265"/>
          <c:h val="0.61915586806066858"/>
        </c:manualLayout>
      </c:layout>
      <c:barChart>
        <c:barDir val="col"/>
        <c:grouping val="stacked"/>
        <c:varyColors val="0"/>
        <c:ser>
          <c:idx val="0"/>
          <c:order val="0"/>
          <c:spPr>
            <a:solidFill>
              <a:srgbClr val="005F86"/>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Franklin Gothic Book" panose="020B05030201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'Load Project Tracking'!$C$83:$C$89</c:f>
              <c:strCache>
                <c:ptCount val="7"/>
                <c:pt idx="0">
                  <c:v>2020 and earlier</c:v>
                </c:pt>
                <c:pt idx="1">
                  <c:v>2021</c:v>
                </c:pt>
                <c:pt idx="2">
                  <c:v>2022</c:v>
                </c:pt>
                <c:pt idx="3">
                  <c:v>2023</c:v>
                </c:pt>
                <c:pt idx="4">
                  <c:v>2024</c:v>
                </c:pt>
                <c:pt idx="5">
                  <c:v>2025</c:v>
                </c:pt>
                <c:pt idx="6">
                  <c:v>2026</c:v>
                </c:pt>
              </c:strCache>
            </c:strRef>
          </c:cat>
          <c:val>
            <c:numRef>
              <c:f>'Load Project Tracking'!$P$83:$P$89</c:f>
              <c:numCache>
                <c:formatCode>0</c:formatCode>
                <c:ptCount val="7"/>
                <c:pt idx="0">
                  <c:v>845</c:v>
                </c:pt>
                <c:pt idx="1">
                  <c:v>1165</c:v>
                </c:pt>
                <c:pt idx="2">
                  <c:v>1465</c:v>
                </c:pt>
                <c:pt idx="3">
                  <c:v>2571</c:v>
                </c:pt>
                <c:pt idx="4">
                  <c:v>3727.8999999999996</c:v>
                </c:pt>
                <c:pt idx="5">
                  <c:v>12458.9</c:v>
                </c:pt>
                <c:pt idx="6">
                  <c:v>13583.9</c:v>
                </c:pt>
              </c:numCache>
            </c:numRef>
          </c:val>
          <c:extLst>
            <c:ext xmlns:c16="http://schemas.microsoft.com/office/drawing/2014/chart" uri="{C3380CC4-5D6E-409C-BE32-E72D297353CC}">
              <c16:uniqueId val="{00000000-E728-41CC-BC3E-E1EB004773FF}"/>
            </c:ext>
          </c:extLst>
        </c:ser>
        <c:dLbls>
          <c:showLegendKey val="0"/>
          <c:showVal val="0"/>
          <c:showCatName val="0"/>
          <c:showSerName val="0"/>
          <c:showPercent val="0"/>
          <c:showBubbleSize val="0"/>
        </c:dLbls>
        <c:gapWidth val="30"/>
        <c:overlap val="40"/>
        <c:axId val="1022244528"/>
        <c:axId val="1022243088"/>
      </c:barChart>
      <c:catAx>
        <c:axId val="102224452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3088"/>
        <c:crosses val="autoZero"/>
        <c:auto val="1"/>
        <c:lblAlgn val="ctr"/>
        <c:lblOffset val="100"/>
        <c:noMultiLvlLbl val="0"/>
      </c:catAx>
      <c:valAx>
        <c:axId val="10222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4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142875</xdr:colOff>
      <xdr:row>57</xdr:row>
      <xdr:rowOff>0</xdr:rowOff>
    </xdr:to>
    <xdr:pic>
      <xdr:nvPicPr>
        <xdr:cNvPr id="2" name="Picture 1">
          <a:extLst>
            <a:ext uri="{FF2B5EF4-FFF2-40B4-BE49-F238E27FC236}">
              <a16:creationId xmlns:a16="http://schemas.microsoft.com/office/drawing/2014/main" id="{7F9AB5DB-F434-1B34-008E-44C2AB5C2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20875" cy="1085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19419</xdr:rowOff>
    </xdr:from>
    <xdr:to>
      <xdr:col>15</xdr:col>
      <xdr:colOff>1064559</xdr:colOff>
      <xdr:row>40</xdr:row>
      <xdr:rowOff>0</xdr:rowOff>
    </xdr:to>
    <xdr:graphicFrame macro="">
      <xdr:nvGraphicFramePr>
        <xdr:cNvPr id="2" name="Chart 1">
          <a:extLst>
            <a:ext uri="{FF2B5EF4-FFF2-40B4-BE49-F238E27FC236}">
              <a16:creationId xmlns:a16="http://schemas.microsoft.com/office/drawing/2014/main" id="{4CBBED30-A26B-4036-8A78-AA6C8DFB8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43695</xdr:rowOff>
    </xdr:from>
    <xdr:to>
      <xdr:col>15</xdr:col>
      <xdr:colOff>1030941</xdr:colOff>
      <xdr:row>79</xdr:row>
      <xdr:rowOff>176894</xdr:rowOff>
    </xdr:to>
    <xdr:graphicFrame macro="">
      <xdr:nvGraphicFramePr>
        <xdr:cNvPr id="3" name="Chart 2">
          <a:extLst>
            <a:ext uri="{FF2B5EF4-FFF2-40B4-BE49-F238E27FC236}">
              <a16:creationId xmlns:a16="http://schemas.microsoft.com/office/drawing/2014/main" id="{55810F12-8F95-479A-A7C2-E53312E12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120</xdr:colOff>
      <xdr:row>91</xdr:row>
      <xdr:rowOff>35406</xdr:rowOff>
    </xdr:from>
    <xdr:to>
      <xdr:col>15</xdr:col>
      <xdr:colOff>1019736</xdr:colOff>
      <xdr:row>116</xdr:row>
      <xdr:rowOff>169846</xdr:rowOff>
    </xdr:to>
    <xdr:graphicFrame macro="">
      <xdr:nvGraphicFramePr>
        <xdr:cNvPr id="4" name="Chart 3">
          <a:extLst>
            <a:ext uri="{FF2B5EF4-FFF2-40B4-BE49-F238E27FC236}">
              <a16:creationId xmlns:a16="http://schemas.microsoft.com/office/drawing/2014/main" id="{08A32BB3-889B-40C1-BDA1-C98844754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3.dps.ny.gov/W/PSCWeb.nsf/All/286D2C179E9A5A8385257FBF003F1F7E?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741F-0673-4070-90BA-DD4FBD4AE8C7}">
  <dimension ref="A1"/>
  <sheetViews>
    <sheetView tabSelected="1" zoomScale="40" zoomScaleNormal="40" workbookViewId="0">
      <selection activeCell="AX66" sqref="AX66:AX67"/>
    </sheetView>
  </sheetViews>
  <sheetFormatPr defaultRowHeight="1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40"/>
  <sheetViews>
    <sheetView showGridLines="0" zoomScaleNormal="100" zoomScaleSheetLayoutView="75" workbookViewId="0">
      <pane ySplit="1" topLeftCell="A2" activePane="bottomLeft" state="frozen"/>
      <selection activeCell="G1" sqref="G1"/>
      <selection pane="bottomLeft" activeCell="A2" sqref="A2"/>
    </sheetView>
  </sheetViews>
  <sheetFormatPr defaultColWidth="9.6640625" defaultRowHeight="15" x14ac:dyDescent="0.2"/>
  <cols>
    <col min="1" max="1" width="5.88671875" style="123" customWidth="1"/>
    <col min="2" max="2" width="22.77734375" style="4" customWidth="1"/>
    <col min="3" max="3" width="45.6640625" style="31" bestFit="1" customWidth="1"/>
    <col min="4" max="4" width="9.77734375" style="11" bestFit="1" customWidth="1"/>
    <col min="5" max="6" width="5.88671875" style="32" customWidth="1"/>
    <col min="7" max="7" width="19.77734375" style="32" bestFit="1" customWidth="1"/>
    <col min="8" max="8" width="15.21875" style="4" bestFit="1" customWidth="1"/>
    <col min="9" max="9" width="8.109375" style="4" customWidth="1"/>
    <col min="10" max="10" width="15.21875" style="4" customWidth="1"/>
    <col min="11" max="11" width="12.6640625" style="12" customWidth="1"/>
    <col min="12" max="12" width="5.109375" style="12" customWidth="1"/>
    <col min="13" max="13" width="5.6640625" style="12" customWidth="1"/>
    <col min="14" max="14" width="22.88671875" style="12" customWidth="1"/>
    <col min="15" max="16" width="21.6640625" style="12" customWidth="1"/>
    <col min="17" max="17" width="7" style="12" customWidth="1"/>
    <col min="18" max="18" width="8.88671875" style="12" bestFit="1" customWidth="1"/>
    <col min="19" max="19" width="10.6640625" style="12" customWidth="1"/>
    <col min="20" max="20" width="10.109375" style="12" customWidth="1"/>
    <col min="21" max="21" width="8.33203125" style="12" bestFit="1" customWidth="1"/>
    <col min="22" max="22" width="11.88671875" style="12" customWidth="1"/>
    <col min="23" max="23" width="8.109375" style="33" customWidth="1"/>
    <col min="24" max="16384" width="9.6640625" style="4"/>
  </cols>
  <sheetData>
    <row r="1" spans="1:26" s="18" customFormat="1" ht="39" thickBot="1" x14ac:dyDescent="0.25">
      <c r="A1" s="121" t="s">
        <v>2828</v>
      </c>
      <c r="B1" s="1" t="s">
        <v>6782</v>
      </c>
      <c r="C1" s="1" t="s">
        <v>0</v>
      </c>
      <c r="D1" s="1" t="s">
        <v>2829</v>
      </c>
      <c r="E1" s="1" t="s">
        <v>2830</v>
      </c>
      <c r="F1" s="1" t="s">
        <v>2831</v>
      </c>
      <c r="G1" s="1" t="s">
        <v>7659</v>
      </c>
      <c r="H1" s="1" t="s">
        <v>2832</v>
      </c>
      <c r="I1" s="1" t="s">
        <v>7366</v>
      </c>
      <c r="J1" s="1" t="s">
        <v>7367</v>
      </c>
      <c r="K1" s="1" t="s">
        <v>2710</v>
      </c>
      <c r="L1" s="1" t="s">
        <v>2711</v>
      </c>
      <c r="M1" s="1" t="s">
        <v>7655</v>
      </c>
      <c r="N1" s="1" t="s">
        <v>4062</v>
      </c>
      <c r="O1" s="1" t="s">
        <v>4063</v>
      </c>
      <c r="P1" s="1" t="s">
        <v>6082</v>
      </c>
      <c r="Q1" s="1" t="s">
        <v>7673</v>
      </c>
      <c r="R1" s="17" t="s">
        <v>4064</v>
      </c>
      <c r="S1" s="1" t="s">
        <v>2834</v>
      </c>
      <c r="T1" s="17" t="s">
        <v>5846</v>
      </c>
      <c r="U1" s="17" t="s">
        <v>5847</v>
      </c>
      <c r="V1" s="1" t="s">
        <v>5850</v>
      </c>
      <c r="W1" s="1" t="s">
        <v>5851</v>
      </c>
      <c r="X1" s="1" t="s">
        <v>4325</v>
      </c>
    </row>
    <row r="2" spans="1:26" customFormat="1" x14ac:dyDescent="0.2">
      <c r="A2" s="129" t="s">
        <v>7516</v>
      </c>
      <c r="B2" s="2" t="s">
        <v>4065</v>
      </c>
      <c r="C2" s="2" t="s">
        <v>1752</v>
      </c>
      <c r="D2" s="19">
        <v>39477</v>
      </c>
      <c r="E2" s="2">
        <v>90</v>
      </c>
      <c r="F2" s="2">
        <v>90</v>
      </c>
      <c r="G2" s="2" t="s">
        <v>7660</v>
      </c>
      <c r="H2" s="2" t="s">
        <v>55</v>
      </c>
      <c r="I2" s="2"/>
      <c r="J2" s="2"/>
      <c r="K2" s="2" t="s">
        <v>2772</v>
      </c>
      <c r="L2" s="137" t="s">
        <v>2713</v>
      </c>
      <c r="M2" s="137" t="s">
        <v>393</v>
      </c>
      <c r="N2" s="137" t="s">
        <v>687</v>
      </c>
      <c r="O2" s="2" t="s">
        <v>157</v>
      </c>
      <c r="P2" s="2"/>
      <c r="Q2" s="137" t="s">
        <v>7395</v>
      </c>
      <c r="R2" s="19">
        <v>46173</v>
      </c>
      <c r="S2" s="2" t="s">
        <v>684</v>
      </c>
      <c r="T2" s="19">
        <v>44235</v>
      </c>
      <c r="U2" s="21">
        <v>44235</v>
      </c>
      <c r="V2" s="21" t="s">
        <v>4602</v>
      </c>
      <c r="W2" s="21" t="s">
        <v>4602</v>
      </c>
      <c r="X2" s="19" t="s">
        <v>6210</v>
      </c>
      <c r="Y2" s="141"/>
      <c r="Z2" s="141"/>
    </row>
    <row r="3" spans="1:26" customFormat="1" x14ac:dyDescent="0.2">
      <c r="A3" s="129" t="s">
        <v>5135</v>
      </c>
      <c r="B3" s="2" t="s">
        <v>1110</v>
      </c>
      <c r="C3" s="2" t="s">
        <v>1111</v>
      </c>
      <c r="D3" s="19">
        <v>42096</v>
      </c>
      <c r="E3" s="2">
        <v>90.5</v>
      </c>
      <c r="F3" s="2">
        <v>90.5</v>
      </c>
      <c r="G3" s="2" t="s">
        <v>7660</v>
      </c>
      <c r="H3" s="2" t="s">
        <v>55</v>
      </c>
      <c r="I3" s="2"/>
      <c r="J3" s="2"/>
      <c r="K3" s="2" t="s">
        <v>2736</v>
      </c>
      <c r="L3" s="137" t="s">
        <v>2713</v>
      </c>
      <c r="M3" s="137" t="s">
        <v>471</v>
      </c>
      <c r="N3" s="137" t="s">
        <v>1001</v>
      </c>
      <c r="O3" s="2" t="s">
        <v>157</v>
      </c>
      <c r="P3" s="2"/>
      <c r="Q3" s="137" t="s">
        <v>7395</v>
      </c>
      <c r="R3" s="19">
        <v>45930</v>
      </c>
      <c r="S3" s="2" t="s">
        <v>684</v>
      </c>
      <c r="T3" s="19">
        <v>44235</v>
      </c>
      <c r="U3" s="21">
        <v>44235</v>
      </c>
      <c r="V3" s="21" t="s">
        <v>6716</v>
      </c>
      <c r="W3" s="21" t="s">
        <v>6183</v>
      </c>
      <c r="X3" s="19" t="s">
        <v>6182</v>
      </c>
      <c r="Y3" s="141"/>
      <c r="Z3" s="141"/>
    </row>
    <row r="4" spans="1:26" customFormat="1" x14ac:dyDescent="0.2">
      <c r="A4" s="129" t="s">
        <v>5136</v>
      </c>
      <c r="B4" s="2" t="s">
        <v>1144</v>
      </c>
      <c r="C4" s="2" t="s">
        <v>1055</v>
      </c>
      <c r="D4" s="19">
        <v>42310</v>
      </c>
      <c r="E4" s="2">
        <v>290.7</v>
      </c>
      <c r="F4" s="2">
        <v>290.7</v>
      </c>
      <c r="G4" s="2" t="s">
        <v>7660</v>
      </c>
      <c r="H4" s="2" t="s">
        <v>124</v>
      </c>
      <c r="I4" s="2"/>
      <c r="J4" s="2"/>
      <c r="K4" s="2" t="s">
        <v>2732</v>
      </c>
      <c r="L4" s="137" t="s">
        <v>2713</v>
      </c>
      <c r="M4" s="137" t="s">
        <v>393</v>
      </c>
      <c r="N4" s="137" t="s">
        <v>1050</v>
      </c>
      <c r="O4" s="2" t="s">
        <v>34</v>
      </c>
      <c r="P4" s="2"/>
      <c r="Q4" s="137" t="s">
        <v>7395</v>
      </c>
      <c r="R4" s="19">
        <v>45747</v>
      </c>
      <c r="S4" s="2" t="s">
        <v>684</v>
      </c>
      <c r="T4" s="19">
        <v>44235</v>
      </c>
      <c r="U4" s="21">
        <v>44235</v>
      </c>
      <c r="V4" s="21" t="s">
        <v>4149</v>
      </c>
      <c r="W4" s="21" t="s">
        <v>4149</v>
      </c>
      <c r="X4" s="19" t="s">
        <v>4603</v>
      </c>
      <c r="Y4" s="141"/>
      <c r="Z4" s="141"/>
    </row>
    <row r="5" spans="1:26" customFormat="1" x14ac:dyDescent="0.2">
      <c r="A5" s="129" t="s">
        <v>5139</v>
      </c>
      <c r="B5" s="2" t="s">
        <v>42</v>
      </c>
      <c r="C5" s="2" t="s">
        <v>1062</v>
      </c>
      <c r="D5" s="19">
        <v>42354</v>
      </c>
      <c r="E5" s="2">
        <v>79.900000000000006</v>
      </c>
      <c r="F5" s="2">
        <v>79.900000000000006</v>
      </c>
      <c r="G5" s="2" t="s">
        <v>7660</v>
      </c>
      <c r="H5" s="2" t="s">
        <v>615</v>
      </c>
      <c r="I5" s="2">
        <v>319.60000000000002</v>
      </c>
      <c r="J5" s="2" t="s">
        <v>6717</v>
      </c>
      <c r="K5" s="2" t="s">
        <v>2715</v>
      </c>
      <c r="L5" s="2" t="s">
        <v>2713</v>
      </c>
      <c r="M5" s="137" t="s">
        <v>533</v>
      </c>
      <c r="N5" s="137" t="s">
        <v>1070</v>
      </c>
      <c r="O5" s="2" t="s">
        <v>403</v>
      </c>
      <c r="P5" s="2"/>
      <c r="Q5" s="137" t="s">
        <v>7396</v>
      </c>
      <c r="R5" s="19">
        <v>46203</v>
      </c>
      <c r="S5" s="2" t="s">
        <v>684</v>
      </c>
      <c r="T5" s="19">
        <v>45427</v>
      </c>
      <c r="U5" s="21">
        <v>45642</v>
      </c>
      <c r="V5" s="21" t="s">
        <v>4516</v>
      </c>
      <c r="W5" s="21" t="s">
        <v>4516</v>
      </c>
      <c r="X5" s="19" t="s">
        <v>4168</v>
      </c>
      <c r="Y5" s="141"/>
      <c r="Z5" s="141"/>
    </row>
    <row r="6" spans="1:26" customFormat="1" x14ac:dyDescent="0.2">
      <c r="A6" s="129" t="s">
        <v>5140</v>
      </c>
      <c r="B6" s="2" t="s">
        <v>4075</v>
      </c>
      <c r="C6" s="2" t="s">
        <v>4076</v>
      </c>
      <c r="D6" s="19">
        <v>42423</v>
      </c>
      <c r="E6" s="2">
        <v>36</v>
      </c>
      <c r="F6" s="2">
        <v>36</v>
      </c>
      <c r="G6" s="2" t="s">
        <v>7660</v>
      </c>
      <c r="H6" s="2" t="s">
        <v>55</v>
      </c>
      <c r="I6" s="2"/>
      <c r="J6" s="2"/>
      <c r="K6" s="2" t="s">
        <v>2716</v>
      </c>
      <c r="L6" s="137" t="s">
        <v>2713</v>
      </c>
      <c r="M6" s="137" t="s">
        <v>532</v>
      </c>
      <c r="N6" s="137" t="s">
        <v>4480</v>
      </c>
      <c r="O6" s="2" t="s">
        <v>87</v>
      </c>
      <c r="P6" s="2"/>
      <c r="Q6" s="137" t="s">
        <v>7395</v>
      </c>
      <c r="R6" s="19">
        <v>45565</v>
      </c>
      <c r="S6" s="2" t="s">
        <v>684</v>
      </c>
      <c r="T6" s="19">
        <v>44235</v>
      </c>
      <c r="U6" s="21">
        <v>44235</v>
      </c>
      <c r="V6" s="21" t="s">
        <v>4246</v>
      </c>
      <c r="W6" s="21" t="s">
        <v>4088</v>
      </c>
      <c r="X6" s="19" t="s">
        <v>4931</v>
      </c>
      <c r="Y6" s="141"/>
      <c r="Z6" s="141"/>
    </row>
    <row r="7" spans="1:26" customFormat="1" x14ac:dyDescent="0.2">
      <c r="A7" s="129" t="s">
        <v>5144</v>
      </c>
      <c r="B7" s="2" t="s">
        <v>1247</v>
      </c>
      <c r="C7" s="2" t="s">
        <v>1124</v>
      </c>
      <c r="D7" s="19">
        <v>42576</v>
      </c>
      <c r="E7" s="2">
        <v>20</v>
      </c>
      <c r="F7" s="2">
        <v>20</v>
      </c>
      <c r="G7" s="2" t="s">
        <v>7661</v>
      </c>
      <c r="H7" s="2" t="s">
        <v>55</v>
      </c>
      <c r="I7" s="2"/>
      <c r="J7" s="2"/>
      <c r="K7" s="2" t="s">
        <v>2798</v>
      </c>
      <c r="L7" s="137" t="s">
        <v>2713</v>
      </c>
      <c r="M7" s="137" t="s">
        <v>471</v>
      </c>
      <c r="N7" s="137" t="s">
        <v>1141</v>
      </c>
      <c r="O7" s="2" t="s">
        <v>157</v>
      </c>
      <c r="P7" s="2"/>
      <c r="Q7" s="137" t="s">
        <v>7395</v>
      </c>
      <c r="R7" s="19">
        <v>46203</v>
      </c>
      <c r="S7" s="2" t="s">
        <v>1385</v>
      </c>
      <c r="T7" s="19">
        <v>44022</v>
      </c>
      <c r="U7" s="21">
        <v>43985</v>
      </c>
      <c r="V7" s="21" t="s">
        <v>4499</v>
      </c>
      <c r="W7" s="21" t="s">
        <v>4073</v>
      </c>
      <c r="X7" s="19" t="s">
        <v>4653</v>
      </c>
      <c r="Y7" s="141"/>
      <c r="Z7" s="141"/>
    </row>
    <row r="8" spans="1:26" customFormat="1" x14ac:dyDescent="0.2">
      <c r="A8" s="129" t="s">
        <v>5148</v>
      </c>
      <c r="B8" s="2" t="s">
        <v>4947</v>
      </c>
      <c r="C8" s="2" t="s">
        <v>1155</v>
      </c>
      <c r="D8" s="19">
        <v>42614</v>
      </c>
      <c r="E8" s="2">
        <v>126</v>
      </c>
      <c r="F8" s="2">
        <v>126</v>
      </c>
      <c r="G8" s="2" t="s">
        <v>7660</v>
      </c>
      <c r="H8" s="2" t="s">
        <v>124</v>
      </c>
      <c r="I8" s="2"/>
      <c r="J8" s="2"/>
      <c r="K8" s="2" t="s">
        <v>2739</v>
      </c>
      <c r="L8" s="137" t="s">
        <v>2713</v>
      </c>
      <c r="M8" s="137" t="s">
        <v>540</v>
      </c>
      <c r="N8" s="137" t="s">
        <v>1404</v>
      </c>
      <c r="O8" s="2" t="s">
        <v>157</v>
      </c>
      <c r="P8" s="2"/>
      <c r="Q8" s="137" t="s">
        <v>7395</v>
      </c>
      <c r="R8" s="19">
        <v>45930</v>
      </c>
      <c r="S8" s="2" t="s">
        <v>684</v>
      </c>
      <c r="T8" s="19">
        <v>44937</v>
      </c>
      <c r="U8" s="21">
        <v>44937</v>
      </c>
      <c r="V8" s="21" t="s">
        <v>4516</v>
      </c>
      <c r="W8" s="21" t="s">
        <v>4173</v>
      </c>
      <c r="X8" s="19" t="s">
        <v>4273</v>
      </c>
      <c r="Y8" s="141"/>
      <c r="Z8" s="141"/>
    </row>
    <row r="9" spans="1:26" customFormat="1" x14ac:dyDescent="0.2">
      <c r="A9" s="129" t="s">
        <v>5149</v>
      </c>
      <c r="B9" s="2" t="s">
        <v>1632</v>
      </c>
      <c r="C9" s="2" t="s">
        <v>1731</v>
      </c>
      <c r="D9" s="19">
        <v>42619</v>
      </c>
      <c r="E9" s="2">
        <v>20</v>
      </c>
      <c r="F9" s="2">
        <v>20</v>
      </c>
      <c r="G9" s="2" t="s">
        <v>7661</v>
      </c>
      <c r="H9" s="2" t="s">
        <v>55</v>
      </c>
      <c r="I9" s="2"/>
      <c r="J9" s="2"/>
      <c r="K9" s="2" t="s">
        <v>2777</v>
      </c>
      <c r="L9" s="137" t="s">
        <v>2713</v>
      </c>
      <c r="M9" s="137" t="s">
        <v>539</v>
      </c>
      <c r="N9" s="137" t="s">
        <v>1156</v>
      </c>
      <c r="O9" s="2" t="s">
        <v>2558</v>
      </c>
      <c r="P9" s="2"/>
      <c r="Q9" s="137" t="s">
        <v>7395</v>
      </c>
      <c r="R9" s="19">
        <v>45808</v>
      </c>
      <c r="S9" s="2" t="s">
        <v>1385</v>
      </c>
      <c r="T9" s="19">
        <v>43879</v>
      </c>
      <c r="U9" s="21">
        <v>43854</v>
      </c>
      <c r="V9" s="21" t="s">
        <v>4516</v>
      </c>
      <c r="W9" s="21" t="s">
        <v>4143</v>
      </c>
      <c r="X9" s="19" t="s">
        <v>4168</v>
      </c>
      <c r="Y9" s="141"/>
      <c r="Z9" s="141"/>
    </row>
    <row r="10" spans="1:26" customFormat="1" x14ac:dyDescent="0.2">
      <c r="A10" s="129" t="s">
        <v>5150</v>
      </c>
      <c r="B10" s="2" t="s">
        <v>1633</v>
      </c>
      <c r="C10" s="2" t="s">
        <v>1634</v>
      </c>
      <c r="D10" s="19">
        <v>42619</v>
      </c>
      <c r="E10" s="2">
        <v>10</v>
      </c>
      <c r="F10" s="2">
        <v>10</v>
      </c>
      <c r="G10" s="2" t="s">
        <v>7661</v>
      </c>
      <c r="H10" s="2" t="s">
        <v>55</v>
      </c>
      <c r="I10" s="2"/>
      <c r="J10" s="2"/>
      <c r="K10" s="2" t="s">
        <v>2777</v>
      </c>
      <c r="L10" s="137" t="s">
        <v>2713</v>
      </c>
      <c r="M10" s="137" t="s">
        <v>539</v>
      </c>
      <c r="N10" s="137" t="s">
        <v>4481</v>
      </c>
      <c r="O10" s="2" t="s">
        <v>2558</v>
      </c>
      <c r="P10" s="2"/>
      <c r="Q10" s="137" t="s">
        <v>7395</v>
      </c>
      <c r="R10" s="19">
        <v>45808</v>
      </c>
      <c r="S10" s="2" t="s">
        <v>1385</v>
      </c>
      <c r="T10" s="19">
        <v>43879</v>
      </c>
      <c r="U10" s="21">
        <v>43854</v>
      </c>
      <c r="V10" s="21" t="s">
        <v>4516</v>
      </c>
      <c r="W10" s="21" t="s">
        <v>4143</v>
      </c>
      <c r="X10" s="19" t="s">
        <v>4168</v>
      </c>
      <c r="Y10" s="141"/>
      <c r="Z10" s="141"/>
    </row>
    <row r="11" spans="1:26" customFormat="1" x14ac:dyDescent="0.2">
      <c r="A11" s="129" t="s">
        <v>5151</v>
      </c>
      <c r="B11" s="2" t="s">
        <v>1146</v>
      </c>
      <c r="C11" s="2" t="s">
        <v>1147</v>
      </c>
      <c r="D11" s="19">
        <v>42629</v>
      </c>
      <c r="E11" s="2">
        <v>20</v>
      </c>
      <c r="F11" s="2">
        <v>20</v>
      </c>
      <c r="G11" s="2" t="s">
        <v>7661</v>
      </c>
      <c r="H11" s="2" t="s">
        <v>55</v>
      </c>
      <c r="I11" s="2"/>
      <c r="J11" s="2"/>
      <c r="K11" s="2" t="s">
        <v>2717</v>
      </c>
      <c r="L11" s="137" t="s">
        <v>2713</v>
      </c>
      <c r="M11" s="137" t="s">
        <v>539</v>
      </c>
      <c r="N11" s="137" t="s">
        <v>1159</v>
      </c>
      <c r="O11" s="2" t="s">
        <v>1162</v>
      </c>
      <c r="P11" s="2"/>
      <c r="Q11" s="137" t="s">
        <v>7395</v>
      </c>
      <c r="R11" s="19">
        <v>46203</v>
      </c>
      <c r="S11" s="2" t="s">
        <v>1384</v>
      </c>
      <c r="T11" s="19">
        <v>44225</v>
      </c>
      <c r="U11" s="21">
        <v>44181</v>
      </c>
      <c r="V11" s="21" t="s">
        <v>6093</v>
      </c>
      <c r="W11" s="21" t="s">
        <v>4138</v>
      </c>
      <c r="X11" s="19" t="s">
        <v>4246</v>
      </c>
      <c r="Y11" s="141"/>
      <c r="Z11" s="141"/>
    </row>
    <row r="12" spans="1:26" customFormat="1" x14ac:dyDescent="0.2">
      <c r="A12" s="129" t="s">
        <v>5154</v>
      </c>
      <c r="B12" s="2" t="s">
        <v>3560</v>
      </c>
      <c r="C12" s="2" t="s">
        <v>1166</v>
      </c>
      <c r="D12" s="19">
        <v>45987</v>
      </c>
      <c r="E12" s="2">
        <v>20</v>
      </c>
      <c r="F12" s="2">
        <v>20</v>
      </c>
      <c r="G12" s="2" t="s">
        <v>7661</v>
      </c>
      <c r="H12" s="2" t="s">
        <v>55</v>
      </c>
      <c r="I12" s="2"/>
      <c r="J12" s="2"/>
      <c r="K12" s="2" t="s">
        <v>2737</v>
      </c>
      <c r="L12" s="137" t="s">
        <v>2713</v>
      </c>
      <c r="M12" s="137" t="s">
        <v>530</v>
      </c>
      <c r="N12" s="137" t="s">
        <v>1403</v>
      </c>
      <c r="O12" s="2" t="s">
        <v>157</v>
      </c>
      <c r="P12" s="2"/>
      <c r="Q12" s="137" t="s">
        <v>7395</v>
      </c>
      <c r="R12" s="19">
        <v>46203</v>
      </c>
      <c r="S12" s="2" t="s">
        <v>1384</v>
      </c>
      <c r="T12" s="19">
        <v>43928</v>
      </c>
      <c r="U12" s="21">
        <v>43872</v>
      </c>
      <c r="V12" s="21" t="s">
        <v>4931</v>
      </c>
      <c r="W12" s="21" t="s">
        <v>4088</v>
      </c>
      <c r="X12" s="19" t="s">
        <v>4602</v>
      </c>
      <c r="Y12" s="141"/>
      <c r="Z12" s="141"/>
    </row>
    <row r="13" spans="1:26" customFormat="1" x14ac:dyDescent="0.2">
      <c r="A13" s="129" t="s">
        <v>5155</v>
      </c>
      <c r="B13" s="2" t="s">
        <v>7611</v>
      </c>
      <c r="C13" s="2" t="s">
        <v>1168</v>
      </c>
      <c r="D13" s="19">
        <v>45986</v>
      </c>
      <c r="E13" s="2">
        <v>20</v>
      </c>
      <c r="F13" s="2">
        <v>20</v>
      </c>
      <c r="G13" s="2" t="s">
        <v>7661</v>
      </c>
      <c r="H13" s="2" t="s">
        <v>55</v>
      </c>
      <c r="I13" s="2"/>
      <c r="J13" s="2"/>
      <c r="K13" s="2" t="s">
        <v>2766</v>
      </c>
      <c r="L13" s="137" t="s">
        <v>2713</v>
      </c>
      <c r="M13" s="137" t="s">
        <v>393</v>
      </c>
      <c r="N13" s="137" t="s">
        <v>4482</v>
      </c>
      <c r="O13" s="2" t="s">
        <v>34</v>
      </c>
      <c r="P13" s="2"/>
      <c r="Q13" s="137" t="s">
        <v>7396</v>
      </c>
      <c r="R13" s="19">
        <v>46203</v>
      </c>
      <c r="S13" s="2" t="s">
        <v>1385</v>
      </c>
      <c r="T13" s="19">
        <v>43637</v>
      </c>
      <c r="U13" s="21">
        <v>43593</v>
      </c>
      <c r="V13" s="21" t="s">
        <v>4119</v>
      </c>
      <c r="W13" s="21" t="s">
        <v>4137</v>
      </c>
      <c r="X13" s="19" t="s">
        <v>4499</v>
      </c>
      <c r="Y13" s="141"/>
      <c r="Z13" s="141"/>
    </row>
    <row r="14" spans="1:26" customFormat="1" x14ac:dyDescent="0.2">
      <c r="A14" s="129" t="s">
        <v>5156</v>
      </c>
      <c r="B14" s="2" t="s">
        <v>7517</v>
      </c>
      <c r="C14" s="2" t="s">
        <v>1169</v>
      </c>
      <c r="D14" s="19">
        <v>42682</v>
      </c>
      <c r="E14" s="2">
        <v>20</v>
      </c>
      <c r="F14" s="2">
        <v>20</v>
      </c>
      <c r="G14" s="2" t="s">
        <v>7661</v>
      </c>
      <c r="H14" s="2" t="s">
        <v>55</v>
      </c>
      <c r="I14" s="2"/>
      <c r="J14" s="2"/>
      <c r="K14" s="2" t="s">
        <v>2737</v>
      </c>
      <c r="L14" s="137" t="s">
        <v>2713</v>
      </c>
      <c r="M14" s="137" t="s">
        <v>530</v>
      </c>
      <c r="N14" s="137" t="s">
        <v>1388</v>
      </c>
      <c r="O14" s="2" t="s">
        <v>157</v>
      </c>
      <c r="P14" s="2"/>
      <c r="Q14" s="137" t="s">
        <v>7396</v>
      </c>
      <c r="R14" s="19">
        <v>46203</v>
      </c>
      <c r="S14" s="2" t="s">
        <v>1385</v>
      </c>
      <c r="T14" s="19">
        <v>43879</v>
      </c>
      <c r="U14" s="21">
        <v>43794</v>
      </c>
      <c r="V14" s="21" t="s">
        <v>4073</v>
      </c>
      <c r="W14" s="21" t="s">
        <v>4086</v>
      </c>
      <c r="X14" s="19" t="s">
        <v>4653</v>
      </c>
      <c r="Y14" s="141"/>
      <c r="Z14" s="141"/>
    </row>
    <row r="15" spans="1:26" customFormat="1" x14ac:dyDescent="0.2">
      <c r="A15" s="129" t="s">
        <v>5157</v>
      </c>
      <c r="B15" s="2" t="s">
        <v>7300</v>
      </c>
      <c r="C15" s="2" t="s">
        <v>1173</v>
      </c>
      <c r="D15" s="19">
        <v>42706</v>
      </c>
      <c r="E15" s="2">
        <v>18</v>
      </c>
      <c r="F15" s="2">
        <v>18</v>
      </c>
      <c r="G15" s="2" t="s">
        <v>7661</v>
      </c>
      <c r="H15" s="2" t="s">
        <v>55</v>
      </c>
      <c r="I15" s="2"/>
      <c r="J15" s="2"/>
      <c r="K15" s="2" t="s">
        <v>2766</v>
      </c>
      <c r="L15" s="137" t="s">
        <v>2713</v>
      </c>
      <c r="M15" s="137" t="s">
        <v>393</v>
      </c>
      <c r="N15" s="137" t="s">
        <v>4483</v>
      </c>
      <c r="O15" s="2" t="s">
        <v>34</v>
      </c>
      <c r="P15" s="2"/>
      <c r="Q15" s="137" t="s">
        <v>7396</v>
      </c>
      <c r="R15" s="19">
        <v>46203</v>
      </c>
      <c r="S15" s="2" t="s">
        <v>1385</v>
      </c>
      <c r="T15" s="19">
        <v>43607</v>
      </c>
      <c r="U15" s="21">
        <v>43545</v>
      </c>
      <c r="V15" s="21" t="s">
        <v>4168</v>
      </c>
      <c r="W15" s="21" t="s">
        <v>4168</v>
      </c>
      <c r="X15" s="19" t="s">
        <v>4246</v>
      </c>
      <c r="Y15" s="141"/>
      <c r="Z15" s="141"/>
    </row>
    <row r="16" spans="1:26" customFormat="1" x14ac:dyDescent="0.2">
      <c r="A16" s="129" t="s">
        <v>5160</v>
      </c>
      <c r="B16" s="2" t="s">
        <v>4058</v>
      </c>
      <c r="C16" s="2" t="s">
        <v>1184</v>
      </c>
      <c r="D16" s="19">
        <v>42739</v>
      </c>
      <c r="E16" s="2">
        <v>339.1</v>
      </c>
      <c r="F16" s="2">
        <v>339.1</v>
      </c>
      <c r="G16" s="2" t="s">
        <v>7660</v>
      </c>
      <c r="H16" s="2" t="s">
        <v>124</v>
      </c>
      <c r="I16" s="2"/>
      <c r="J16" s="2"/>
      <c r="K16" s="2" t="s">
        <v>2741</v>
      </c>
      <c r="L16" s="137" t="s">
        <v>2713</v>
      </c>
      <c r="M16" s="137" t="s">
        <v>531</v>
      </c>
      <c r="N16" s="137" t="s">
        <v>1400</v>
      </c>
      <c r="O16" s="2" t="s">
        <v>157</v>
      </c>
      <c r="P16" s="2"/>
      <c r="Q16" s="137" t="s">
        <v>7396</v>
      </c>
      <c r="R16" s="19">
        <v>46173</v>
      </c>
      <c r="S16" s="2" t="s">
        <v>255</v>
      </c>
      <c r="T16" s="19">
        <v>44235</v>
      </c>
      <c r="U16" s="21">
        <v>44235</v>
      </c>
      <c r="V16" s="21" t="s">
        <v>4137</v>
      </c>
      <c r="W16" s="21" t="s">
        <v>4137</v>
      </c>
      <c r="X16" s="19" t="s">
        <v>4073</v>
      </c>
      <c r="Y16" s="141"/>
      <c r="Z16" s="141"/>
    </row>
    <row r="17" spans="1:26" customFormat="1" x14ac:dyDescent="0.2">
      <c r="A17" s="129" t="s">
        <v>5163</v>
      </c>
      <c r="B17" s="2" t="s">
        <v>5045</v>
      </c>
      <c r="C17" s="2" t="s">
        <v>1207</v>
      </c>
      <c r="D17" s="19">
        <v>42821</v>
      </c>
      <c r="E17" s="2">
        <v>50</v>
      </c>
      <c r="F17" s="2">
        <v>50</v>
      </c>
      <c r="G17" s="2" t="s">
        <v>7660</v>
      </c>
      <c r="H17" s="2" t="s">
        <v>55</v>
      </c>
      <c r="I17" s="2"/>
      <c r="J17" s="2"/>
      <c r="K17" s="2" t="s">
        <v>2799</v>
      </c>
      <c r="L17" s="137" t="s">
        <v>2713</v>
      </c>
      <c r="M17" s="137" t="s">
        <v>393</v>
      </c>
      <c r="N17" s="137" t="s">
        <v>1230</v>
      </c>
      <c r="O17" s="2" t="s">
        <v>34</v>
      </c>
      <c r="P17" s="2"/>
      <c r="Q17" s="137" t="s">
        <v>7395</v>
      </c>
      <c r="R17" s="19">
        <v>45688</v>
      </c>
      <c r="S17" s="2" t="s">
        <v>255</v>
      </c>
      <c r="T17" s="19">
        <v>44169</v>
      </c>
      <c r="U17" s="21">
        <v>44235</v>
      </c>
      <c r="V17" s="21" t="s">
        <v>4087</v>
      </c>
      <c r="W17" s="21" t="s">
        <v>7208</v>
      </c>
      <c r="X17" s="19" t="s">
        <v>4602</v>
      </c>
      <c r="Y17" s="141"/>
      <c r="Z17" s="141"/>
    </row>
    <row r="18" spans="1:26" customFormat="1" x14ac:dyDescent="0.2">
      <c r="A18" s="129" t="s">
        <v>5165</v>
      </c>
      <c r="B18" s="2" t="s">
        <v>7301</v>
      </c>
      <c r="C18" s="2" t="s">
        <v>7302</v>
      </c>
      <c r="D18" s="19">
        <v>42821</v>
      </c>
      <c r="E18" s="2">
        <v>180</v>
      </c>
      <c r="F18" s="2">
        <v>180</v>
      </c>
      <c r="G18" s="2" t="s">
        <v>7660</v>
      </c>
      <c r="H18" s="2" t="s">
        <v>55</v>
      </c>
      <c r="I18" s="2"/>
      <c r="J18" s="2"/>
      <c r="K18" s="2" t="s">
        <v>2800</v>
      </c>
      <c r="L18" s="137" t="s">
        <v>2713</v>
      </c>
      <c r="M18" s="137" t="s">
        <v>420</v>
      </c>
      <c r="N18" s="137" t="s">
        <v>1390</v>
      </c>
      <c r="O18" s="2" t="s">
        <v>41</v>
      </c>
      <c r="P18" s="2"/>
      <c r="Q18" s="137" t="s">
        <v>7395</v>
      </c>
      <c r="R18" s="19">
        <v>45716</v>
      </c>
      <c r="S18" s="2" t="s">
        <v>684</v>
      </c>
      <c r="T18" s="19">
        <v>44235</v>
      </c>
      <c r="U18" s="21">
        <v>44235</v>
      </c>
      <c r="V18" s="21" t="s">
        <v>4149</v>
      </c>
      <c r="W18" s="21" t="s">
        <v>4149</v>
      </c>
      <c r="X18" s="19" t="s">
        <v>4602</v>
      </c>
      <c r="Y18" s="141"/>
      <c r="Z18" s="141"/>
    </row>
    <row r="19" spans="1:26" customFormat="1" x14ac:dyDescent="0.2">
      <c r="A19" s="129" t="s">
        <v>5167</v>
      </c>
      <c r="B19" s="2" t="s">
        <v>1258</v>
      </c>
      <c r="C19" s="2" t="s">
        <v>1255</v>
      </c>
      <c r="D19" s="19">
        <v>42915</v>
      </c>
      <c r="E19" s="2">
        <v>100</v>
      </c>
      <c r="F19" s="2">
        <v>100</v>
      </c>
      <c r="G19" s="2" t="s">
        <v>7660</v>
      </c>
      <c r="H19" s="2" t="s">
        <v>55</v>
      </c>
      <c r="I19" s="2"/>
      <c r="J19" s="2"/>
      <c r="K19" s="2" t="s">
        <v>2777</v>
      </c>
      <c r="L19" s="137" t="s">
        <v>2713</v>
      </c>
      <c r="M19" s="137" t="s">
        <v>539</v>
      </c>
      <c r="N19" s="137" t="s">
        <v>2621</v>
      </c>
      <c r="O19" s="2" t="s">
        <v>157</v>
      </c>
      <c r="P19" s="2"/>
      <c r="Q19" s="137" t="s">
        <v>7395</v>
      </c>
      <c r="R19" s="19">
        <v>46203</v>
      </c>
      <c r="S19" s="2" t="s">
        <v>684</v>
      </c>
      <c r="T19" s="19">
        <v>44235</v>
      </c>
      <c r="U19" s="21">
        <v>44235</v>
      </c>
      <c r="V19" s="21" t="s">
        <v>4088</v>
      </c>
      <c r="W19" s="21" t="s">
        <v>4088</v>
      </c>
      <c r="X19" s="19" t="s">
        <v>4602</v>
      </c>
      <c r="Y19" s="141"/>
      <c r="Z19" s="141"/>
    </row>
    <row r="20" spans="1:26" customFormat="1" x14ac:dyDescent="0.2">
      <c r="A20" s="129" t="s">
        <v>5169</v>
      </c>
      <c r="B20" s="2" t="s">
        <v>1190</v>
      </c>
      <c r="C20" s="2" t="s">
        <v>1191</v>
      </c>
      <c r="D20" s="19">
        <v>42942</v>
      </c>
      <c r="E20" s="2">
        <v>60</v>
      </c>
      <c r="F20" s="2">
        <v>60</v>
      </c>
      <c r="G20" s="2" t="s">
        <v>7660</v>
      </c>
      <c r="H20" s="2" t="s">
        <v>55</v>
      </c>
      <c r="I20" s="2"/>
      <c r="J20" s="2"/>
      <c r="K20" s="2" t="s">
        <v>2769</v>
      </c>
      <c r="L20" s="137" t="s">
        <v>2713</v>
      </c>
      <c r="M20" s="137" t="s">
        <v>471</v>
      </c>
      <c r="N20" s="137" t="s">
        <v>4486</v>
      </c>
      <c r="O20" s="2" t="s">
        <v>34</v>
      </c>
      <c r="P20" s="2"/>
      <c r="Q20" s="137" t="s">
        <v>7395</v>
      </c>
      <c r="R20" s="19">
        <v>45473</v>
      </c>
      <c r="S20" s="2" t="s">
        <v>684</v>
      </c>
      <c r="T20" s="19">
        <v>44235</v>
      </c>
      <c r="U20" s="21">
        <v>44235</v>
      </c>
      <c r="V20" s="21" t="s">
        <v>4073</v>
      </c>
      <c r="W20" s="21" t="s">
        <v>4073</v>
      </c>
      <c r="X20" s="19" t="s">
        <v>5849</v>
      </c>
      <c r="Y20" s="141"/>
      <c r="Z20" s="141"/>
    </row>
    <row r="21" spans="1:26" customFormat="1" x14ac:dyDescent="0.2">
      <c r="A21" s="129" t="s">
        <v>6178</v>
      </c>
      <c r="B21" s="2" t="s">
        <v>6179</v>
      </c>
      <c r="C21" s="2" t="s">
        <v>6179</v>
      </c>
      <c r="D21" s="19">
        <v>42999</v>
      </c>
      <c r="E21" s="2">
        <v>20</v>
      </c>
      <c r="F21" s="2">
        <v>20</v>
      </c>
      <c r="G21" s="2" t="s">
        <v>7661</v>
      </c>
      <c r="H21" s="2" t="s">
        <v>55</v>
      </c>
      <c r="I21" s="2"/>
      <c r="J21" s="2"/>
      <c r="K21" s="2" t="s">
        <v>6180</v>
      </c>
      <c r="L21" s="137" t="s">
        <v>2713</v>
      </c>
      <c r="M21" s="137" t="s">
        <v>530</v>
      </c>
      <c r="N21" s="137" t="s">
        <v>6181</v>
      </c>
      <c r="O21" s="2" t="s">
        <v>157</v>
      </c>
      <c r="P21" s="2"/>
      <c r="Q21" s="137" t="s">
        <v>7395</v>
      </c>
      <c r="R21" s="19">
        <v>45138</v>
      </c>
      <c r="S21" s="2" t="s">
        <v>1384</v>
      </c>
      <c r="T21" s="19">
        <v>44056</v>
      </c>
      <c r="U21" s="21">
        <v>44043</v>
      </c>
      <c r="V21" s="21" t="s">
        <v>6182</v>
      </c>
      <c r="W21" s="21" t="s">
        <v>6183</v>
      </c>
      <c r="X21" s="19" t="s">
        <v>6184</v>
      </c>
      <c r="Y21" s="141"/>
      <c r="Z21" s="141"/>
    </row>
    <row r="22" spans="1:26" customFormat="1" x14ac:dyDescent="0.2">
      <c r="A22" s="129" t="s">
        <v>5173</v>
      </c>
      <c r="B22" s="2" t="s">
        <v>1349</v>
      </c>
      <c r="C22" s="2" t="s">
        <v>1347</v>
      </c>
      <c r="D22" s="19">
        <v>43118</v>
      </c>
      <c r="E22" s="2">
        <v>200</v>
      </c>
      <c r="F22" s="2">
        <v>200</v>
      </c>
      <c r="G22" s="2" t="s">
        <v>7660</v>
      </c>
      <c r="H22" s="2" t="s">
        <v>615</v>
      </c>
      <c r="I22" s="2">
        <v>800</v>
      </c>
      <c r="J22" s="2">
        <v>4</v>
      </c>
      <c r="K22" s="2" t="s">
        <v>2736</v>
      </c>
      <c r="L22" s="137" t="s">
        <v>2713</v>
      </c>
      <c r="M22" s="137" t="s">
        <v>539</v>
      </c>
      <c r="N22" s="137" t="s">
        <v>4488</v>
      </c>
      <c r="O22" s="2" t="s">
        <v>2558</v>
      </c>
      <c r="P22" s="2"/>
      <c r="Q22" s="137" t="s">
        <v>7395</v>
      </c>
      <c r="R22" s="19">
        <v>46203</v>
      </c>
      <c r="S22" s="2" t="s">
        <v>255</v>
      </c>
      <c r="T22" s="19">
        <v>44271</v>
      </c>
      <c r="U22" s="21">
        <v>44235</v>
      </c>
      <c r="V22" s="21" t="s">
        <v>4516</v>
      </c>
      <c r="W22" s="21" t="s">
        <v>4516</v>
      </c>
      <c r="X22" s="19" t="s">
        <v>4168</v>
      </c>
      <c r="Y22" s="141"/>
      <c r="Z22" s="141"/>
    </row>
    <row r="23" spans="1:26" customFormat="1" x14ac:dyDescent="0.2">
      <c r="A23" s="129" t="s">
        <v>5177</v>
      </c>
      <c r="B23" s="2" t="s">
        <v>1380</v>
      </c>
      <c r="C23" s="2" t="s">
        <v>1381</v>
      </c>
      <c r="D23" s="19">
        <v>43179</v>
      </c>
      <c r="E23" s="2">
        <v>100</v>
      </c>
      <c r="F23" s="2">
        <v>100</v>
      </c>
      <c r="G23" s="2" t="s">
        <v>7660</v>
      </c>
      <c r="H23" s="2" t="s">
        <v>55</v>
      </c>
      <c r="I23" s="2"/>
      <c r="J23" s="2"/>
      <c r="K23" s="2" t="s">
        <v>2722</v>
      </c>
      <c r="L23" s="137" t="s">
        <v>2713</v>
      </c>
      <c r="M23" s="137" t="s">
        <v>531</v>
      </c>
      <c r="N23" s="137" t="s">
        <v>2483</v>
      </c>
      <c r="O23" s="2" t="s">
        <v>157</v>
      </c>
      <c r="P23" s="2"/>
      <c r="Q23" s="137" t="s">
        <v>5137</v>
      </c>
      <c r="R23" s="19">
        <v>45716</v>
      </c>
      <c r="S23" s="2" t="s">
        <v>255</v>
      </c>
      <c r="T23" s="19">
        <v>44235</v>
      </c>
      <c r="U23" s="21">
        <v>44235</v>
      </c>
      <c r="V23" s="21" t="s">
        <v>4088</v>
      </c>
      <c r="W23" s="21" t="s">
        <v>4602</v>
      </c>
      <c r="X23" s="19" t="s">
        <v>4602</v>
      </c>
      <c r="Y23" s="141"/>
      <c r="Z23" s="141"/>
    </row>
    <row r="24" spans="1:26" customFormat="1" x14ac:dyDescent="0.2">
      <c r="A24" s="129" t="s">
        <v>5179</v>
      </c>
      <c r="B24" s="2" t="s">
        <v>4501</v>
      </c>
      <c r="C24" s="2" t="s">
        <v>1488</v>
      </c>
      <c r="D24" s="19">
        <v>43249</v>
      </c>
      <c r="E24" s="2">
        <v>180</v>
      </c>
      <c r="F24" s="2">
        <v>180</v>
      </c>
      <c r="G24" s="2" t="s">
        <v>7660</v>
      </c>
      <c r="H24" s="2" t="s">
        <v>55</v>
      </c>
      <c r="I24" s="2"/>
      <c r="J24" s="2"/>
      <c r="K24" s="2" t="s">
        <v>2731</v>
      </c>
      <c r="L24" s="137" t="s">
        <v>2713</v>
      </c>
      <c r="M24" s="137" t="s">
        <v>540</v>
      </c>
      <c r="N24" s="137" t="s">
        <v>4489</v>
      </c>
      <c r="O24" s="2" t="s">
        <v>157</v>
      </c>
      <c r="P24" s="2"/>
      <c r="Q24" s="137" t="s">
        <v>7395</v>
      </c>
      <c r="R24" s="19">
        <v>45961</v>
      </c>
      <c r="S24" s="2" t="s">
        <v>4332</v>
      </c>
      <c r="T24" s="19">
        <v>44937</v>
      </c>
      <c r="U24" s="21">
        <v>44937</v>
      </c>
      <c r="V24" s="21" t="s">
        <v>4149</v>
      </c>
      <c r="W24" s="21" t="s">
        <v>4149</v>
      </c>
      <c r="X24" s="19" t="s">
        <v>4603</v>
      </c>
      <c r="Y24" s="141"/>
      <c r="Z24" s="141"/>
    </row>
    <row r="25" spans="1:26" customFormat="1" x14ac:dyDescent="0.2">
      <c r="A25" s="129" t="s">
        <v>5180</v>
      </c>
      <c r="B25" s="2" t="s">
        <v>7303</v>
      </c>
      <c r="C25" s="2" t="s">
        <v>1586</v>
      </c>
      <c r="D25" s="19">
        <v>43255</v>
      </c>
      <c r="E25" s="2">
        <v>93.5</v>
      </c>
      <c r="F25" s="2">
        <v>93.5</v>
      </c>
      <c r="G25" s="2" t="s">
        <v>7660</v>
      </c>
      <c r="H25" s="2" t="s">
        <v>55</v>
      </c>
      <c r="I25" s="2"/>
      <c r="J25" s="2"/>
      <c r="K25" s="2" t="s">
        <v>2838</v>
      </c>
      <c r="L25" s="2" t="s">
        <v>2713</v>
      </c>
      <c r="M25" s="137" t="s">
        <v>393</v>
      </c>
      <c r="N25" s="137" t="s">
        <v>4490</v>
      </c>
      <c r="O25" s="2" t="s">
        <v>34</v>
      </c>
      <c r="P25" s="2"/>
      <c r="Q25" s="137" t="s">
        <v>7395</v>
      </c>
      <c r="R25" s="19">
        <v>45961</v>
      </c>
      <c r="S25" s="2" t="s">
        <v>684</v>
      </c>
      <c r="T25" s="19">
        <v>45671</v>
      </c>
      <c r="U25" s="21">
        <v>45642</v>
      </c>
      <c r="V25" s="21" t="s">
        <v>6211</v>
      </c>
      <c r="W25" s="21" t="s">
        <v>6211</v>
      </c>
      <c r="X25" s="19" t="s">
        <v>6373</v>
      </c>
      <c r="Y25" s="141"/>
      <c r="Z25" s="141"/>
    </row>
    <row r="26" spans="1:26" customFormat="1" x14ac:dyDescent="0.2">
      <c r="A26" s="129" t="s">
        <v>5182</v>
      </c>
      <c r="B26" s="2" t="s">
        <v>3873</v>
      </c>
      <c r="C26" s="2" t="s">
        <v>3867</v>
      </c>
      <c r="D26" s="19">
        <v>43258</v>
      </c>
      <c r="E26" s="2">
        <v>79.8</v>
      </c>
      <c r="F26" s="2">
        <v>79.8</v>
      </c>
      <c r="G26" s="2" t="s">
        <v>7660</v>
      </c>
      <c r="H26" s="2" t="s">
        <v>55</v>
      </c>
      <c r="I26" s="2"/>
      <c r="J26" s="2"/>
      <c r="K26" s="2" t="s">
        <v>401</v>
      </c>
      <c r="L26" s="2" t="s">
        <v>2713</v>
      </c>
      <c r="M26" s="137" t="s">
        <v>393</v>
      </c>
      <c r="N26" s="137" t="s">
        <v>2488</v>
      </c>
      <c r="O26" s="2" t="s">
        <v>34</v>
      </c>
      <c r="P26" s="2"/>
      <c r="Q26" s="137" t="s">
        <v>7395</v>
      </c>
      <c r="R26" s="19">
        <v>45688</v>
      </c>
      <c r="S26" s="2" t="s">
        <v>255</v>
      </c>
      <c r="T26" s="19">
        <v>44235</v>
      </c>
      <c r="U26" s="21">
        <v>44235</v>
      </c>
      <c r="V26" s="21" t="s">
        <v>4602</v>
      </c>
      <c r="W26" s="21" t="s">
        <v>4087</v>
      </c>
      <c r="X26" s="19" t="s">
        <v>4602</v>
      </c>
      <c r="Y26" s="141"/>
      <c r="Z26" s="141"/>
    </row>
    <row r="27" spans="1:26" customFormat="1" x14ac:dyDescent="0.2">
      <c r="A27" s="129" t="s">
        <v>5183</v>
      </c>
      <c r="B27" s="2" t="s">
        <v>1431</v>
      </c>
      <c r="C27" s="2" t="s">
        <v>1434</v>
      </c>
      <c r="D27" s="19">
        <v>43258</v>
      </c>
      <c r="E27" s="2">
        <v>280</v>
      </c>
      <c r="F27" s="2">
        <v>280</v>
      </c>
      <c r="G27" s="2" t="s">
        <v>7660</v>
      </c>
      <c r="H27" s="2" t="s">
        <v>55</v>
      </c>
      <c r="I27" s="2"/>
      <c r="J27" s="2"/>
      <c r="K27" s="2" t="s">
        <v>2739</v>
      </c>
      <c r="L27" s="137" t="s">
        <v>2713</v>
      </c>
      <c r="M27" s="137" t="s">
        <v>540</v>
      </c>
      <c r="N27" s="137" t="s">
        <v>4090</v>
      </c>
      <c r="O27" s="2" t="s">
        <v>41</v>
      </c>
      <c r="P27" s="2"/>
      <c r="Q27" s="137" t="s">
        <v>7396</v>
      </c>
      <c r="R27" s="19">
        <v>46173</v>
      </c>
      <c r="S27" s="2" t="s">
        <v>255</v>
      </c>
      <c r="T27" s="19">
        <v>44218</v>
      </c>
      <c r="U27" s="21">
        <v>44235</v>
      </c>
      <c r="V27" s="21" t="s">
        <v>4137</v>
      </c>
      <c r="W27" s="21" t="s">
        <v>4137</v>
      </c>
      <c r="X27" s="19" t="s">
        <v>4086</v>
      </c>
      <c r="Y27" s="141"/>
      <c r="Z27" s="141"/>
    </row>
    <row r="28" spans="1:26" customFormat="1" x14ac:dyDescent="0.2">
      <c r="A28" s="129" t="s">
        <v>5184</v>
      </c>
      <c r="B28" s="2" t="s">
        <v>1443</v>
      </c>
      <c r="C28" s="2" t="s">
        <v>1456</v>
      </c>
      <c r="D28" s="19">
        <v>43263</v>
      </c>
      <c r="E28" s="2">
        <v>20</v>
      </c>
      <c r="F28" s="2">
        <v>20</v>
      </c>
      <c r="G28" s="2" t="s">
        <v>7661</v>
      </c>
      <c r="H28" s="2" t="s">
        <v>55</v>
      </c>
      <c r="I28" s="2"/>
      <c r="J28" s="2"/>
      <c r="K28" s="2" t="s">
        <v>2776</v>
      </c>
      <c r="L28" s="137" t="s">
        <v>2713</v>
      </c>
      <c r="M28" s="137" t="s">
        <v>471</v>
      </c>
      <c r="N28" s="137" t="s">
        <v>4091</v>
      </c>
      <c r="O28" s="2" t="s">
        <v>157</v>
      </c>
      <c r="P28" s="2"/>
      <c r="Q28" s="137" t="s">
        <v>7395</v>
      </c>
      <c r="R28" s="19">
        <v>46053</v>
      </c>
      <c r="S28" s="2" t="s">
        <v>1384</v>
      </c>
      <c r="T28" s="19">
        <v>44273</v>
      </c>
      <c r="U28" s="21">
        <v>44408</v>
      </c>
      <c r="V28" s="21" t="s">
        <v>4086</v>
      </c>
      <c r="W28" s="21" t="s">
        <v>4068</v>
      </c>
      <c r="X28" s="19" t="s">
        <v>4073</v>
      </c>
      <c r="Y28" s="141"/>
      <c r="Z28" s="141"/>
    </row>
    <row r="29" spans="1:26" customFormat="1" x14ac:dyDescent="0.2">
      <c r="A29" s="129" t="s">
        <v>5185</v>
      </c>
      <c r="B29" s="2" t="s">
        <v>3459</v>
      </c>
      <c r="C29" s="2" t="s">
        <v>4705</v>
      </c>
      <c r="D29" s="19">
        <v>43263</v>
      </c>
      <c r="E29" s="2">
        <v>816</v>
      </c>
      <c r="F29" s="2">
        <v>816</v>
      </c>
      <c r="G29" s="2" t="s">
        <v>7660</v>
      </c>
      <c r="H29" s="2" t="s">
        <v>124</v>
      </c>
      <c r="I29" s="2"/>
      <c r="J29" s="2"/>
      <c r="K29" s="2" t="s">
        <v>2715</v>
      </c>
      <c r="L29" s="137" t="s">
        <v>2713</v>
      </c>
      <c r="M29" s="137" t="s">
        <v>533</v>
      </c>
      <c r="N29" s="137" t="s">
        <v>1780</v>
      </c>
      <c r="O29" s="2" t="s">
        <v>403</v>
      </c>
      <c r="P29" s="2"/>
      <c r="Q29" s="137" t="s">
        <v>7396</v>
      </c>
      <c r="R29" s="19">
        <v>46203</v>
      </c>
      <c r="S29" s="2" t="s">
        <v>255</v>
      </c>
      <c r="T29" s="19">
        <v>44235</v>
      </c>
      <c r="U29" s="21">
        <v>44235</v>
      </c>
      <c r="V29" s="21" t="s">
        <v>4119</v>
      </c>
      <c r="W29" s="21" t="s">
        <v>4113</v>
      </c>
      <c r="X29" s="19" t="s">
        <v>4246</v>
      </c>
      <c r="Y29" s="141"/>
      <c r="Z29" s="141"/>
    </row>
    <row r="30" spans="1:26" customFormat="1" x14ac:dyDescent="0.2">
      <c r="A30" s="129" t="s">
        <v>5188</v>
      </c>
      <c r="B30" s="2" t="s">
        <v>3483</v>
      </c>
      <c r="C30" s="2" t="s">
        <v>4096</v>
      </c>
      <c r="D30" s="19">
        <v>43371</v>
      </c>
      <c r="E30" s="2">
        <v>880</v>
      </c>
      <c r="F30" s="2">
        <v>880</v>
      </c>
      <c r="G30" s="2" t="s">
        <v>7660</v>
      </c>
      <c r="H30" s="2" t="s">
        <v>124</v>
      </c>
      <c r="I30" s="2"/>
      <c r="J30" s="2"/>
      <c r="K30" s="2" t="s">
        <v>2716</v>
      </c>
      <c r="L30" s="137" t="s">
        <v>2713</v>
      </c>
      <c r="M30" s="137" t="s">
        <v>532</v>
      </c>
      <c r="N30" s="137" t="s">
        <v>4097</v>
      </c>
      <c r="O30" s="2" t="s">
        <v>87</v>
      </c>
      <c r="P30" s="2"/>
      <c r="Q30" s="137" t="s">
        <v>7396</v>
      </c>
      <c r="R30" s="19">
        <v>46203</v>
      </c>
      <c r="S30" s="2" t="s">
        <v>255</v>
      </c>
      <c r="T30" s="19">
        <v>44937</v>
      </c>
      <c r="U30" s="21">
        <v>44937</v>
      </c>
      <c r="V30" s="21" t="s">
        <v>4079</v>
      </c>
      <c r="W30" s="21" t="s">
        <v>4113</v>
      </c>
      <c r="X30" s="19" t="s">
        <v>4273</v>
      </c>
      <c r="Y30" s="141"/>
      <c r="Z30" s="141"/>
    </row>
    <row r="31" spans="1:26" customFormat="1" x14ac:dyDescent="0.2">
      <c r="A31" s="129" t="s">
        <v>5190</v>
      </c>
      <c r="B31" s="2" t="s">
        <v>7304</v>
      </c>
      <c r="C31" s="2" t="s">
        <v>6249</v>
      </c>
      <c r="D31" s="19">
        <v>43391</v>
      </c>
      <c r="E31" s="2">
        <v>119</v>
      </c>
      <c r="F31" s="2">
        <v>119</v>
      </c>
      <c r="G31" s="2" t="s">
        <v>7660</v>
      </c>
      <c r="H31" s="2" t="s">
        <v>55</v>
      </c>
      <c r="I31" s="2"/>
      <c r="J31" s="2"/>
      <c r="K31" s="2" t="s">
        <v>2740</v>
      </c>
      <c r="L31" s="137" t="s">
        <v>2713</v>
      </c>
      <c r="M31" s="137" t="s">
        <v>530</v>
      </c>
      <c r="N31" s="137" t="s">
        <v>1546</v>
      </c>
      <c r="O31" s="2" t="s">
        <v>157</v>
      </c>
      <c r="P31" s="2"/>
      <c r="Q31" s="137" t="s">
        <v>5137</v>
      </c>
      <c r="R31" s="19">
        <v>46022</v>
      </c>
      <c r="S31" s="2" t="s">
        <v>255</v>
      </c>
      <c r="T31" s="19"/>
      <c r="U31" s="21">
        <v>45642</v>
      </c>
      <c r="V31" s="21" t="s">
        <v>6211</v>
      </c>
      <c r="W31" s="21" t="s">
        <v>6211</v>
      </c>
      <c r="X31" s="19" t="s">
        <v>4174</v>
      </c>
      <c r="Y31" s="141"/>
      <c r="Z31" s="141"/>
    </row>
    <row r="32" spans="1:26" customFormat="1" x14ac:dyDescent="0.2">
      <c r="A32" s="129" t="s">
        <v>5192</v>
      </c>
      <c r="B32" s="2" t="s">
        <v>4505</v>
      </c>
      <c r="C32" s="2" t="s">
        <v>1482</v>
      </c>
      <c r="D32" s="19">
        <v>43405</v>
      </c>
      <c r="E32" s="2">
        <v>135</v>
      </c>
      <c r="F32" s="2">
        <v>135</v>
      </c>
      <c r="G32" s="2" t="s">
        <v>7660</v>
      </c>
      <c r="H32" s="2" t="s">
        <v>55</v>
      </c>
      <c r="I32" s="2"/>
      <c r="J32" s="2"/>
      <c r="K32" s="2" t="s">
        <v>2731</v>
      </c>
      <c r="L32" s="137" t="s">
        <v>2713</v>
      </c>
      <c r="M32" s="137" t="s">
        <v>540</v>
      </c>
      <c r="N32" s="137" t="s">
        <v>1571</v>
      </c>
      <c r="O32" s="2" t="s">
        <v>191</v>
      </c>
      <c r="P32" s="2"/>
      <c r="Q32" s="137" t="s">
        <v>7395</v>
      </c>
      <c r="R32" s="19">
        <v>45961</v>
      </c>
      <c r="S32" s="2" t="s">
        <v>255</v>
      </c>
      <c r="T32" s="19">
        <v>45471</v>
      </c>
      <c r="U32" s="21">
        <v>45642</v>
      </c>
      <c r="V32" s="21" t="s">
        <v>4602</v>
      </c>
      <c r="W32" s="21" t="s">
        <v>4603</v>
      </c>
      <c r="X32" s="19" t="s">
        <v>6210</v>
      </c>
      <c r="Y32" s="141"/>
      <c r="Z32" s="141"/>
    </row>
    <row r="33" spans="1:26" customFormat="1" x14ac:dyDescent="0.2">
      <c r="A33" s="129" t="s">
        <v>5193</v>
      </c>
      <c r="B33" s="2" t="s">
        <v>1555</v>
      </c>
      <c r="C33" s="2" t="s">
        <v>4098</v>
      </c>
      <c r="D33" s="19">
        <v>43441</v>
      </c>
      <c r="E33" s="2">
        <v>270</v>
      </c>
      <c r="F33" s="2">
        <v>270</v>
      </c>
      <c r="G33" s="2" t="s">
        <v>7660</v>
      </c>
      <c r="H33" s="2" t="s">
        <v>3505</v>
      </c>
      <c r="I33" s="2">
        <v>80</v>
      </c>
      <c r="J33" s="2" t="s">
        <v>6717</v>
      </c>
      <c r="K33" s="2" t="s">
        <v>2728</v>
      </c>
      <c r="L33" s="137" t="s">
        <v>2713</v>
      </c>
      <c r="M33" s="137" t="s">
        <v>531</v>
      </c>
      <c r="N33" s="137" t="s">
        <v>924</v>
      </c>
      <c r="O33" s="2" t="s">
        <v>157</v>
      </c>
      <c r="P33" s="2"/>
      <c r="Q33" s="137" t="s">
        <v>7395</v>
      </c>
      <c r="R33" s="19">
        <v>46203</v>
      </c>
      <c r="S33" s="2" t="s">
        <v>684</v>
      </c>
      <c r="T33" s="19">
        <v>44937</v>
      </c>
      <c r="U33" s="21">
        <v>44937</v>
      </c>
      <c r="V33" s="21" t="s">
        <v>6093</v>
      </c>
      <c r="W33" s="21" t="s">
        <v>6093</v>
      </c>
      <c r="X33" s="19" t="s">
        <v>4088</v>
      </c>
      <c r="Y33" s="141"/>
      <c r="Z33" s="141"/>
    </row>
    <row r="34" spans="1:26" customFormat="1" x14ac:dyDescent="0.2">
      <c r="A34" s="129" t="s">
        <v>5197</v>
      </c>
      <c r="B34" s="2" t="s">
        <v>7368</v>
      </c>
      <c r="C34" s="2" t="s">
        <v>1581</v>
      </c>
      <c r="D34" s="19">
        <v>43516</v>
      </c>
      <c r="E34" s="2">
        <v>240</v>
      </c>
      <c r="F34" s="2">
        <v>240</v>
      </c>
      <c r="G34" s="2" t="s">
        <v>7660</v>
      </c>
      <c r="H34" s="2" t="s">
        <v>3505</v>
      </c>
      <c r="I34" s="2"/>
      <c r="J34" s="2" t="s">
        <v>6717</v>
      </c>
      <c r="K34" s="2" t="s">
        <v>2800</v>
      </c>
      <c r="L34" s="137" t="s">
        <v>2713</v>
      </c>
      <c r="M34" s="137" t="s">
        <v>530</v>
      </c>
      <c r="N34" s="137" t="s">
        <v>4101</v>
      </c>
      <c r="O34" s="2" t="s">
        <v>41</v>
      </c>
      <c r="P34" s="2"/>
      <c r="Q34" s="137" t="s">
        <v>5137</v>
      </c>
      <c r="R34" s="19">
        <v>45688</v>
      </c>
      <c r="S34" s="2" t="s">
        <v>684</v>
      </c>
      <c r="T34" s="19"/>
      <c r="U34" s="21">
        <v>45642</v>
      </c>
      <c r="V34" s="21" t="s">
        <v>4273</v>
      </c>
      <c r="W34" s="21" t="s">
        <v>4273</v>
      </c>
      <c r="X34" s="19" t="s">
        <v>4602</v>
      </c>
      <c r="Y34" s="141"/>
      <c r="Z34" s="141"/>
    </row>
    <row r="35" spans="1:26" customFormat="1" x14ac:dyDescent="0.2">
      <c r="A35" s="129" t="s">
        <v>5198</v>
      </c>
      <c r="B35" s="2" t="s">
        <v>1577</v>
      </c>
      <c r="C35" s="2" t="s">
        <v>170</v>
      </c>
      <c r="D35" s="19">
        <v>43517</v>
      </c>
      <c r="E35" s="2">
        <v>147</v>
      </c>
      <c r="F35" s="2">
        <v>147</v>
      </c>
      <c r="G35" s="2" t="s">
        <v>7660</v>
      </c>
      <c r="H35" s="2" t="s">
        <v>124</v>
      </c>
      <c r="I35" s="2"/>
      <c r="J35" s="2"/>
      <c r="K35" s="2" t="s">
        <v>2732</v>
      </c>
      <c r="L35" s="137" t="s">
        <v>2713</v>
      </c>
      <c r="M35" s="137" t="s">
        <v>393</v>
      </c>
      <c r="N35" s="137" t="s">
        <v>1783</v>
      </c>
      <c r="O35" s="2" t="s">
        <v>34</v>
      </c>
      <c r="P35" s="2"/>
      <c r="Q35" s="137" t="s">
        <v>7395</v>
      </c>
      <c r="R35" s="19">
        <v>46203</v>
      </c>
      <c r="S35" s="2" t="s">
        <v>255</v>
      </c>
      <c r="T35" s="19">
        <v>44937</v>
      </c>
      <c r="U35" s="21">
        <v>44937</v>
      </c>
      <c r="V35" s="21" t="s">
        <v>4168</v>
      </c>
      <c r="W35" s="21" t="s">
        <v>4168</v>
      </c>
      <c r="X35" s="19" t="s">
        <v>4246</v>
      </c>
      <c r="Y35" s="141"/>
      <c r="Z35" s="141"/>
    </row>
    <row r="36" spans="1:26" customFormat="1" x14ac:dyDescent="0.2">
      <c r="A36" s="129" t="s">
        <v>5199</v>
      </c>
      <c r="B36" s="2" t="s">
        <v>1591</v>
      </c>
      <c r="C36" s="2" t="s">
        <v>1592</v>
      </c>
      <c r="D36" s="19">
        <v>43546</v>
      </c>
      <c r="E36" s="2">
        <v>20</v>
      </c>
      <c r="F36" s="2">
        <v>20</v>
      </c>
      <c r="G36" s="2" t="s">
        <v>7661</v>
      </c>
      <c r="H36" s="2" t="s">
        <v>615</v>
      </c>
      <c r="I36" s="2" t="s">
        <v>7427</v>
      </c>
      <c r="J36" s="2">
        <v>4</v>
      </c>
      <c r="K36" s="2" t="s">
        <v>2775</v>
      </c>
      <c r="L36" s="137" t="s">
        <v>2713</v>
      </c>
      <c r="M36" s="137" t="s">
        <v>531</v>
      </c>
      <c r="N36" s="137" t="s">
        <v>4508</v>
      </c>
      <c r="O36" s="2" t="s">
        <v>34</v>
      </c>
      <c r="P36" s="2"/>
      <c r="Q36" s="137" t="s">
        <v>7395</v>
      </c>
      <c r="R36" s="19">
        <v>46053</v>
      </c>
      <c r="S36" s="2" t="s">
        <v>1384</v>
      </c>
      <c r="T36" s="19">
        <v>44854</v>
      </c>
      <c r="U36" s="21">
        <v>44679</v>
      </c>
      <c r="V36" s="21" t="s">
        <v>4119</v>
      </c>
      <c r="W36" s="21" t="s">
        <v>4119</v>
      </c>
      <c r="X36" s="19" t="s">
        <v>4113</v>
      </c>
      <c r="Y36" s="141"/>
      <c r="Z36" s="141"/>
    </row>
    <row r="37" spans="1:26" customFormat="1" x14ac:dyDescent="0.2">
      <c r="A37" s="129" t="s">
        <v>5200</v>
      </c>
      <c r="B37" s="2" t="s">
        <v>1593</v>
      </c>
      <c r="C37" s="2" t="s">
        <v>1594</v>
      </c>
      <c r="D37" s="19">
        <v>43546</v>
      </c>
      <c r="E37" s="2">
        <v>140</v>
      </c>
      <c r="F37" s="2">
        <v>140</v>
      </c>
      <c r="G37" s="2" t="s">
        <v>7660</v>
      </c>
      <c r="H37" s="2" t="s">
        <v>55</v>
      </c>
      <c r="I37" s="2"/>
      <c r="J37" s="2"/>
      <c r="K37" s="2" t="s">
        <v>2729</v>
      </c>
      <c r="L37" s="137" t="s">
        <v>2713</v>
      </c>
      <c r="M37" s="137" t="s">
        <v>393</v>
      </c>
      <c r="N37" s="137" t="s">
        <v>4509</v>
      </c>
      <c r="O37" s="2" t="s">
        <v>157</v>
      </c>
      <c r="P37" s="2"/>
      <c r="Q37" s="137" t="s">
        <v>5137</v>
      </c>
      <c r="R37" s="19">
        <v>46053</v>
      </c>
      <c r="S37" s="2" t="s">
        <v>4332</v>
      </c>
      <c r="T37" s="19">
        <v>44966</v>
      </c>
      <c r="U37" s="21">
        <v>44937</v>
      </c>
      <c r="V37" s="21" t="s">
        <v>6124</v>
      </c>
      <c r="W37" s="21" t="s">
        <v>6138</v>
      </c>
      <c r="X37" s="19" t="s">
        <v>6138</v>
      </c>
      <c r="Y37" s="141"/>
      <c r="Z37" s="141"/>
    </row>
    <row r="38" spans="1:26" customFormat="1" x14ac:dyDescent="0.2">
      <c r="A38" s="129" t="s">
        <v>5202</v>
      </c>
      <c r="B38" s="2" t="s">
        <v>1603</v>
      </c>
      <c r="C38" s="2" t="s">
        <v>1611</v>
      </c>
      <c r="D38" s="19">
        <v>43558</v>
      </c>
      <c r="E38" s="2">
        <v>500</v>
      </c>
      <c r="F38" s="2">
        <v>500</v>
      </c>
      <c r="G38" s="2" t="s">
        <v>7660</v>
      </c>
      <c r="H38" s="2" t="s">
        <v>55</v>
      </c>
      <c r="I38" s="2"/>
      <c r="J38" s="2"/>
      <c r="K38" s="2" t="s">
        <v>2739</v>
      </c>
      <c r="L38" s="2" t="s">
        <v>2713</v>
      </c>
      <c r="M38" s="137" t="s">
        <v>540</v>
      </c>
      <c r="N38" s="137" t="s">
        <v>3348</v>
      </c>
      <c r="O38" s="2" t="s">
        <v>41</v>
      </c>
      <c r="P38" s="2" t="s">
        <v>7398</v>
      </c>
      <c r="Q38" s="137" t="s">
        <v>7396</v>
      </c>
      <c r="R38" s="19">
        <v>46203</v>
      </c>
      <c r="S38" s="2" t="s">
        <v>255</v>
      </c>
      <c r="T38" s="19">
        <v>44937</v>
      </c>
      <c r="U38" s="21">
        <v>44937</v>
      </c>
      <c r="V38" s="21" t="s">
        <v>4072</v>
      </c>
      <c r="W38" s="21" t="s">
        <v>4072</v>
      </c>
      <c r="X38" s="19" t="s">
        <v>4499</v>
      </c>
      <c r="Y38" s="141"/>
      <c r="Z38" s="141"/>
    </row>
    <row r="39" spans="1:26" customFormat="1" x14ac:dyDescent="0.2">
      <c r="A39" s="129" t="s">
        <v>5203</v>
      </c>
      <c r="B39" s="2" t="s">
        <v>7305</v>
      </c>
      <c r="C39" s="2" t="s">
        <v>1612</v>
      </c>
      <c r="D39" s="19">
        <v>43560</v>
      </c>
      <c r="E39" s="2">
        <v>49.8</v>
      </c>
      <c r="F39" s="2">
        <v>49.8</v>
      </c>
      <c r="G39" s="2" t="s">
        <v>7660</v>
      </c>
      <c r="H39" s="2" t="s">
        <v>615</v>
      </c>
      <c r="I39" s="2">
        <v>199.2</v>
      </c>
      <c r="J39" s="2" t="s">
        <v>6717</v>
      </c>
      <c r="K39" s="2" t="s">
        <v>2715</v>
      </c>
      <c r="L39" s="2" t="s">
        <v>2713</v>
      </c>
      <c r="M39" s="137" t="s">
        <v>533</v>
      </c>
      <c r="N39" s="137" t="s">
        <v>1780</v>
      </c>
      <c r="O39" s="2" t="s">
        <v>403</v>
      </c>
      <c r="P39" s="2"/>
      <c r="Q39" s="137" t="s">
        <v>7396</v>
      </c>
      <c r="R39" s="19">
        <v>46173</v>
      </c>
      <c r="S39" s="2" t="s">
        <v>255</v>
      </c>
      <c r="T39" s="19">
        <v>45041</v>
      </c>
      <c r="U39" s="21">
        <v>44937</v>
      </c>
      <c r="V39" s="21" t="s">
        <v>4516</v>
      </c>
      <c r="W39" s="21" t="s">
        <v>4168</v>
      </c>
      <c r="X39" s="19" t="s">
        <v>6093</v>
      </c>
      <c r="Y39" s="141"/>
      <c r="Z39" s="141"/>
    </row>
    <row r="40" spans="1:26" customFormat="1" x14ac:dyDescent="0.2">
      <c r="A40" s="129" t="s">
        <v>5205</v>
      </c>
      <c r="B40" s="2" t="s">
        <v>7369</v>
      </c>
      <c r="C40" s="2" t="s">
        <v>1625</v>
      </c>
      <c r="D40" s="19">
        <v>43577</v>
      </c>
      <c r="E40" s="2">
        <v>15</v>
      </c>
      <c r="F40" s="2">
        <v>15</v>
      </c>
      <c r="G40" s="2" t="s">
        <v>7661</v>
      </c>
      <c r="H40" s="2" t="s">
        <v>615</v>
      </c>
      <c r="I40" s="2">
        <v>60</v>
      </c>
      <c r="J40" s="2">
        <v>4</v>
      </c>
      <c r="K40" s="2" t="s">
        <v>2714</v>
      </c>
      <c r="L40" s="2" t="s">
        <v>2713</v>
      </c>
      <c r="M40" s="137" t="s">
        <v>533</v>
      </c>
      <c r="N40" s="137" t="s">
        <v>1726</v>
      </c>
      <c r="O40" s="2" t="s">
        <v>403</v>
      </c>
      <c r="P40" s="2"/>
      <c r="Q40" s="137" t="s">
        <v>7396</v>
      </c>
      <c r="R40" s="19">
        <v>46081</v>
      </c>
      <c r="S40" s="2" t="s">
        <v>2701</v>
      </c>
      <c r="T40" s="19">
        <v>44749</v>
      </c>
      <c r="U40" s="21">
        <v>44581</v>
      </c>
      <c r="V40" s="21" t="s">
        <v>4138</v>
      </c>
      <c r="W40" s="21" t="s">
        <v>4138</v>
      </c>
      <c r="X40" s="19" t="s">
        <v>4073</v>
      </c>
      <c r="Y40" s="141"/>
      <c r="Z40" s="141"/>
    </row>
    <row r="41" spans="1:26" customFormat="1" x14ac:dyDescent="0.2">
      <c r="A41" s="129" t="s">
        <v>5206</v>
      </c>
      <c r="B41" s="2" t="s">
        <v>7518</v>
      </c>
      <c r="C41" s="2" t="s">
        <v>1626</v>
      </c>
      <c r="D41" s="19">
        <v>43579</v>
      </c>
      <c r="E41" s="2">
        <v>20</v>
      </c>
      <c r="F41" s="2">
        <v>20</v>
      </c>
      <c r="G41" s="2" t="s">
        <v>7661</v>
      </c>
      <c r="H41" s="2" t="s">
        <v>55</v>
      </c>
      <c r="I41" s="2"/>
      <c r="J41" s="2"/>
      <c r="K41" s="2" t="s">
        <v>2748</v>
      </c>
      <c r="L41" s="2" t="s">
        <v>2713</v>
      </c>
      <c r="M41" s="137" t="s">
        <v>393</v>
      </c>
      <c r="N41" s="137" t="s">
        <v>4510</v>
      </c>
      <c r="O41" s="2" t="s">
        <v>34</v>
      </c>
      <c r="P41" s="2"/>
      <c r="Q41" s="137" t="s">
        <v>7396</v>
      </c>
      <c r="R41" s="19">
        <v>46203</v>
      </c>
      <c r="S41" s="2" t="s">
        <v>1385</v>
      </c>
      <c r="T41" s="19">
        <v>44218</v>
      </c>
      <c r="U41" s="21">
        <v>44138</v>
      </c>
      <c r="V41" s="21" t="s">
        <v>4499</v>
      </c>
      <c r="W41" s="21" t="s">
        <v>4499</v>
      </c>
      <c r="X41" s="19" t="s">
        <v>4499</v>
      </c>
      <c r="Y41" s="141"/>
      <c r="Z41" s="141"/>
    </row>
    <row r="42" spans="1:26" customFormat="1" x14ac:dyDescent="0.2">
      <c r="A42" s="129" t="s">
        <v>5207</v>
      </c>
      <c r="B42" s="2" t="s">
        <v>7282</v>
      </c>
      <c r="C42" s="2" t="s">
        <v>1639</v>
      </c>
      <c r="D42" s="19">
        <v>43591</v>
      </c>
      <c r="E42" s="2">
        <v>20</v>
      </c>
      <c r="F42" s="2">
        <v>20</v>
      </c>
      <c r="G42" s="2" t="s">
        <v>7661</v>
      </c>
      <c r="H42" s="2" t="s">
        <v>55</v>
      </c>
      <c r="I42" s="2"/>
      <c r="J42" s="2"/>
      <c r="K42" s="2" t="s">
        <v>2796</v>
      </c>
      <c r="L42" s="137" t="s">
        <v>2713</v>
      </c>
      <c r="M42" s="137" t="s">
        <v>471</v>
      </c>
      <c r="N42" s="137" t="s">
        <v>1685</v>
      </c>
      <c r="O42" s="2" t="s">
        <v>157</v>
      </c>
      <c r="P42" s="2"/>
      <c r="Q42" s="137" t="s">
        <v>7395</v>
      </c>
      <c r="R42" s="19">
        <v>46142</v>
      </c>
      <c r="S42" s="2" t="s">
        <v>4332</v>
      </c>
      <c r="T42" s="19">
        <v>44755</v>
      </c>
      <c r="U42" s="21">
        <v>44739</v>
      </c>
      <c r="V42" s="21" t="s">
        <v>4168</v>
      </c>
      <c r="W42" s="21" t="s">
        <v>4516</v>
      </c>
      <c r="X42" s="19" t="s">
        <v>4168</v>
      </c>
      <c r="Y42" s="141"/>
      <c r="Z42" s="141"/>
    </row>
    <row r="43" spans="1:26" customFormat="1" x14ac:dyDescent="0.2">
      <c r="A43" s="129" t="s">
        <v>5208</v>
      </c>
      <c r="B43" s="2" t="s">
        <v>3484</v>
      </c>
      <c r="C43" s="2" t="s">
        <v>3165</v>
      </c>
      <c r="D43" s="19">
        <v>43591</v>
      </c>
      <c r="E43" s="2">
        <v>20</v>
      </c>
      <c r="F43" s="2">
        <v>20</v>
      </c>
      <c r="G43" s="2" t="s">
        <v>7661</v>
      </c>
      <c r="H43" s="2" t="s">
        <v>55</v>
      </c>
      <c r="I43" s="2"/>
      <c r="J43" s="2"/>
      <c r="K43" s="2" t="s">
        <v>2808</v>
      </c>
      <c r="L43" s="137" t="s">
        <v>2713</v>
      </c>
      <c r="M43" s="137" t="s">
        <v>471</v>
      </c>
      <c r="N43" s="137" t="s">
        <v>1686</v>
      </c>
      <c r="O43" s="2" t="s">
        <v>157</v>
      </c>
      <c r="P43" s="2"/>
      <c r="Q43" s="137" t="s">
        <v>7395</v>
      </c>
      <c r="R43" s="19">
        <v>46142</v>
      </c>
      <c r="S43" s="2" t="s">
        <v>1385</v>
      </c>
      <c r="T43" s="19">
        <v>44299</v>
      </c>
      <c r="U43" s="21">
        <v>44256</v>
      </c>
      <c r="V43" s="21" t="s">
        <v>4173</v>
      </c>
      <c r="W43" s="21" t="s">
        <v>4246</v>
      </c>
      <c r="X43" s="19" t="s">
        <v>4246</v>
      </c>
      <c r="Y43" s="141"/>
      <c r="Z43" s="141"/>
    </row>
    <row r="44" spans="1:26" customFormat="1" x14ac:dyDescent="0.2">
      <c r="A44" s="129" t="s">
        <v>5209</v>
      </c>
      <c r="B44" s="2" t="s">
        <v>7319</v>
      </c>
      <c r="C44" s="2" t="s">
        <v>3507</v>
      </c>
      <c r="D44" s="19">
        <v>43592</v>
      </c>
      <c r="E44" s="2">
        <v>79</v>
      </c>
      <c r="F44" s="2">
        <v>79</v>
      </c>
      <c r="G44" s="2" t="s">
        <v>7660</v>
      </c>
      <c r="H44" s="2" t="s">
        <v>615</v>
      </c>
      <c r="I44" s="2" t="s">
        <v>7420</v>
      </c>
      <c r="J44" s="2" t="s">
        <v>6717</v>
      </c>
      <c r="K44" s="2" t="s">
        <v>2719</v>
      </c>
      <c r="L44" s="137" t="s">
        <v>2713</v>
      </c>
      <c r="M44" s="137" t="s">
        <v>533</v>
      </c>
      <c r="N44" s="137" t="s">
        <v>4493</v>
      </c>
      <c r="O44" s="2" t="s">
        <v>403</v>
      </c>
      <c r="P44" s="2"/>
      <c r="Q44" s="137" t="s">
        <v>5137</v>
      </c>
      <c r="R44" s="19">
        <v>46203</v>
      </c>
      <c r="S44" s="2" t="s">
        <v>255</v>
      </c>
      <c r="T44" s="19"/>
      <c r="U44" s="21">
        <v>45642</v>
      </c>
      <c r="V44" s="21" t="s">
        <v>4149</v>
      </c>
      <c r="W44" s="21" t="s">
        <v>4129</v>
      </c>
      <c r="X44" s="19" t="s">
        <v>4602</v>
      </c>
      <c r="Y44" s="141"/>
      <c r="Z44" s="141"/>
    </row>
    <row r="45" spans="1:26" customFormat="1" x14ac:dyDescent="0.2">
      <c r="A45" s="129" t="s">
        <v>5210</v>
      </c>
      <c r="B45" s="2" t="s">
        <v>7319</v>
      </c>
      <c r="C45" s="2" t="s">
        <v>3508</v>
      </c>
      <c r="D45" s="19">
        <v>43592</v>
      </c>
      <c r="E45" s="2">
        <v>56.3</v>
      </c>
      <c r="F45" s="2">
        <v>57.3</v>
      </c>
      <c r="G45" s="2" t="s">
        <v>7660</v>
      </c>
      <c r="H45" s="2" t="s">
        <v>615</v>
      </c>
      <c r="I45" s="2" t="s">
        <v>7519</v>
      </c>
      <c r="J45" s="2" t="s">
        <v>6717</v>
      </c>
      <c r="K45" s="2" t="s">
        <v>2719</v>
      </c>
      <c r="L45" s="2" t="s">
        <v>2713</v>
      </c>
      <c r="M45" s="137" t="s">
        <v>533</v>
      </c>
      <c r="N45" s="137" t="s">
        <v>4493</v>
      </c>
      <c r="O45" s="2" t="s">
        <v>403</v>
      </c>
      <c r="P45" s="2"/>
      <c r="Q45" s="138" t="s">
        <v>7395</v>
      </c>
      <c r="R45" s="19">
        <v>46203</v>
      </c>
      <c r="S45" s="2" t="s">
        <v>255</v>
      </c>
      <c r="T45" s="19">
        <v>44979</v>
      </c>
      <c r="U45" s="21">
        <v>44937</v>
      </c>
      <c r="V45" s="21" t="s">
        <v>4149</v>
      </c>
      <c r="W45" s="21" t="s">
        <v>4087</v>
      </c>
      <c r="X45" s="19" t="s">
        <v>4602</v>
      </c>
      <c r="Y45" s="141"/>
      <c r="Z45" s="141"/>
    </row>
    <row r="46" spans="1:26" customFormat="1" x14ac:dyDescent="0.2">
      <c r="A46" s="129" t="s">
        <v>5212</v>
      </c>
      <c r="B46" s="2" t="s">
        <v>3804</v>
      </c>
      <c r="C46" s="2" t="s">
        <v>1648</v>
      </c>
      <c r="D46" s="19">
        <v>45993</v>
      </c>
      <c r="E46" s="2">
        <v>20</v>
      </c>
      <c r="F46" s="2">
        <v>20</v>
      </c>
      <c r="G46" s="2" t="s">
        <v>7661</v>
      </c>
      <c r="H46" s="2" t="s">
        <v>55</v>
      </c>
      <c r="I46" s="2"/>
      <c r="J46" s="2"/>
      <c r="K46" s="2" t="s">
        <v>2740</v>
      </c>
      <c r="L46" s="2" t="s">
        <v>2713</v>
      </c>
      <c r="M46" s="137" t="s">
        <v>530</v>
      </c>
      <c r="N46" s="137" t="s">
        <v>1725</v>
      </c>
      <c r="O46" s="2" t="s">
        <v>157</v>
      </c>
      <c r="P46" s="2"/>
      <c r="Q46" s="137" t="s">
        <v>5137</v>
      </c>
      <c r="R46" s="19">
        <v>46081</v>
      </c>
      <c r="S46" s="2" t="s">
        <v>1385</v>
      </c>
      <c r="T46" s="19">
        <v>45063</v>
      </c>
      <c r="U46" s="21">
        <v>45020</v>
      </c>
      <c r="V46" s="21" t="s">
        <v>6185</v>
      </c>
      <c r="W46" s="21" t="s">
        <v>6185</v>
      </c>
      <c r="X46" s="19" t="s">
        <v>6373</v>
      </c>
      <c r="Y46" s="141"/>
      <c r="Z46" s="141"/>
    </row>
    <row r="47" spans="1:26" customFormat="1" x14ac:dyDescent="0.2">
      <c r="A47" s="129" t="s">
        <v>5220</v>
      </c>
      <c r="B47" s="2" t="s">
        <v>4107</v>
      </c>
      <c r="C47" s="2" t="s">
        <v>3972</v>
      </c>
      <c r="D47" s="19">
        <v>43614</v>
      </c>
      <c r="E47" s="2">
        <v>12.5</v>
      </c>
      <c r="F47" s="2">
        <v>12.5</v>
      </c>
      <c r="G47" s="2" t="s">
        <v>7661</v>
      </c>
      <c r="H47" s="2" t="s">
        <v>55</v>
      </c>
      <c r="I47" s="2"/>
      <c r="J47" s="2"/>
      <c r="K47" s="2" t="s">
        <v>2731</v>
      </c>
      <c r="L47" s="137" t="s">
        <v>2713</v>
      </c>
      <c r="M47" s="137" t="s">
        <v>540</v>
      </c>
      <c r="N47" s="137" t="s">
        <v>4873</v>
      </c>
      <c r="O47" s="2" t="s">
        <v>191</v>
      </c>
      <c r="P47" s="2"/>
      <c r="Q47" s="137" t="s">
        <v>5137</v>
      </c>
      <c r="R47" s="19">
        <v>46203</v>
      </c>
      <c r="S47" s="2" t="s">
        <v>1385</v>
      </c>
      <c r="T47" s="19">
        <v>44851</v>
      </c>
      <c r="U47" s="21">
        <v>44778</v>
      </c>
      <c r="V47" s="21" t="s">
        <v>6133</v>
      </c>
      <c r="W47" s="21" t="s">
        <v>6133</v>
      </c>
      <c r="X47" s="19" t="s">
        <v>6106</v>
      </c>
      <c r="Y47" s="141"/>
      <c r="Z47" s="141"/>
    </row>
    <row r="48" spans="1:26" customFormat="1" x14ac:dyDescent="0.2">
      <c r="A48" s="129" t="s">
        <v>5221</v>
      </c>
      <c r="B48" s="2" t="s">
        <v>3804</v>
      </c>
      <c r="C48" s="2" t="s">
        <v>1672</v>
      </c>
      <c r="D48" s="19">
        <v>43614</v>
      </c>
      <c r="E48" s="2">
        <v>120</v>
      </c>
      <c r="F48" s="2">
        <v>120</v>
      </c>
      <c r="G48" s="2" t="s">
        <v>7660</v>
      </c>
      <c r="H48" s="2" t="s">
        <v>55</v>
      </c>
      <c r="I48" s="2"/>
      <c r="J48" s="2"/>
      <c r="K48" s="2" t="s">
        <v>2740</v>
      </c>
      <c r="L48" s="137" t="s">
        <v>2713</v>
      </c>
      <c r="M48" s="137" t="s">
        <v>530</v>
      </c>
      <c r="N48" s="137" t="s">
        <v>4108</v>
      </c>
      <c r="O48" s="2" t="s">
        <v>157</v>
      </c>
      <c r="P48" s="2"/>
      <c r="Q48" s="137" t="s">
        <v>7395</v>
      </c>
      <c r="R48" s="19">
        <v>46081</v>
      </c>
      <c r="S48" s="2" t="s">
        <v>255</v>
      </c>
      <c r="T48" s="19">
        <v>44937</v>
      </c>
      <c r="U48" s="21">
        <v>44937</v>
      </c>
      <c r="V48" s="21" t="s">
        <v>4149</v>
      </c>
      <c r="W48" s="21" t="s">
        <v>4149</v>
      </c>
      <c r="X48" s="19" t="s">
        <v>4602</v>
      </c>
      <c r="Y48" s="141"/>
      <c r="Z48" s="141"/>
    </row>
    <row r="49" spans="1:26" customFormat="1" x14ac:dyDescent="0.2">
      <c r="A49" s="129" t="s">
        <v>5222</v>
      </c>
      <c r="B49" s="2" t="s">
        <v>7612</v>
      </c>
      <c r="C49" s="2" t="s">
        <v>1673</v>
      </c>
      <c r="D49" s="19">
        <v>43616</v>
      </c>
      <c r="E49" s="2">
        <v>20</v>
      </c>
      <c r="F49" s="2">
        <v>20</v>
      </c>
      <c r="G49" s="2" t="s">
        <v>7661</v>
      </c>
      <c r="H49" s="2" t="s">
        <v>55</v>
      </c>
      <c r="I49" s="2"/>
      <c r="J49" s="2"/>
      <c r="K49" s="2" t="s">
        <v>2737</v>
      </c>
      <c r="L49" s="137" t="s">
        <v>2713</v>
      </c>
      <c r="M49" s="137" t="s">
        <v>530</v>
      </c>
      <c r="N49" s="137" t="s">
        <v>4874</v>
      </c>
      <c r="O49" s="2" t="s">
        <v>157</v>
      </c>
      <c r="P49" s="2"/>
      <c r="Q49" s="137" t="s">
        <v>7396</v>
      </c>
      <c r="R49" s="19">
        <v>46203</v>
      </c>
      <c r="S49" s="2" t="s">
        <v>1385</v>
      </c>
      <c r="T49" s="19">
        <v>44819</v>
      </c>
      <c r="U49" s="21">
        <v>44792</v>
      </c>
      <c r="V49" s="21" t="s">
        <v>4168</v>
      </c>
      <c r="W49" s="21" t="s">
        <v>4516</v>
      </c>
      <c r="X49" s="19" t="s">
        <v>4173</v>
      </c>
      <c r="Y49" s="141"/>
      <c r="Z49" s="141"/>
    </row>
    <row r="50" spans="1:26" customFormat="1" x14ac:dyDescent="0.2">
      <c r="A50" s="129" t="s">
        <v>5227</v>
      </c>
      <c r="B50" s="2" t="s">
        <v>1707</v>
      </c>
      <c r="C50" s="2" t="s">
        <v>1708</v>
      </c>
      <c r="D50" s="19">
        <v>43626</v>
      </c>
      <c r="E50" s="2">
        <v>100</v>
      </c>
      <c r="F50" s="2">
        <v>100</v>
      </c>
      <c r="G50" s="2" t="s">
        <v>7660</v>
      </c>
      <c r="H50" s="2" t="s">
        <v>55</v>
      </c>
      <c r="I50" s="2"/>
      <c r="J50" s="2"/>
      <c r="K50" s="2" t="s">
        <v>2738</v>
      </c>
      <c r="L50" s="2" t="s">
        <v>2713</v>
      </c>
      <c r="M50" s="137" t="s">
        <v>420</v>
      </c>
      <c r="N50" s="137" t="s">
        <v>3266</v>
      </c>
      <c r="O50" s="2" t="s">
        <v>34</v>
      </c>
      <c r="P50" s="2"/>
      <c r="Q50" s="137" t="s">
        <v>7395</v>
      </c>
      <c r="R50" s="19">
        <v>46053</v>
      </c>
      <c r="S50" s="2" t="s">
        <v>255</v>
      </c>
      <c r="T50" s="19"/>
      <c r="U50" s="21">
        <v>45642</v>
      </c>
      <c r="V50" s="21" t="s">
        <v>4088</v>
      </c>
      <c r="W50" s="21" t="s">
        <v>4088</v>
      </c>
      <c r="X50" s="19" t="s">
        <v>4088</v>
      </c>
      <c r="Y50" s="141"/>
      <c r="Z50" s="141"/>
    </row>
    <row r="51" spans="1:26" customFormat="1" x14ac:dyDescent="0.2">
      <c r="A51" s="129" t="s">
        <v>5229</v>
      </c>
      <c r="B51" s="2" t="s">
        <v>1711</v>
      </c>
      <c r="C51" s="2" t="s">
        <v>1712</v>
      </c>
      <c r="D51" s="19">
        <v>43626</v>
      </c>
      <c r="E51" s="2">
        <v>100</v>
      </c>
      <c r="F51" s="2">
        <v>100</v>
      </c>
      <c r="G51" s="2" t="s">
        <v>7660</v>
      </c>
      <c r="H51" s="2" t="s">
        <v>55</v>
      </c>
      <c r="I51" s="2"/>
      <c r="J51" s="2"/>
      <c r="K51" s="2" t="s">
        <v>2740</v>
      </c>
      <c r="L51" s="2" t="s">
        <v>2713</v>
      </c>
      <c r="M51" s="137" t="s">
        <v>530</v>
      </c>
      <c r="N51" s="137" t="s">
        <v>4511</v>
      </c>
      <c r="O51" s="2" t="s">
        <v>157</v>
      </c>
      <c r="P51" s="2"/>
      <c r="Q51" s="137" t="s">
        <v>5137</v>
      </c>
      <c r="R51" s="19">
        <v>45688</v>
      </c>
      <c r="S51" s="2" t="s">
        <v>684</v>
      </c>
      <c r="T51" s="19">
        <v>45734</v>
      </c>
      <c r="U51" s="21">
        <v>45642</v>
      </c>
      <c r="V51" s="21" t="s">
        <v>4246</v>
      </c>
      <c r="W51" s="21" t="s">
        <v>4246</v>
      </c>
      <c r="X51" s="19" t="s">
        <v>4088</v>
      </c>
      <c r="Y51" s="141"/>
      <c r="Z51" s="141"/>
    </row>
    <row r="52" spans="1:26" customFormat="1" x14ac:dyDescent="0.2">
      <c r="A52" s="129" t="s">
        <v>5230</v>
      </c>
      <c r="B52" s="2" t="s">
        <v>4111</v>
      </c>
      <c r="C52" s="2" t="s">
        <v>1713</v>
      </c>
      <c r="D52" s="19">
        <v>43627</v>
      </c>
      <c r="E52" s="2">
        <v>200</v>
      </c>
      <c r="F52" s="2">
        <v>200</v>
      </c>
      <c r="G52" s="2" t="s">
        <v>7660</v>
      </c>
      <c r="H52" s="2" t="s">
        <v>55</v>
      </c>
      <c r="I52" s="2"/>
      <c r="J52" s="2"/>
      <c r="K52" s="2" t="s">
        <v>2766</v>
      </c>
      <c r="L52" s="137" t="s">
        <v>2713</v>
      </c>
      <c r="M52" s="137" t="s">
        <v>540</v>
      </c>
      <c r="N52" s="137" t="s">
        <v>1729</v>
      </c>
      <c r="O52" s="2" t="s">
        <v>41</v>
      </c>
      <c r="P52" s="2"/>
      <c r="Q52" s="137" t="s">
        <v>7395</v>
      </c>
      <c r="R52" s="19">
        <v>45716</v>
      </c>
      <c r="S52" s="2" t="s">
        <v>2701</v>
      </c>
      <c r="T52" s="19">
        <v>44937</v>
      </c>
      <c r="U52" s="21">
        <v>44937</v>
      </c>
      <c r="V52" s="21" t="s">
        <v>4130</v>
      </c>
      <c r="W52" s="21" t="s">
        <v>4130</v>
      </c>
      <c r="X52" s="19" t="s">
        <v>4602</v>
      </c>
      <c r="Y52" s="141"/>
      <c r="Z52" s="141"/>
    </row>
    <row r="53" spans="1:26" customFormat="1" x14ac:dyDescent="0.2">
      <c r="A53" s="129" t="s">
        <v>5231</v>
      </c>
      <c r="B53" s="2" t="s">
        <v>7521</v>
      </c>
      <c r="C53" s="2" t="s">
        <v>1715</v>
      </c>
      <c r="D53" s="19">
        <v>43628</v>
      </c>
      <c r="E53" s="2">
        <v>20</v>
      </c>
      <c r="F53" s="2">
        <v>20</v>
      </c>
      <c r="G53" s="2" t="s">
        <v>7661</v>
      </c>
      <c r="H53" s="2" t="s">
        <v>55</v>
      </c>
      <c r="I53" s="2"/>
      <c r="J53" s="2"/>
      <c r="K53" s="2" t="s">
        <v>2737</v>
      </c>
      <c r="L53" s="137" t="s">
        <v>2713</v>
      </c>
      <c r="M53" s="137" t="s">
        <v>530</v>
      </c>
      <c r="N53" s="137" t="s">
        <v>1794</v>
      </c>
      <c r="O53" s="2" t="s">
        <v>157</v>
      </c>
      <c r="P53" s="2"/>
      <c r="Q53" s="137" t="s">
        <v>7395</v>
      </c>
      <c r="R53" s="19">
        <v>46203</v>
      </c>
      <c r="S53" s="2" t="s">
        <v>1385</v>
      </c>
      <c r="T53" s="19">
        <v>44819</v>
      </c>
      <c r="U53" s="21">
        <v>44788</v>
      </c>
      <c r="V53" s="21" t="s">
        <v>4931</v>
      </c>
      <c r="W53" s="21" t="s">
        <v>4149</v>
      </c>
      <c r="X53" s="19" t="s">
        <v>4603</v>
      </c>
      <c r="Y53" s="141"/>
      <c r="Z53" s="141"/>
    </row>
    <row r="54" spans="1:26" customFormat="1" x14ac:dyDescent="0.2">
      <c r="A54" s="129" t="s">
        <v>5233</v>
      </c>
      <c r="B54" s="2" t="s">
        <v>1756</v>
      </c>
      <c r="C54" s="2" t="s">
        <v>1757</v>
      </c>
      <c r="D54" s="19">
        <v>43679</v>
      </c>
      <c r="E54" s="2" t="s">
        <v>54</v>
      </c>
      <c r="F54" s="2" t="s">
        <v>54</v>
      </c>
      <c r="G54" s="2" t="s">
        <v>7662</v>
      </c>
      <c r="H54" s="2" t="s">
        <v>256</v>
      </c>
      <c r="I54" s="2"/>
      <c r="J54" s="2"/>
      <c r="K54" s="2" t="s">
        <v>590</v>
      </c>
      <c r="L54" s="137" t="s">
        <v>2713</v>
      </c>
      <c r="M54" s="137" t="s">
        <v>393</v>
      </c>
      <c r="N54" s="137" t="s">
        <v>2560</v>
      </c>
      <c r="O54" s="2" t="s">
        <v>157</v>
      </c>
      <c r="P54" s="2"/>
      <c r="Q54" s="137" t="s">
        <v>7395</v>
      </c>
      <c r="R54" s="19">
        <v>45808</v>
      </c>
      <c r="S54" s="2" t="s">
        <v>433</v>
      </c>
      <c r="T54" s="19"/>
      <c r="U54" s="21"/>
      <c r="V54" s="21" t="s">
        <v>4086</v>
      </c>
      <c r="W54" s="21" t="s">
        <v>54</v>
      </c>
      <c r="X54" s="19" t="s">
        <v>54</v>
      </c>
      <c r="Y54" s="141"/>
      <c r="Z54" s="141"/>
    </row>
    <row r="55" spans="1:26" customFormat="1" x14ac:dyDescent="0.2">
      <c r="A55" s="129" t="s">
        <v>5234</v>
      </c>
      <c r="B55" s="2" t="s">
        <v>4060</v>
      </c>
      <c r="C55" s="2" t="s">
        <v>1767</v>
      </c>
      <c r="D55" s="19">
        <v>43712</v>
      </c>
      <c r="E55" s="2">
        <v>79.900000000000006</v>
      </c>
      <c r="F55" s="2">
        <v>79.900000000000006</v>
      </c>
      <c r="G55" s="2" t="s">
        <v>7660</v>
      </c>
      <c r="H55" s="2" t="s">
        <v>615</v>
      </c>
      <c r="I55" s="2">
        <v>319.60000000000002</v>
      </c>
      <c r="J55" s="2" t="s">
        <v>6717</v>
      </c>
      <c r="K55" s="2" t="s">
        <v>2719</v>
      </c>
      <c r="L55" s="137" t="s">
        <v>2713</v>
      </c>
      <c r="M55" s="137" t="s">
        <v>533</v>
      </c>
      <c r="N55" s="137" t="s">
        <v>2569</v>
      </c>
      <c r="O55" s="2" t="s">
        <v>41</v>
      </c>
      <c r="P55" s="2"/>
      <c r="Q55" s="137" t="s">
        <v>5137</v>
      </c>
      <c r="R55" s="19">
        <v>45716</v>
      </c>
      <c r="S55" s="2" t="s">
        <v>255</v>
      </c>
      <c r="T55" s="19">
        <v>44967</v>
      </c>
      <c r="U55" s="21">
        <v>44937</v>
      </c>
      <c r="V55" s="21" t="s">
        <v>4130</v>
      </c>
      <c r="W55" s="21" t="s">
        <v>4130</v>
      </c>
      <c r="X55" s="19" t="s">
        <v>4931</v>
      </c>
      <c r="Y55" s="141"/>
      <c r="Z55" s="141"/>
    </row>
    <row r="56" spans="1:26" customFormat="1" x14ac:dyDescent="0.2">
      <c r="A56" s="129" t="s">
        <v>5238</v>
      </c>
      <c r="B56" s="2" t="s">
        <v>7319</v>
      </c>
      <c r="C56" s="2" t="s">
        <v>7347</v>
      </c>
      <c r="D56" s="19">
        <v>43763</v>
      </c>
      <c r="E56" s="2">
        <v>15</v>
      </c>
      <c r="F56" s="2">
        <v>15</v>
      </c>
      <c r="G56" s="2" t="s">
        <v>7661</v>
      </c>
      <c r="H56" s="2" t="s">
        <v>615</v>
      </c>
      <c r="I56" s="2">
        <v>60</v>
      </c>
      <c r="J56" s="2">
        <v>4</v>
      </c>
      <c r="K56" s="2" t="s">
        <v>2719</v>
      </c>
      <c r="L56" s="137" t="s">
        <v>2713</v>
      </c>
      <c r="M56" s="137" t="s">
        <v>533</v>
      </c>
      <c r="N56" s="137" t="s">
        <v>3670</v>
      </c>
      <c r="O56" s="2" t="s">
        <v>403</v>
      </c>
      <c r="P56" s="2"/>
      <c r="Q56" s="137" t="s">
        <v>5137</v>
      </c>
      <c r="R56" s="19">
        <v>45747</v>
      </c>
      <c r="S56" s="2" t="s">
        <v>1385</v>
      </c>
      <c r="T56" s="19"/>
      <c r="U56" s="21">
        <v>45398</v>
      </c>
      <c r="V56" s="21" t="s">
        <v>4499</v>
      </c>
      <c r="W56" s="21" t="s">
        <v>4499</v>
      </c>
      <c r="X56" s="19" t="s">
        <v>4129</v>
      </c>
      <c r="Y56" s="141"/>
      <c r="Z56" s="141"/>
    </row>
    <row r="57" spans="1:26" customFormat="1" x14ac:dyDescent="0.2">
      <c r="A57" s="129" t="s">
        <v>5239</v>
      </c>
      <c r="B57" s="2" t="s">
        <v>4061</v>
      </c>
      <c r="C57" s="2" t="s">
        <v>1808</v>
      </c>
      <c r="D57" s="19">
        <v>43766</v>
      </c>
      <c r="E57" s="2">
        <v>100</v>
      </c>
      <c r="F57" s="2">
        <v>100</v>
      </c>
      <c r="G57" s="2" t="s">
        <v>7660</v>
      </c>
      <c r="H57" s="2" t="s">
        <v>615</v>
      </c>
      <c r="I57" s="2" t="s">
        <v>5830</v>
      </c>
      <c r="J57" s="2" t="s">
        <v>6717</v>
      </c>
      <c r="K57" s="2" t="s">
        <v>2719</v>
      </c>
      <c r="L57" s="137" t="s">
        <v>2713</v>
      </c>
      <c r="M57" s="137" t="s">
        <v>533</v>
      </c>
      <c r="N57" s="137" t="s">
        <v>4493</v>
      </c>
      <c r="O57" s="2" t="s">
        <v>403</v>
      </c>
      <c r="P57" s="2"/>
      <c r="Q57" s="137" t="s">
        <v>7396</v>
      </c>
      <c r="R57" s="19">
        <v>45961</v>
      </c>
      <c r="S57" s="2" t="s">
        <v>255</v>
      </c>
      <c r="T57" s="19">
        <v>44937</v>
      </c>
      <c r="U57" s="21">
        <v>44937</v>
      </c>
      <c r="V57" s="21" t="s">
        <v>4072</v>
      </c>
      <c r="W57" s="21" t="s">
        <v>4104</v>
      </c>
      <c r="X57" s="19" t="s">
        <v>4113</v>
      </c>
      <c r="Y57" s="141"/>
      <c r="Z57" s="141"/>
    </row>
    <row r="58" spans="1:26" customFormat="1" x14ac:dyDescent="0.2">
      <c r="A58" s="129" t="s">
        <v>5240</v>
      </c>
      <c r="B58" s="2" t="s">
        <v>4513</v>
      </c>
      <c r="C58" s="2" t="s">
        <v>1809</v>
      </c>
      <c r="D58" s="19">
        <v>43767</v>
      </c>
      <c r="E58" s="2">
        <v>20</v>
      </c>
      <c r="F58" s="2">
        <v>20</v>
      </c>
      <c r="G58" s="2" t="s">
        <v>7661</v>
      </c>
      <c r="H58" s="2" t="s">
        <v>55</v>
      </c>
      <c r="I58" s="2"/>
      <c r="J58" s="2"/>
      <c r="K58" s="2" t="s">
        <v>2731</v>
      </c>
      <c r="L58" s="137" t="s">
        <v>2713</v>
      </c>
      <c r="M58" s="137" t="s">
        <v>540</v>
      </c>
      <c r="N58" s="137" t="s">
        <v>2860</v>
      </c>
      <c r="O58" s="2" t="s">
        <v>157</v>
      </c>
      <c r="P58" s="2"/>
      <c r="Q58" s="137" t="s">
        <v>5137</v>
      </c>
      <c r="R58" s="19">
        <v>46112</v>
      </c>
      <c r="S58" s="2" t="s">
        <v>1385</v>
      </c>
      <c r="T58" s="19">
        <v>45664</v>
      </c>
      <c r="U58" s="21">
        <v>45575</v>
      </c>
      <c r="V58" s="21" t="s">
        <v>4174</v>
      </c>
      <c r="W58" s="21" t="s">
        <v>6153</v>
      </c>
      <c r="X58" s="19" t="s">
        <v>4932</v>
      </c>
      <c r="Y58" s="141"/>
      <c r="Z58" s="141"/>
    </row>
    <row r="59" spans="1:26" customFormat="1" x14ac:dyDescent="0.2">
      <c r="A59" s="129" t="s">
        <v>5241</v>
      </c>
      <c r="B59" s="2" t="s">
        <v>3974</v>
      </c>
      <c r="C59" s="2" t="s">
        <v>3973</v>
      </c>
      <c r="D59" s="19">
        <v>43790</v>
      </c>
      <c r="E59" s="2">
        <v>200</v>
      </c>
      <c r="F59" s="2">
        <v>200</v>
      </c>
      <c r="G59" s="2" t="s">
        <v>7660</v>
      </c>
      <c r="H59" s="2" t="s">
        <v>55</v>
      </c>
      <c r="I59" s="2"/>
      <c r="J59" s="2"/>
      <c r="K59" s="2" t="s">
        <v>2754</v>
      </c>
      <c r="L59" s="137" t="s">
        <v>2713</v>
      </c>
      <c r="M59" s="137" t="s">
        <v>540</v>
      </c>
      <c r="N59" s="137" t="s">
        <v>1404</v>
      </c>
      <c r="O59" s="2" t="s">
        <v>157</v>
      </c>
      <c r="P59" s="2"/>
      <c r="Q59" s="137" t="s">
        <v>7395</v>
      </c>
      <c r="R59" s="19">
        <v>45900</v>
      </c>
      <c r="S59" s="2" t="s">
        <v>255</v>
      </c>
      <c r="T59" s="19">
        <v>45524</v>
      </c>
      <c r="U59" s="21">
        <v>45642</v>
      </c>
      <c r="V59" s="21" t="s">
        <v>4087</v>
      </c>
      <c r="W59" s="21" t="s">
        <v>4087</v>
      </c>
      <c r="X59" s="19" t="s">
        <v>4602</v>
      </c>
      <c r="Y59" s="141"/>
      <c r="Z59" s="141"/>
    </row>
    <row r="60" spans="1:26" customFormat="1" x14ac:dyDescent="0.2">
      <c r="A60" s="129" t="s">
        <v>5244</v>
      </c>
      <c r="B60" s="2" t="s">
        <v>2602</v>
      </c>
      <c r="C60" s="2" t="s">
        <v>1203</v>
      </c>
      <c r="D60" s="19">
        <v>43804</v>
      </c>
      <c r="E60" s="2">
        <v>125</v>
      </c>
      <c r="F60" s="2">
        <v>125</v>
      </c>
      <c r="G60" s="2" t="s">
        <v>7660</v>
      </c>
      <c r="H60" s="2" t="s">
        <v>55</v>
      </c>
      <c r="I60" s="2"/>
      <c r="J60" s="2"/>
      <c r="K60" s="2" t="s">
        <v>2744</v>
      </c>
      <c r="L60" s="137" t="s">
        <v>2713</v>
      </c>
      <c r="M60" s="137" t="s">
        <v>530</v>
      </c>
      <c r="N60" s="137" t="s">
        <v>4116</v>
      </c>
      <c r="O60" s="2" t="s">
        <v>157</v>
      </c>
      <c r="P60" s="2"/>
      <c r="Q60" s="137" t="s">
        <v>5137</v>
      </c>
      <c r="R60" s="19">
        <v>45688</v>
      </c>
      <c r="S60" s="2" t="s">
        <v>255</v>
      </c>
      <c r="T60" s="19"/>
      <c r="U60" s="21">
        <v>45642</v>
      </c>
      <c r="V60" s="21" t="s">
        <v>4246</v>
      </c>
      <c r="W60" s="21" t="s">
        <v>4246</v>
      </c>
      <c r="X60" s="19" t="s">
        <v>4088</v>
      </c>
      <c r="Y60" s="141"/>
      <c r="Z60" s="141"/>
    </row>
    <row r="61" spans="1:26" customFormat="1" x14ac:dyDescent="0.2">
      <c r="A61" s="129" t="s">
        <v>5245</v>
      </c>
      <c r="B61" s="2" t="s">
        <v>4117</v>
      </c>
      <c r="C61" s="2" t="s">
        <v>3805</v>
      </c>
      <c r="D61" s="19">
        <v>43809</v>
      </c>
      <c r="E61" s="2">
        <v>110</v>
      </c>
      <c r="F61" s="2">
        <v>110</v>
      </c>
      <c r="G61" s="2" t="s">
        <v>7660</v>
      </c>
      <c r="H61" s="2" t="s">
        <v>615</v>
      </c>
      <c r="I61" s="2" t="s">
        <v>7522</v>
      </c>
      <c r="J61" s="2" t="s">
        <v>7523</v>
      </c>
      <c r="K61" s="2" t="s">
        <v>2716</v>
      </c>
      <c r="L61" s="137" t="s">
        <v>2713</v>
      </c>
      <c r="M61" s="137" t="s">
        <v>532</v>
      </c>
      <c r="N61" s="137" t="s">
        <v>4880</v>
      </c>
      <c r="O61" s="2" t="s">
        <v>87</v>
      </c>
      <c r="P61" s="2"/>
      <c r="Q61" s="137" t="s">
        <v>7395</v>
      </c>
      <c r="R61" s="19">
        <v>46203</v>
      </c>
      <c r="S61" s="2" t="s">
        <v>255</v>
      </c>
      <c r="T61" s="19">
        <v>44937</v>
      </c>
      <c r="U61" s="21">
        <v>44937</v>
      </c>
      <c r="V61" s="21" t="s">
        <v>4149</v>
      </c>
      <c r="W61" s="21" t="s">
        <v>4087</v>
      </c>
      <c r="X61" s="19" t="s">
        <v>4603</v>
      </c>
      <c r="Y61" s="141"/>
      <c r="Z61" s="141"/>
    </row>
    <row r="62" spans="1:26" customFormat="1" x14ac:dyDescent="0.2">
      <c r="A62" s="129" t="s">
        <v>5252</v>
      </c>
      <c r="B62" s="2" t="s">
        <v>2619</v>
      </c>
      <c r="C62" s="2" t="s">
        <v>2620</v>
      </c>
      <c r="D62" s="19">
        <v>43826</v>
      </c>
      <c r="E62" s="2">
        <v>94</v>
      </c>
      <c r="F62" s="2">
        <v>94</v>
      </c>
      <c r="G62" s="2" t="s">
        <v>7660</v>
      </c>
      <c r="H62" s="2" t="s">
        <v>615</v>
      </c>
      <c r="I62" s="2" t="s">
        <v>7524</v>
      </c>
      <c r="J62" s="2" t="s">
        <v>6717</v>
      </c>
      <c r="K62" s="2" t="s">
        <v>2806</v>
      </c>
      <c r="L62" s="137" t="s">
        <v>2713</v>
      </c>
      <c r="M62" s="137" t="s">
        <v>539</v>
      </c>
      <c r="N62" s="137" t="s">
        <v>4882</v>
      </c>
      <c r="O62" s="2" t="s">
        <v>2558</v>
      </c>
      <c r="P62" s="2"/>
      <c r="Q62" s="137" t="s">
        <v>5137</v>
      </c>
      <c r="R62" s="19">
        <v>46203</v>
      </c>
      <c r="S62" s="2" t="s">
        <v>255</v>
      </c>
      <c r="T62" s="19"/>
      <c r="U62" s="21">
        <v>45642</v>
      </c>
      <c r="V62" s="21" t="s">
        <v>4130</v>
      </c>
      <c r="W62" s="21" t="s">
        <v>4130</v>
      </c>
      <c r="X62" s="19" t="s">
        <v>4088</v>
      </c>
      <c r="Y62" s="141"/>
      <c r="Z62" s="141"/>
    </row>
    <row r="63" spans="1:26" customFormat="1" x14ac:dyDescent="0.2">
      <c r="A63" s="129" t="s">
        <v>5253</v>
      </c>
      <c r="B63" s="2" t="s">
        <v>6548</v>
      </c>
      <c r="C63" s="2" t="s">
        <v>2871</v>
      </c>
      <c r="D63" s="19">
        <v>43840</v>
      </c>
      <c r="E63" s="2">
        <v>125</v>
      </c>
      <c r="F63" s="2">
        <v>125</v>
      </c>
      <c r="G63" s="2" t="s">
        <v>7660</v>
      </c>
      <c r="H63" s="2" t="s">
        <v>615</v>
      </c>
      <c r="I63" s="2" t="s">
        <v>7525</v>
      </c>
      <c r="J63" s="2" t="s">
        <v>7523</v>
      </c>
      <c r="K63" s="2" t="s">
        <v>2716</v>
      </c>
      <c r="L63" s="2" t="s">
        <v>2713</v>
      </c>
      <c r="M63" s="137" t="s">
        <v>532</v>
      </c>
      <c r="N63" s="137" t="s">
        <v>4122</v>
      </c>
      <c r="O63" s="2" t="s">
        <v>87</v>
      </c>
      <c r="P63" s="2"/>
      <c r="Q63" s="137" t="s">
        <v>5137</v>
      </c>
      <c r="R63" s="19">
        <v>45716</v>
      </c>
      <c r="S63" s="2" t="s">
        <v>2701</v>
      </c>
      <c r="T63" s="19">
        <v>45357</v>
      </c>
      <c r="U63" s="21">
        <v>45699</v>
      </c>
      <c r="V63" s="21" t="s">
        <v>4653</v>
      </c>
      <c r="W63" s="21" t="s">
        <v>4129</v>
      </c>
      <c r="X63" s="19" t="s">
        <v>4143</v>
      </c>
      <c r="Y63" s="141"/>
      <c r="Z63" s="141"/>
    </row>
    <row r="64" spans="1:26" customFormat="1" x14ac:dyDescent="0.2">
      <c r="A64" s="129" t="s">
        <v>5257</v>
      </c>
      <c r="B64" s="2" t="s">
        <v>3483</v>
      </c>
      <c r="C64" s="2" t="s">
        <v>4124</v>
      </c>
      <c r="D64" s="19">
        <v>43859</v>
      </c>
      <c r="E64" s="2">
        <v>44</v>
      </c>
      <c r="F64" s="2">
        <v>44</v>
      </c>
      <c r="G64" s="2" t="s">
        <v>7660</v>
      </c>
      <c r="H64" s="2" t="s">
        <v>124</v>
      </c>
      <c r="I64" s="2"/>
      <c r="J64" s="2"/>
      <c r="K64" s="2" t="s">
        <v>2716</v>
      </c>
      <c r="L64" s="2" t="s">
        <v>2713</v>
      </c>
      <c r="M64" s="137" t="s">
        <v>532</v>
      </c>
      <c r="N64" s="137" t="s">
        <v>1527</v>
      </c>
      <c r="O64" s="2" t="s">
        <v>87</v>
      </c>
      <c r="P64" s="2"/>
      <c r="Q64" s="137" t="s">
        <v>7396</v>
      </c>
      <c r="R64" s="19">
        <v>46203</v>
      </c>
      <c r="S64" s="2" t="s">
        <v>2701</v>
      </c>
      <c r="T64" s="19">
        <v>44937</v>
      </c>
      <c r="U64" s="21">
        <v>44937</v>
      </c>
      <c r="V64" s="21" t="s">
        <v>4079</v>
      </c>
      <c r="W64" s="21" t="s">
        <v>4113</v>
      </c>
      <c r="X64" s="19" t="s">
        <v>4273</v>
      </c>
      <c r="Y64" s="141"/>
      <c r="Z64" s="141"/>
    </row>
    <row r="65" spans="1:28" customFormat="1" x14ac:dyDescent="0.2">
      <c r="A65" s="129" t="s">
        <v>5258</v>
      </c>
      <c r="B65" s="2" t="s">
        <v>3099</v>
      </c>
      <c r="C65" s="2" t="s">
        <v>3099</v>
      </c>
      <c r="D65" s="19">
        <v>43888</v>
      </c>
      <c r="E65" s="2">
        <v>130</v>
      </c>
      <c r="F65" s="2">
        <v>130</v>
      </c>
      <c r="G65" s="2" t="s">
        <v>7660</v>
      </c>
      <c r="H65" s="2" t="s">
        <v>55</v>
      </c>
      <c r="I65" s="2"/>
      <c r="J65" s="2"/>
      <c r="K65" s="2" t="s">
        <v>2739</v>
      </c>
      <c r="L65" s="2" t="s">
        <v>2713</v>
      </c>
      <c r="M65" s="2" t="s">
        <v>540</v>
      </c>
      <c r="N65" s="2" t="s">
        <v>4126</v>
      </c>
      <c r="O65" s="137" t="s">
        <v>157</v>
      </c>
      <c r="P65" s="137"/>
      <c r="Q65" s="2" t="s">
        <v>5137</v>
      </c>
      <c r="R65" s="19">
        <v>45688</v>
      </c>
      <c r="S65" s="137" t="s">
        <v>2701</v>
      </c>
      <c r="T65" s="19"/>
      <c r="U65" s="21">
        <v>45642</v>
      </c>
      <c r="V65" s="21" t="s">
        <v>6185</v>
      </c>
      <c r="W65" s="21" t="s">
        <v>6185</v>
      </c>
      <c r="X65" s="19" t="s">
        <v>6152</v>
      </c>
      <c r="Y65" s="141"/>
      <c r="Z65" s="141"/>
      <c r="AA65" s="141"/>
      <c r="AB65" s="141"/>
    </row>
    <row r="66" spans="1:28" customFormat="1" x14ac:dyDescent="0.2">
      <c r="A66" s="129" t="s">
        <v>5259</v>
      </c>
      <c r="B66" s="2" t="s">
        <v>7613</v>
      </c>
      <c r="C66" s="2" t="s">
        <v>7614</v>
      </c>
      <c r="D66" s="19">
        <v>43908</v>
      </c>
      <c r="E66" s="2">
        <v>20</v>
      </c>
      <c r="F66" s="2">
        <v>20</v>
      </c>
      <c r="G66" s="2" t="s">
        <v>7661</v>
      </c>
      <c r="H66" s="2" t="s">
        <v>55</v>
      </c>
      <c r="I66" s="2"/>
      <c r="J66" s="2"/>
      <c r="K66" s="2" t="s">
        <v>2788</v>
      </c>
      <c r="L66" s="2" t="s">
        <v>2713</v>
      </c>
      <c r="M66" s="137" t="s">
        <v>530</v>
      </c>
      <c r="N66" s="137" t="s">
        <v>3188</v>
      </c>
      <c r="O66" s="2" t="s">
        <v>157</v>
      </c>
      <c r="P66" s="2"/>
      <c r="Q66" s="137" t="s">
        <v>5137</v>
      </c>
      <c r="R66" s="19">
        <v>46203</v>
      </c>
      <c r="S66" s="2" t="s">
        <v>1385</v>
      </c>
      <c r="T66" s="19">
        <v>45433</v>
      </c>
      <c r="U66" s="21">
        <v>45365</v>
      </c>
      <c r="V66" s="21" t="s">
        <v>4149</v>
      </c>
      <c r="W66" s="21" t="s">
        <v>4087</v>
      </c>
      <c r="X66" s="19" t="s">
        <v>4603</v>
      </c>
      <c r="Y66" s="141"/>
      <c r="Z66" s="141"/>
    </row>
    <row r="67" spans="1:28" customFormat="1" x14ac:dyDescent="0.2">
      <c r="A67" s="129" t="s">
        <v>5260</v>
      </c>
      <c r="B67" s="2" t="s">
        <v>7637</v>
      </c>
      <c r="C67" s="2" t="s">
        <v>3133</v>
      </c>
      <c r="D67" s="19">
        <v>43927</v>
      </c>
      <c r="E67" s="2">
        <v>20</v>
      </c>
      <c r="F67" s="2">
        <v>20</v>
      </c>
      <c r="G67" s="2" t="s">
        <v>7661</v>
      </c>
      <c r="H67" s="2" t="s">
        <v>55</v>
      </c>
      <c r="I67" s="2"/>
      <c r="J67" s="2"/>
      <c r="K67" s="2" t="s">
        <v>2732</v>
      </c>
      <c r="L67" s="137" t="s">
        <v>2713</v>
      </c>
      <c r="M67" s="137" t="s">
        <v>393</v>
      </c>
      <c r="N67" s="137" t="s">
        <v>4884</v>
      </c>
      <c r="O67" s="2" t="s">
        <v>34</v>
      </c>
      <c r="P67" s="2"/>
      <c r="Q67" s="137" t="s">
        <v>7395</v>
      </c>
      <c r="R67" s="19">
        <v>46081</v>
      </c>
      <c r="S67" s="2" t="s">
        <v>1385</v>
      </c>
      <c r="T67" s="19">
        <v>44810</v>
      </c>
      <c r="U67" s="21">
        <v>44750</v>
      </c>
      <c r="V67" s="21" t="s">
        <v>4085</v>
      </c>
      <c r="W67" s="21" t="s">
        <v>4104</v>
      </c>
      <c r="X67" s="19" t="s">
        <v>4119</v>
      </c>
      <c r="Y67" s="141"/>
      <c r="Z67" s="141"/>
    </row>
    <row r="68" spans="1:28" customFormat="1" x14ac:dyDescent="0.2">
      <c r="A68" s="129" t="s">
        <v>5261</v>
      </c>
      <c r="B68" s="2" t="s">
        <v>1062</v>
      </c>
      <c r="C68" s="2" t="s">
        <v>3141</v>
      </c>
      <c r="D68" s="19">
        <v>43943</v>
      </c>
      <c r="E68" s="2">
        <v>220.1</v>
      </c>
      <c r="F68" s="2">
        <v>220.1</v>
      </c>
      <c r="G68" s="2" t="s">
        <v>7660</v>
      </c>
      <c r="H68" s="2" t="s">
        <v>615</v>
      </c>
      <c r="I68" s="2" t="s">
        <v>7526</v>
      </c>
      <c r="J68" s="2" t="s">
        <v>6717</v>
      </c>
      <c r="K68" s="2" t="s">
        <v>2715</v>
      </c>
      <c r="L68" s="137" t="s">
        <v>2713</v>
      </c>
      <c r="M68" s="137" t="s">
        <v>533</v>
      </c>
      <c r="N68" s="137" t="s">
        <v>4885</v>
      </c>
      <c r="O68" s="2" t="s">
        <v>403</v>
      </c>
      <c r="P68" s="2"/>
      <c r="Q68" s="137" t="s">
        <v>7396</v>
      </c>
      <c r="R68" s="19">
        <v>46203</v>
      </c>
      <c r="S68" s="2" t="s">
        <v>255</v>
      </c>
      <c r="T68" s="19"/>
      <c r="U68" s="21">
        <v>45642</v>
      </c>
      <c r="V68" s="21" t="s">
        <v>4516</v>
      </c>
      <c r="W68" s="21" t="s">
        <v>4516</v>
      </c>
      <c r="X68" s="19" t="s">
        <v>4168</v>
      </c>
      <c r="Y68" s="141"/>
      <c r="Z68" s="141"/>
    </row>
    <row r="69" spans="1:28" customFormat="1" x14ac:dyDescent="0.2">
      <c r="A69" s="129" t="s">
        <v>5262</v>
      </c>
      <c r="B69" s="2" t="s">
        <v>4706</v>
      </c>
      <c r="C69" s="2" t="s">
        <v>3144</v>
      </c>
      <c r="D69" s="19">
        <v>43951</v>
      </c>
      <c r="E69" s="2">
        <v>160</v>
      </c>
      <c r="F69" s="2">
        <v>160</v>
      </c>
      <c r="G69" s="2" t="s">
        <v>7660</v>
      </c>
      <c r="H69" s="2" t="s">
        <v>55</v>
      </c>
      <c r="I69" s="2"/>
      <c r="J69" s="2"/>
      <c r="K69" s="2" t="s">
        <v>3145</v>
      </c>
      <c r="L69" s="2" t="s">
        <v>2713</v>
      </c>
      <c r="M69" s="137" t="s">
        <v>393</v>
      </c>
      <c r="N69" s="137" t="s">
        <v>4984</v>
      </c>
      <c r="O69" s="2" t="s">
        <v>34</v>
      </c>
      <c r="P69" s="2"/>
      <c r="Q69" s="137" t="s">
        <v>5137</v>
      </c>
      <c r="R69" s="19">
        <v>46022</v>
      </c>
      <c r="S69" s="2" t="s">
        <v>255</v>
      </c>
      <c r="T69" s="19">
        <v>45706</v>
      </c>
      <c r="U69" s="21">
        <v>45642</v>
      </c>
      <c r="V69" s="21" t="s">
        <v>6152</v>
      </c>
      <c r="W69" s="21" t="s">
        <v>6152</v>
      </c>
      <c r="X69" s="19" t="s">
        <v>6153</v>
      </c>
      <c r="Y69" s="141"/>
      <c r="Z69" s="141"/>
    </row>
    <row r="70" spans="1:28" customFormat="1" x14ac:dyDescent="0.2">
      <c r="A70" s="129" t="s">
        <v>5265</v>
      </c>
      <c r="B70" s="2" t="s">
        <v>3174</v>
      </c>
      <c r="C70" s="2" t="s">
        <v>3174</v>
      </c>
      <c r="D70" s="19">
        <v>43956</v>
      </c>
      <c r="E70" s="2">
        <v>20</v>
      </c>
      <c r="F70" s="2">
        <v>20</v>
      </c>
      <c r="G70" s="2" t="s">
        <v>7661</v>
      </c>
      <c r="H70" s="2" t="s">
        <v>55</v>
      </c>
      <c r="I70" s="2"/>
      <c r="J70" s="2"/>
      <c r="K70" s="2" t="s">
        <v>2808</v>
      </c>
      <c r="L70" s="2" t="s">
        <v>2713</v>
      </c>
      <c r="M70" s="137" t="s">
        <v>471</v>
      </c>
      <c r="N70" s="137" t="s">
        <v>3229</v>
      </c>
      <c r="O70" s="2" t="s">
        <v>157</v>
      </c>
      <c r="P70" s="2"/>
      <c r="Q70" s="137" t="s">
        <v>7395</v>
      </c>
      <c r="R70" s="19">
        <v>46053</v>
      </c>
      <c r="S70" s="2" t="s">
        <v>2701</v>
      </c>
      <c r="T70" s="19">
        <v>45342</v>
      </c>
      <c r="U70" s="21">
        <v>45311</v>
      </c>
      <c r="V70" s="21" t="s">
        <v>4130</v>
      </c>
      <c r="W70" s="21" t="s">
        <v>4246</v>
      </c>
      <c r="X70" s="19" t="s">
        <v>4088</v>
      </c>
      <c r="Y70" s="141"/>
      <c r="Z70" s="141"/>
    </row>
    <row r="71" spans="1:28" customFormat="1" x14ac:dyDescent="0.2">
      <c r="A71" s="129" t="s">
        <v>5269</v>
      </c>
      <c r="B71" s="2" t="s">
        <v>3210</v>
      </c>
      <c r="C71" s="2" t="s">
        <v>3211</v>
      </c>
      <c r="D71" s="19">
        <v>44000</v>
      </c>
      <c r="E71" s="2">
        <v>250</v>
      </c>
      <c r="F71" s="2">
        <v>250</v>
      </c>
      <c r="G71" s="2" t="s">
        <v>7660</v>
      </c>
      <c r="H71" s="2" t="s">
        <v>3505</v>
      </c>
      <c r="I71" s="2" t="s">
        <v>7527</v>
      </c>
      <c r="J71" s="2" t="s">
        <v>6717</v>
      </c>
      <c r="K71" s="2" t="s">
        <v>2736</v>
      </c>
      <c r="L71" s="2" t="s">
        <v>2713</v>
      </c>
      <c r="M71" s="137" t="s">
        <v>530</v>
      </c>
      <c r="N71" s="137" t="s">
        <v>3223</v>
      </c>
      <c r="O71" s="2" t="s">
        <v>157</v>
      </c>
      <c r="P71" s="2"/>
      <c r="Q71" s="137" t="s">
        <v>5137</v>
      </c>
      <c r="R71" s="19">
        <v>46203</v>
      </c>
      <c r="S71" s="2" t="s">
        <v>255</v>
      </c>
      <c r="T71" s="19">
        <v>45709</v>
      </c>
      <c r="U71" s="21">
        <v>45642</v>
      </c>
      <c r="V71" s="21" t="s">
        <v>6185</v>
      </c>
      <c r="W71" s="21" t="s">
        <v>6185</v>
      </c>
      <c r="X71" s="19" t="s">
        <v>4174</v>
      </c>
      <c r="Y71" s="141"/>
      <c r="Z71" s="141"/>
    </row>
    <row r="72" spans="1:28" customFormat="1" x14ac:dyDescent="0.2">
      <c r="A72" s="129" t="s">
        <v>5276</v>
      </c>
      <c r="B72" s="2" t="s">
        <v>1423</v>
      </c>
      <c r="C72" s="2" t="s">
        <v>3242</v>
      </c>
      <c r="D72" s="19">
        <v>44021</v>
      </c>
      <c r="E72" s="2">
        <v>20</v>
      </c>
      <c r="F72" s="2">
        <v>20</v>
      </c>
      <c r="G72" s="2" t="s">
        <v>7661</v>
      </c>
      <c r="H72" s="2" t="s">
        <v>55</v>
      </c>
      <c r="I72" s="2"/>
      <c r="J72" s="2"/>
      <c r="K72" s="2" t="s">
        <v>2737</v>
      </c>
      <c r="L72" s="137" t="s">
        <v>2713</v>
      </c>
      <c r="M72" s="137" t="s">
        <v>530</v>
      </c>
      <c r="N72" s="137" t="s">
        <v>3372</v>
      </c>
      <c r="O72" s="2" t="s">
        <v>157</v>
      </c>
      <c r="P72" s="2"/>
      <c r="Q72" s="137" t="s">
        <v>7395</v>
      </c>
      <c r="R72" s="19">
        <v>46081</v>
      </c>
      <c r="S72" s="2" t="s">
        <v>1385</v>
      </c>
      <c r="T72" s="19">
        <v>45441</v>
      </c>
      <c r="U72" s="21">
        <v>45379</v>
      </c>
      <c r="V72" s="21" t="s">
        <v>4931</v>
      </c>
      <c r="W72" s="21" t="s">
        <v>4149</v>
      </c>
      <c r="X72" s="19" t="s">
        <v>4087</v>
      </c>
      <c r="Y72" s="141"/>
      <c r="Z72" s="141"/>
    </row>
    <row r="73" spans="1:28" customFormat="1" x14ac:dyDescent="0.2">
      <c r="A73" s="129" t="s">
        <v>5283</v>
      </c>
      <c r="B73" s="2" t="s">
        <v>4708</v>
      </c>
      <c r="C73" s="2" t="s">
        <v>1285</v>
      </c>
      <c r="D73" s="19">
        <v>44061</v>
      </c>
      <c r="E73" s="2">
        <v>125</v>
      </c>
      <c r="F73" s="2">
        <v>125</v>
      </c>
      <c r="G73" s="2" t="s">
        <v>7660</v>
      </c>
      <c r="H73" s="2" t="s">
        <v>55</v>
      </c>
      <c r="I73" s="2"/>
      <c r="J73" s="2"/>
      <c r="K73" s="2" t="s">
        <v>2722</v>
      </c>
      <c r="L73" s="137" t="s">
        <v>2713</v>
      </c>
      <c r="M73" s="137" t="s">
        <v>531</v>
      </c>
      <c r="N73" s="137" t="s">
        <v>3298</v>
      </c>
      <c r="O73" s="2" t="s">
        <v>34</v>
      </c>
      <c r="P73" s="2"/>
      <c r="Q73" s="137" t="s">
        <v>7395</v>
      </c>
      <c r="R73" s="19">
        <v>45900</v>
      </c>
      <c r="S73" s="2" t="s">
        <v>255</v>
      </c>
      <c r="T73" s="19">
        <v>45478</v>
      </c>
      <c r="U73" s="21">
        <v>45642</v>
      </c>
      <c r="V73" s="21" t="s">
        <v>4603</v>
      </c>
      <c r="W73" s="21" t="s">
        <v>4603</v>
      </c>
      <c r="X73" s="19" t="s">
        <v>6210</v>
      </c>
      <c r="Y73" s="141"/>
      <c r="Z73" s="141"/>
    </row>
    <row r="74" spans="1:28" customFormat="1" x14ac:dyDescent="0.2">
      <c r="A74" s="129" t="s">
        <v>5284</v>
      </c>
      <c r="B74" s="2" t="s">
        <v>4000</v>
      </c>
      <c r="C74" s="2" t="s">
        <v>3299</v>
      </c>
      <c r="D74" s="19">
        <v>44064</v>
      </c>
      <c r="E74" s="2">
        <v>401.6</v>
      </c>
      <c r="F74" s="2">
        <v>401.6</v>
      </c>
      <c r="G74" s="2" t="s">
        <v>7660</v>
      </c>
      <c r="H74" s="2" t="s">
        <v>55</v>
      </c>
      <c r="I74" s="2"/>
      <c r="J74" s="2"/>
      <c r="K74" s="2" t="s">
        <v>3300</v>
      </c>
      <c r="L74" s="137" t="s">
        <v>2749</v>
      </c>
      <c r="M74" s="137" t="s">
        <v>393</v>
      </c>
      <c r="N74" s="137" t="s">
        <v>4709</v>
      </c>
      <c r="O74" s="2" t="s">
        <v>34</v>
      </c>
      <c r="P74" s="2"/>
      <c r="Q74" s="137" t="s">
        <v>5137</v>
      </c>
      <c r="R74" s="19">
        <v>46203</v>
      </c>
      <c r="S74" s="2" t="s">
        <v>255</v>
      </c>
      <c r="T74" s="19"/>
      <c r="U74" s="21">
        <v>45642</v>
      </c>
      <c r="V74" s="21" t="s">
        <v>6124</v>
      </c>
      <c r="W74" s="21" t="s">
        <v>6124</v>
      </c>
      <c r="X74" s="19" t="s">
        <v>6145</v>
      </c>
      <c r="Y74" s="141"/>
      <c r="Z74" s="141"/>
    </row>
    <row r="75" spans="1:28" customFormat="1" x14ac:dyDescent="0.2">
      <c r="A75" s="129" t="s">
        <v>5293</v>
      </c>
      <c r="B75" s="2" t="s">
        <v>3384</v>
      </c>
      <c r="C75" s="2" t="s">
        <v>3386</v>
      </c>
      <c r="D75" s="19">
        <v>44153</v>
      </c>
      <c r="E75" s="2">
        <v>20</v>
      </c>
      <c r="F75" s="2">
        <v>20</v>
      </c>
      <c r="G75" s="2" t="s">
        <v>7661</v>
      </c>
      <c r="H75" s="2" t="s">
        <v>615</v>
      </c>
      <c r="I75" s="2">
        <v>120</v>
      </c>
      <c r="J75" s="2">
        <v>6</v>
      </c>
      <c r="K75" s="2" t="s">
        <v>2716</v>
      </c>
      <c r="L75" s="2" t="s">
        <v>2713</v>
      </c>
      <c r="M75" s="137" t="s">
        <v>532</v>
      </c>
      <c r="N75" s="137" t="s">
        <v>4898</v>
      </c>
      <c r="O75" s="2" t="s">
        <v>87</v>
      </c>
      <c r="P75" s="2"/>
      <c r="Q75" s="137" t="s">
        <v>5137</v>
      </c>
      <c r="R75" s="19">
        <v>45747</v>
      </c>
      <c r="S75" s="2" t="s">
        <v>1385</v>
      </c>
      <c r="T75" s="19">
        <v>45664</v>
      </c>
      <c r="U75" s="21">
        <v>45464</v>
      </c>
      <c r="V75" s="21" t="s">
        <v>4088</v>
      </c>
      <c r="W75" s="21" t="s">
        <v>4273</v>
      </c>
      <c r="X75" s="19" t="s">
        <v>4088</v>
      </c>
      <c r="Y75" s="141"/>
      <c r="Z75" s="141"/>
    </row>
    <row r="76" spans="1:28" customFormat="1" x14ac:dyDescent="0.2">
      <c r="A76" s="129" t="s">
        <v>5296</v>
      </c>
      <c r="B76" s="2" t="s">
        <v>3384</v>
      </c>
      <c r="C76" s="2" t="s">
        <v>3390</v>
      </c>
      <c r="D76" s="19">
        <v>44160</v>
      </c>
      <c r="E76" s="2">
        <v>70</v>
      </c>
      <c r="F76" s="2">
        <v>70</v>
      </c>
      <c r="G76" s="2" t="s">
        <v>7660</v>
      </c>
      <c r="H76" s="2" t="s">
        <v>615</v>
      </c>
      <c r="I76" s="2" t="s">
        <v>7528</v>
      </c>
      <c r="J76" s="2" t="s">
        <v>7399</v>
      </c>
      <c r="K76" s="2" t="s">
        <v>2716</v>
      </c>
      <c r="L76" s="137" t="s">
        <v>2713</v>
      </c>
      <c r="M76" s="137" t="s">
        <v>532</v>
      </c>
      <c r="N76" s="137" t="s">
        <v>4901</v>
      </c>
      <c r="O76" s="2" t="s">
        <v>87</v>
      </c>
      <c r="P76" s="2"/>
      <c r="Q76" s="137" t="s">
        <v>5137</v>
      </c>
      <c r="R76" s="19">
        <v>45747</v>
      </c>
      <c r="S76" s="2" t="s">
        <v>255</v>
      </c>
      <c r="T76" s="19">
        <v>45782</v>
      </c>
      <c r="U76" s="21">
        <v>45699</v>
      </c>
      <c r="V76" s="21" t="s">
        <v>4088</v>
      </c>
      <c r="W76" s="21" t="s">
        <v>4088</v>
      </c>
      <c r="X76" s="19" t="s">
        <v>4088</v>
      </c>
      <c r="Y76" s="141"/>
      <c r="Z76" s="141"/>
    </row>
    <row r="77" spans="1:28" customFormat="1" x14ac:dyDescent="0.2">
      <c r="A77" s="129" t="s">
        <v>5298</v>
      </c>
      <c r="B77" s="2" t="s">
        <v>7390</v>
      </c>
      <c r="C77" s="2" t="s">
        <v>3397</v>
      </c>
      <c r="D77" s="19">
        <v>44176</v>
      </c>
      <c r="E77" s="2">
        <v>205</v>
      </c>
      <c r="F77" s="2">
        <v>205</v>
      </c>
      <c r="G77" s="2" t="s">
        <v>7660</v>
      </c>
      <c r="H77" s="2" t="s">
        <v>615</v>
      </c>
      <c r="I77" s="2" t="s">
        <v>7421</v>
      </c>
      <c r="J77" s="2" t="s">
        <v>6717</v>
      </c>
      <c r="K77" s="2" t="s">
        <v>2773</v>
      </c>
      <c r="L77" s="2" t="s">
        <v>2713</v>
      </c>
      <c r="M77" s="137" t="s">
        <v>539</v>
      </c>
      <c r="N77" s="137" t="s">
        <v>4903</v>
      </c>
      <c r="O77" s="2" t="s">
        <v>2558</v>
      </c>
      <c r="P77" s="2"/>
      <c r="Q77" s="137" t="s">
        <v>7395</v>
      </c>
      <c r="R77" s="19">
        <v>45961</v>
      </c>
      <c r="S77" s="2" t="s">
        <v>255</v>
      </c>
      <c r="T77" s="19">
        <v>45679</v>
      </c>
      <c r="U77" s="21">
        <v>45642</v>
      </c>
      <c r="V77" s="21" t="s">
        <v>6105</v>
      </c>
      <c r="W77" s="21" t="s">
        <v>6138</v>
      </c>
      <c r="X77" s="19" t="s">
        <v>6145</v>
      </c>
      <c r="Y77" s="141"/>
      <c r="Z77" s="141"/>
    </row>
    <row r="78" spans="1:28" customFormat="1" x14ac:dyDescent="0.2">
      <c r="A78" s="129" t="s">
        <v>5299</v>
      </c>
      <c r="B78" s="2" t="s">
        <v>3398</v>
      </c>
      <c r="C78" s="2" t="s">
        <v>3399</v>
      </c>
      <c r="D78" s="19">
        <v>44179</v>
      </c>
      <c r="E78" s="2">
        <v>79</v>
      </c>
      <c r="F78" s="2">
        <v>79</v>
      </c>
      <c r="G78" s="2" t="s">
        <v>7660</v>
      </c>
      <c r="H78" s="2" t="s">
        <v>615</v>
      </c>
      <c r="I78" s="2" t="s">
        <v>7418</v>
      </c>
      <c r="J78" s="2" t="s">
        <v>6717</v>
      </c>
      <c r="K78" s="2" t="s">
        <v>2716</v>
      </c>
      <c r="L78" s="2" t="s">
        <v>2713</v>
      </c>
      <c r="M78" s="137" t="s">
        <v>532</v>
      </c>
      <c r="N78" s="137" t="s">
        <v>4904</v>
      </c>
      <c r="O78" s="2" t="s">
        <v>87</v>
      </c>
      <c r="P78" s="2"/>
      <c r="Q78" s="137" t="s">
        <v>5137</v>
      </c>
      <c r="R78" s="19">
        <v>46112</v>
      </c>
      <c r="S78" s="2" t="s">
        <v>2701</v>
      </c>
      <c r="T78" s="19"/>
      <c r="U78" s="21">
        <v>45642</v>
      </c>
      <c r="V78" s="21" t="s">
        <v>6210</v>
      </c>
      <c r="W78" s="21" t="s">
        <v>6185</v>
      </c>
      <c r="X78" s="19" t="s">
        <v>6211</v>
      </c>
      <c r="Y78" s="141"/>
      <c r="Z78" s="141"/>
    </row>
    <row r="79" spans="1:28" customFormat="1" x14ac:dyDescent="0.2">
      <c r="A79" s="129" t="s">
        <v>5301</v>
      </c>
      <c r="B79" s="2" t="s">
        <v>7370</v>
      </c>
      <c r="C79" s="2" t="s">
        <v>3419</v>
      </c>
      <c r="D79" s="19">
        <v>44223</v>
      </c>
      <c r="E79" s="2">
        <v>72</v>
      </c>
      <c r="F79" s="2">
        <v>72</v>
      </c>
      <c r="G79" s="2" t="s">
        <v>7660</v>
      </c>
      <c r="H79" s="2" t="s">
        <v>124</v>
      </c>
      <c r="I79" s="2"/>
      <c r="J79" s="2"/>
      <c r="K79" s="2" t="s">
        <v>2729</v>
      </c>
      <c r="L79" s="137" t="s">
        <v>2713</v>
      </c>
      <c r="M79" s="137" t="s">
        <v>393</v>
      </c>
      <c r="N79" s="137" t="s">
        <v>4710</v>
      </c>
      <c r="O79" s="2" t="s">
        <v>157</v>
      </c>
      <c r="P79" s="2"/>
      <c r="Q79" s="137" t="s">
        <v>5137</v>
      </c>
      <c r="R79" s="19">
        <v>46203</v>
      </c>
      <c r="S79" s="2" t="s">
        <v>2701</v>
      </c>
      <c r="T79" s="19">
        <v>45721</v>
      </c>
      <c r="U79" s="21">
        <v>45642</v>
      </c>
      <c r="V79" s="21" t="s">
        <v>6104</v>
      </c>
      <c r="W79" s="21" t="s">
        <v>6104</v>
      </c>
      <c r="X79" s="19" t="s">
        <v>4237</v>
      </c>
      <c r="Y79" s="141"/>
      <c r="Z79" s="141"/>
    </row>
    <row r="80" spans="1:28" customFormat="1" x14ac:dyDescent="0.2">
      <c r="A80" s="129" t="s">
        <v>5308</v>
      </c>
      <c r="B80" s="2" t="s">
        <v>7391</v>
      </c>
      <c r="C80" s="2" t="s">
        <v>4162</v>
      </c>
      <c r="D80" s="19">
        <v>44265</v>
      </c>
      <c r="E80" s="2">
        <v>97</v>
      </c>
      <c r="F80" s="2">
        <v>97</v>
      </c>
      <c r="G80" s="2" t="s">
        <v>7660</v>
      </c>
      <c r="H80" s="2" t="s">
        <v>124</v>
      </c>
      <c r="I80" s="2"/>
      <c r="J80" s="2"/>
      <c r="K80" s="2" t="s">
        <v>2766</v>
      </c>
      <c r="L80" s="137" t="s">
        <v>2713</v>
      </c>
      <c r="M80" s="137" t="s">
        <v>393</v>
      </c>
      <c r="N80" s="137" t="s">
        <v>4163</v>
      </c>
      <c r="O80" s="2" t="s">
        <v>34</v>
      </c>
      <c r="P80" s="2"/>
      <c r="Q80" s="137" t="s">
        <v>5137</v>
      </c>
      <c r="R80" s="19">
        <v>46203</v>
      </c>
      <c r="S80" s="2" t="s">
        <v>255</v>
      </c>
      <c r="T80" s="19">
        <v>45721</v>
      </c>
      <c r="U80" s="21">
        <v>45642</v>
      </c>
      <c r="V80" s="21" t="s">
        <v>6124</v>
      </c>
      <c r="W80" s="21" t="s">
        <v>6104</v>
      </c>
      <c r="X80" s="19" t="s">
        <v>4237</v>
      </c>
      <c r="Y80" s="141"/>
      <c r="Z80" s="141"/>
    </row>
    <row r="81" spans="1:26" customFormat="1" x14ac:dyDescent="0.2">
      <c r="A81" s="129" t="s">
        <v>5310</v>
      </c>
      <c r="B81" s="2" t="s">
        <v>3472</v>
      </c>
      <c r="C81" s="2" t="s">
        <v>3473</v>
      </c>
      <c r="D81" s="19">
        <v>44273</v>
      </c>
      <c r="E81" s="2">
        <v>90</v>
      </c>
      <c r="F81" s="2">
        <v>90</v>
      </c>
      <c r="G81" s="2" t="s">
        <v>7660</v>
      </c>
      <c r="H81" s="2" t="s">
        <v>55</v>
      </c>
      <c r="I81" s="2"/>
      <c r="J81" s="2"/>
      <c r="K81" s="2" t="s">
        <v>2728</v>
      </c>
      <c r="L81" s="137" t="s">
        <v>2713</v>
      </c>
      <c r="M81" s="137" t="s">
        <v>531</v>
      </c>
      <c r="N81" s="137" t="s">
        <v>4985</v>
      </c>
      <c r="O81" s="2" t="s">
        <v>157</v>
      </c>
      <c r="P81" s="2"/>
      <c r="Q81" s="137" t="s">
        <v>7395</v>
      </c>
      <c r="R81" s="19">
        <v>46203</v>
      </c>
      <c r="S81" s="2" t="s">
        <v>255</v>
      </c>
      <c r="T81" s="19">
        <v>45707</v>
      </c>
      <c r="U81" s="21">
        <v>45642</v>
      </c>
      <c r="V81" s="21" t="s">
        <v>7529</v>
      </c>
      <c r="W81" s="21" t="s">
        <v>6185</v>
      </c>
      <c r="X81" s="19" t="s">
        <v>7530</v>
      </c>
      <c r="Y81" s="141"/>
      <c r="Z81" s="141"/>
    </row>
    <row r="82" spans="1:26" customFormat="1" x14ac:dyDescent="0.2">
      <c r="A82" s="129" t="s">
        <v>5315</v>
      </c>
      <c r="B82" s="2" t="s">
        <v>5666</v>
      </c>
      <c r="C82" s="2" t="s">
        <v>3523</v>
      </c>
      <c r="D82" s="19">
        <v>44323</v>
      </c>
      <c r="E82" s="2">
        <v>12.1</v>
      </c>
      <c r="F82" s="2">
        <v>12.1</v>
      </c>
      <c r="G82" s="2" t="s">
        <v>7661</v>
      </c>
      <c r="H82" s="2" t="s">
        <v>55</v>
      </c>
      <c r="I82" s="2"/>
      <c r="J82" s="2"/>
      <c r="K82" s="2" t="s">
        <v>2800</v>
      </c>
      <c r="L82" s="137" t="s">
        <v>2713</v>
      </c>
      <c r="M82" s="137" t="s">
        <v>530</v>
      </c>
      <c r="N82" s="137" t="s">
        <v>4337</v>
      </c>
      <c r="O82" s="2" t="s">
        <v>157</v>
      </c>
      <c r="P82" s="2"/>
      <c r="Q82" s="137" t="s">
        <v>7395</v>
      </c>
      <c r="R82" s="19">
        <v>46022</v>
      </c>
      <c r="S82" s="2" t="s">
        <v>1385</v>
      </c>
      <c r="T82" s="19">
        <v>45733</v>
      </c>
      <c r="U82" s="21">
        <v>45575</v>
      </c>
      <c r="V82" s="21" t="s">
        <v>4273</v>
      </c>
      <c r="W82" s="21" t="s">
        <v>4273</v>
      </c>
      <c r="X82" s="19" t="s">
        <v>4088</v>
      </c>
      <c r="Y82" s="141"/>
      <c r="Z82" s="141"/>
    </row>
    <row r="83" spans="1:26" customFormat="1" x14ac:dyDescent="0.2">
      <c r="A83" s="129" t="s">
        <v>5324</v>
      </c>
      <c r="B83" s="2" t="s">
        <v>4851</v>
      </c>
      <c r="C83" s="2" t="s">
        <v>3545</v>
      </c>
      <c r="D83" s="19">
        <v>44336</v>
      </c>
      <c r="E83" s="2">
        <v>250</v>
      </c>
      <c r="F83" s="2">
        <v>250</v>
      </c>
      <c r="G83" s="2" t="s">
        <v>7660</v>
      </c>
      <c r="H83" s="2" t="s">
        <v>55</v>
      </c>
      <c r="I83" s="2"/>
      <c r="J83" s="2"/>
      <c r="K83" s="2" t="s">
        <v>2738</v>
      </c>
      <c r="L83" s="137" t="s">
        <v>2713</v>
      </c>
      <c r="M83" s="137" t="s">
        <v>420</v>
      </c>
      <c r="N83" s="137" t="s">
        <v>4341</v>
      </c>
      <c r="O83" s="2" t="s">
        <v>41</v>
      </c>
      <c r="P83" s="2"/>
      <c r="Q83" s="137" t="s">
        <v>5137</v>
      </c>
      <c r="R83" s="19">
        <v>45930</v>
      </c>
      <c r="S83" s="2" t="s">
        <v>255</v>
      </c>
      <c r="T83" s="19">
        <v>45762</v>
      </c>
      <c r="U83" s="21">
        <v>45642</v>
      </c>
      <c r="V83" s="21" t="s">
        <v>4603</v>
      </c>
      <c r="W83" s="21" t="s">
        <v>4603</v>
      </c>
      <c r="X83" s="19" t="s">
        <v>6185</v>
      </c>
      <c r="Y83" s="141"/>
      <c r="Z83" s="141"/>
    </row>
    <row r="84" spans="1:26" customFormat="1" x14ac:dyDescent="0.2">
      <c r="A84" s="129" t="s">
        <v>5325</v>
      </c>
      <c r="B84" s="2" t="s">
        <v>7531</v>
      </c>
      <c r="C84" s="2" t="s">
        <v>4328</v>
      </c>
      <c r="D84" s="19">
        <v>44336</v>
      </c>
      <c r="E84" s="2">
        <v>200</v>
      </c>
      <c r="F84" s="2">
        <v>200</v>
      </c>
      <c r="G84" s="2" t="s">
        <v>7660</v>
      </c>
      <c r="H84" s="2" t="s">
        <v>55</v>
      </c>
      <c r="I84" s="2"/>
      <c r="J84" s="2"/>
      <c r="K84" s="2" t="s">
        <v>4329</v>
      </c>
      <c r="L84" s="137" t="s">
        <v>2713</v>
      </c>
      <c r="M84" s="137" t="s">
        <v>420</v>
      </c>
      <c r="N84" s="137" t="s">
        <v>4342</v>
      </c>
      <c r="O84" s="2" t="s">
        <v>41</v>
      </c>
      <c r="P84" s="2"/>
      <c r="Q84" s="137" t="s">
        <v>5137</v>
      </c>
      <c r="R84" s="19">
        <v>45688</v>
      </c>
      <c r="S84" s="2" t="s">
        <v>255</v>
      </c>
      <c r="T84" s="19">
        <v>45762</v>
      </c>
      <c r="U84" s="21">
        <v>45642</v>
      </c>
      <c r="V84" s="21" t="s">
        <v>6185</v>
      </c>
      <c r="W84" s="21" t="s">
        <v>6185</v>
      </c>
      <c r="X84" s="19" t="s">
        <v>6373</v>
      </c>
      <c r="Y84" s="141"/>
      <c r="Z84" s="141"/>
    </row>
    <row r="85" spans="1:26" customFormat="1" x14ac:dyDescent="0.2">
      <c r="A85" s="129" t="s">
        <v>5326</v>
      </c>
      <c r="B85" s="2" t="s">
        <v>3549</v>
      </c>
      <c r="C85" s="2" t="s">
        <v>3550</v>
      </c>
      <c r="D85" s="19">
        <v>44343</v>
      </c>
      <c r="E85" s="2">
        <v>90</v>
      </c>
      <c r="F85" s="2">
        <v>90</v>
      </c>
      <c r="G85" s="2" t="s">
        <v>7660</v>
      </c>
      <c r="H85" s="2" t="s">
        <v>55</v>
      </c>
      <c r="I85" s="2"/>
      <c r="J85" s="2"/>
      <c r="K85" s="2" t="s">
        <v>401</v>
      </c>
      <c r="L85" s="2" t="s">
        <v>2713</v>
      </c>
      <c r="M85" s="137" t="s">
        <v>393</v>
      </c>
      <c r="N85" s="137" t="s">
        <v>4343</v>
      </c>
      <c r="O85" s="2" t="s">
        <v>157</v>
      </c>
      <c r="P85" s="2"/>
      <c r="Q85" s="137" t="s">
        <v>5137</v>
      </c>
      <c r="R85" s="19">
        <v>45688</v>
      </c>
      <c r="S85" s="2" t="s">
        <v>255</v>
      </c>
      <c r="T85" s="19">
        <v>45733</v>
      </c>
      <c r="U85" s="21">
        <v>45642</v>
      </c>
      <c r="V85" s="21" t="s">
        <v>4168</v>
      </c>
      <c r="W85" s="21" t="s">
        <v>4168</v>
      </c>
      <c r="X85" s="19" t="s">
        <v>4246</v>
      </c>
      <c r="Y85" s="141"/>
      <c r="Z85" s="141"/>
    </row>
    <row r="86" spans="1:26" customFormat="1" x14ac:dyDescent="0.2">
      <c r="A86" s="129" t="s">
        <v>5341</v>
      </c>
      <c r="B86" s="2" t="s">
        <v>7691</v>
      </c>
      <c r="C86" s="2" t="s">
        <v>3662</v>
      </c>
      <c r="D86" s="19">
        <v>44432</v>
      </c>
      <c r="E86" s="2">
        <v>20</v>
      </c>
      <c r="F86" s="2">
        <v>20</v>
      </c>
      <c r="G86" s="2" t="s">
        <v>7661</v>
      </c>
      <c r="H86" s="2" t="s">
        <v>615</v>
      </c>
      <c r="I86" s="2" t="s">
        <v>7427</v>
      </c>
      <c r="J86" s="2">
        <v>4</v>
      </c>
      <c r="K86" s="2" t="s">
        <v>2740</v>
      </c>
      <c r="L86" s="2" t="s">
        <v>2713</v>
      </c>
      <c r="M86" s="137" t="s">
        <v>530</v>
      </c>
      <c r="N86" s="137" t="s">
        <v>4190</v>
      </c>
      <c r="O86" s="2" t="s">
        <v>157</v>
      </c>
      <c r="P86" s="2"/>
      <c r="Q86" s="137" t="s">
        <v>5137</v>
      </c>
      <c r="R86" s="19">
        <v>46234</v>
      </c>
      <c r="S86" s="2" t="s">
        <v>433</v>
      </c>
      <c r="T86" s="19">
        <v>45693</v>
      </c>
      <c r="U86" s="21"/>
      <c r="V86" s="21" t="s">
        <v>6210</v>
      </c>
      <c r="W86" s="21" t="s">
        <v>6373</v>
      </c>
      <c r="X86" s="19" t="s">
        <v>4174</v>
      </c>
      <c r="Y86" s="141"/>
      <c r="Z86" s="141"/>
    </row>
    <row r="87" spans="1:26" customFormat="1" x14ac:dyDescent="0.2">
      <c r="A87" s="129" t="s">
        <v>5345</v>
      </c>
      <c r="B87" s="2" t="s">
        <v>7532</v>
      </c>
      <c r="C87" s="2" t="s">
        <v>3723</v>
      </c>
      <c r="D87" s="19">
        <v>44461</v>
      </c>
      <c r="E87" s="2">
        <v>79.900000000000006</v>
      </c>
      <c r="F87" s="2">
        <v>79.900000000000006</v>
      </c>
      <c r="G87" s="2" t="s">
        <v>7660</v>
      </c>
      <c r="H87" s="2" t="s">
        <v>615</v>
      </c>
      <c r="I87" s="2" t="s">
        <v>7533</v>
      </c>
      <c r="J87" s="2" t="s">
        <v>7424</v>
      </c>
      <c r="K87" s="2" t="s">
        <v>2716</v>
      </c>
      <c r="L87" s="2" t="s">
        <v>2713</v>
      </c>
      <c r="M87" s="137" t="s">
        <v>532</v>
      </c>
      <c r="N87" s="137" t="s">
        <v>4197</v>
      </c>
      <c r="O87" s="2" t="s">
        <v>87</v>
      </c>
      <c r="P87" s="2"/>
      <c r="Q87" s="137" t="s">
        <v>5137</v>
      </c>
      <c r="R87" s="19">
        <v>46053</v>
      </c>
      <c r="S87" s="2" t="s">
        <v>254</v>
      </c>
      <c r="T87" s="19">
        <v>45763</v>
      </c>
      <c r="U87" s="21"/>
      <c r="V87" s="21" t="s">
        <v>4173</v>
      </c>
      <c r="W87" s="21" t="s">
        <v>4246</v>
      </c>
      <c r="X87" s="19" t="s">
        <v>4273</v>
      </c>
      <c r="Y87" s="141"/>
      <c r="Z87" s="141"/>
    </row>
    <row r="88" spans="1:26" customFormat="1" x14ac:dyDescent="0.2">
      <c r="A88" s="129" t="s">
        <v>5347</v>
      </c>
      <c r="B88" s="2" t="s">
        <v>7658</v>
      </c>
      <c r="C88" s="2" t="s">
        <v>3725</v>
      </c>
      <c r="D88" s="19">
        <v>44461</v>
      </c>
      <c r="E88" s="2">
        <v>60</v>
      </c>
      <c r="F88" s="2">
        <v>60</v>
      </c>
      <c r="G88" s="2" t="s">
        <v>7660</v>
      </c>
      <c r="H88" s="2" t="s">
        <v>615</v>
      </c>
      <c r="I88" s="2" t="s">
        <v>5799</v>
      </c>
      <c r="J88" s="2" t="s">
        <v>7424</v>
      </c>
      <c r="K88" s="2" t="s">
        <v>2716</v>
      </c>
      <c r="L88" s="137" t="s">
        <v>2713</v>
      </c>
      <c r="M88" s="137" t="s">
        <v>532</v>
      </c>
      <c r="N88" s="137" t="s">
        <v>4535</v>
      </c>
      <c r="O88" s="2" t="s">
        <v>87</v>
      </c>
      <c r="P88" s="2"/>
      <c r="Q88" s="137" t="s">
        <v>5137</v>
      </c>
      <c r="R88" s="19">
        <v>46053</v>
      </c>
      <c r="S88" s="2" t="s">
        <v>255</v>
      </c>
      <c r="T88" s="19">
        <v>45750</v>
      </c>
      <c r="U88" s="21">
        <v>45699</v>
      </c>
      <c r="V88" s="21" t="s">
        <v>4246</v>
      </c>
      <c r="W88" s="21" t="s">
        <v>4273</v>
      </c>
      <c r="X88" s="19" t="s">
        <v>4130</v>
      </c>
      <c r="Y88" s="141"/>
      <c r="Z88" s="141"/>
    </row>
    <row r="89" spans="1:26" customFormat="1" x14ac:dyDescent="0.2">
      <c r="A89" s="129" t="s">
        <v>5349</v>
      </c>
      <c r="B89" s="2" t="s">
        <v>7649</v>
      </c>
      <c r="C89" s="2" t="s">
        <v>5100</v>
      </c>
      <c r="D89" s="19">
        <v>44480</v>
      </c>
      <c r="E89" s="2" t="s">
        <v>54</v>
      </c>
      <c r="F89" s="2" t="s">
        <v>54</v>
      </c>
      <c r="G89" s="2" t="s">
        <v>7662</v>
      </c>
      <c r="H89" s="2" t="s">
        <v>256</v>
      </c>
      <c r="I89" s="2"/>
      <c r="J89" s="2"/>
      <c r="K89" s="2" t="s">
        <v>3773</v>
      </c>
      <c r="L89" s="137" t="s">
        <v>2713</v>
      </c>
      <c r="M89" s="137" t="s">
        <v>4201</v>
      </c>
      <c r="N89" s="137" t="s">
        <v>4208</v>
      </c>
      <c r="O89" s="2" t="s">
        <v>4206</v>
      </c>
      <c r="P89" s="2"/>
      <c r="Q89" s="137" t="s">
        <v>7400</v>
      </c>
      <c r="R89" s="19">
        <v>45838</v>
      </c>
      <c r="S89" s="2" t="s">
        <v>433</v>
      </c>
      <c r="T89" s="19"/>
      <c r="U89" s="21"/>
      <c r="V89" s="21" t="s">
        <v>7307</v>
      </c>
      <c r="W89" s="21"/>
      <c r="X89" s="19"/>
      <c r="Y89" s="141"/>
      <c r="Z89" s="141"/>
    </row>
    <row r="90" spans="1:26" customFormat="1" x14ac:dyDescent="0.2">
      <c r="A90" s="129" t="s">
        <v>5357</v>
      </c>
      <c r="B90" s="2" t="s">
        <v>7318</v>
      </c>
      <c r="C90" s="2" t="s">
        <v>3829</v>
      </c>
      <c r="D90" s="19">
        <v>44532</v>
      </c>
      <c r="E90" s="2" t="s">
        <v>54</v>
      </c>
      <c r="F90" s="2" t="s">
        <v>54</v>
      </c>
      <c r="G90" s="2" t="s">
        <v>7662</v>
      </c>
      <c r="H90" s="2" t="s">
        <v>256</v>
      </c>
      <c r="I90" s="2"/>
      <c r="J90" s="2"/>
      <c r="K90" s="2" t="s">
        <v>2714</v>
      </c>
      <c r="L90" s="137" t="s">
        <v>2713</v>
      </c>
      <c r="M90" s="137" t="s">
        <v>533</v>
      </c>
      <c r="N90" s="137" t="s">
        <v>4989</v>
      </c>
      <c r="O90" s="2" t="s">
        <v>403</v>
      </c>
      <c r="P90" s="2"/>
      <c r="Q90" s="137" t="s">
        <v>7399</v>
      </c>
      <c r="R90" s="19">
        <v>44773</v>
      </c>
      <c r="S90" s="2" t="s">
        <v>433</v>
      </c>
      <c r="T90" s="19"/>
      <c r="U90" s="21"/>
      <c r="V90" s="21" t="s">
        <v>4169</v>
      </c>
      <c r="W90" s="21"/>
      <c r="X90" s="19"/>
      <c r="Y90" s="141"/>
      <c r="Z90" s="141"/>
    </row>
    <row r="91" spans="1:26" customFormat="1" x14ac:dyDescent="0.2">
      <c r="A91" s="129" t="s">
        <v>5370</v>
      </c>
      <c r="B91" s="2" t="s">
        <v>3879</v>
      </c>
      <c r="C91" s="2" t="s">
        <v>3880</v>
      </c>
      <c r="D91" s="19">
        <v>44603</v>
      </c>
      <c r="E91" s="2">
        <v>20</v>
      </c>
      <c r="F91" s="2">
        <v>20</v>
      </c>
      <c r="G91" s="2" t="s">
        <v>7661</v>
      </c>
      <c r="H91" s="2" t="s">
        <v>3505</v>
      </c>
      <c r="I91" s="2"/>
      <c r="J91" s="2"/>
      <c r="K91" s="2" t="s">
        <v>590</v>
      </c>
      <c r="L91" s="137" t="s">
        <v>2713</v>
      </c>
      <c r="M91" s="137" t="s">
        <v>393</v>
      </c>
      <c r="N91" s="137" t="s">
        <v>4225</v>
      </c>
      <c r="O91" s="2" t="s">
        <v>157</v>
      </c>
      <c r="P91" s="2"/>
      <c r="Q91" s="137" t="s">
        <v>7395</v>
      </c>
      <c r="R91" s="19">
        <v>46203</v>
      </c>
      <c r="S91" s="2" t="s">
        <v>1384</v>
      </c>
      <c r="T91" s="19">
        <v>45685</v>
      </c>
      <c r="U91" s="21">
        <v>45572</v>
      </c>
      <c r="V91" s="21" t="s">
        <v>6210</v>
      </c>
      <c r="W91" s="21" t="s">
        <v>4602</v>
      </c>
      <c r="X91" s="19" t="s">
        <v>6210</v>
      </c>
      <c r="Y91" s="141"/>
      <c r="Z91" s="141"/>
    </row>
    <row r="92" spans="1:26" customFormat="1" x14ac:dyDescent="0.2">
      <c r="A92" s="129" t="s">
        <v>5390</v>
      </c>
      <c r="B92" s="2" t="s">
        <v>3951</v>
      </c>
      <c r="C92" s="2" t="s">
        <v>3952</v>
      </c>
      <c r="D92" s="19">
        <v>44666</v>
      </c>
      <c r="E92" s="2" t="s">
        <v>54</v>
      </c>
      <c r="F92" s="2" t="s">
        <v>54</v>
      </c>
      <c r="G92" s="2" t="s">
        <v>7662</v>
      </c>
      <c r="H92" s="2" t="s">
        <v>253</v>
      </c>
      <c r="I92" s="2"/>
      <c r="J92" s="2"/>
      <c r="K92" s="2" t="s">
        <v>2719</v>
      </c>
      <c r="L92" s="137" t="s">
        <v>2713</v>
      </c>
      <c r="M92" s="137" t="s">
        <v>533</v>
      </c>
      <c r="N92" s="137" t="s">
        <v>4915</v>
      </c>
      <c r="O92" s="2" t="s">
        <v>403</v>
      </c>
      <c r="P92" s="2"/>
      <c r="Q92" s="137" t="s">
        <v>7399</v>
      </c>
      <c r="R92" s="19">
        <v>44773</v>
      </c>
      <c r="S92" s="2" t="s">
        <v>433</v>
      </c>
      <c r="T92" s="19"/>
      <c r="U92" s="21"/>
      <c r="V92" s="21" t="s">
        <v>4237</v>
      </c>
      <c r="W92" s="21"/>
      <c r="X92" s="19"/>
      <c r="Y92" s="141"/>
      <c r="Z92" s="141"/>
    </row>
    <row r="93" spans="1:26" customFormat="1" x14ac:dyDescent="0.2">
      <c r="A93" s="129" t="s">
        <v>5391</v>
      </c>
      <c r="B93" s="2" t="s">
        <v>3951</v>
      </c>
      <c r="C93" s="2" t="s">
        <v>3953</v>
      </c>
      <c r="D93" s="19">
        <v>44666</v>
      </c>
      <c r="E93" s="2" t="s">
        <v>54</v>
      </c>
      <c r="F93" s="2" t="s">
        <v>54</v>
      </c>
      <c r="G93" s="2" t="s">
        <v>7662</v>
      </c>
      <c r="H93" s="2" t="s">
        <v>253</v>
      </c>
      <c r="I93" s="2"/>
      <c r="J93" s="2"/>
      <c r="K93" s="2" t="s">
        <v>2719</v>
      </c>
      <c r="L93" s="137" t="s">
        <v>2713</v>
      </c>
      <c r="M93" s="137" t="s">
        <v>533</v>
      </c>
      <c r="N93" s="137" t="s">
        <v>4915</v>
      </c>
      <c r="O93" s="2" t="s">
        <v>403</v>
      </c>
      <c r="P93" s="2"/>
      <c r="Q93" s="137" t="s">
        <v>7399</v>
      </c>
      <c r="R93" s="19">
        <v>45382</v>
      </c>
      <c r="S93" s="2" t="s">
        <v>433</v>
      </c>
      <c r="T93" s="19"/>
      <c r="U93" s="21"/>
      <c r="V93" s="21" t="s">
        <v>4237</v>
      </c>
      <c r="W93" s="21"/>
      <c r="X93" s="19"/>
      <c r="Y93" s="141"/>
      <c r="Z93" s="141"/>
    </row>
    <row r="94" spans="1:26" customFormat="1" x14ac:dyDescent="0.2">
      <c r="A94" s="129" t="s">
        <v>5502</v>
      </c>
      <c r="B94" s="2" t="s">
        <v>4994</v>
      </c>
      <c r="C94" s="2" t="s">
        <v>5000</v>
      </c>
      <c r="D94" s="19">
        <v>45058</v>
      </c>
      <c r="E94" s="2" t="s">
        <v>54</v>
      </c>
      <c r="F94" s="2" t="s">
        <v>54</v>
      </c>
      <c r="G94" s="2" t="s">
        <v>7662</v>
      </c>
      <c r="H94" s="2" t="s">
        <v>256</v>
      </c>
      <c r="I94" s="2"/>
      <c r="J94" s="2"/>
      <c r="K94" s="2" t="s">
        <v>7664</v>
      </c>
      <c r="L94" s="137" t="s">
        <v>2713</v>
      </c>
      <c r="M94" s="137" t="s">
        <v>533</v>
      </c>
      <c r="N94" s="137" t="s">
        <v>5020</v>
      </c>
      <c r="O94" s="2" t="s">
        <v>5029</v>
      </c>
      <c r="P94" s="2"/>
      <c r="Q94" s="137" t="s">
        <v>6717</v>
      </c>
      <c r="R94" s="19">
        <v>46112</v>
      </c>
      <c r="S94" s="2" t="s">
        <v>464</v>
      </c>
      <c r="T94" s="19"/>
      <c r="U94" s="21"/>
      <c r="V94" s="21" t="s">
        <v>4932</v>
      </c>
      <c r="W94" s="21"/>
      <c r="X94" s="19"/>
      <c r="Y94" s="141"/>
      <c r="Z94" s="141"/>
    </row>
    <row r="95" spans="1:26" customFormat="1" x14ac:dyDescent="0.2">
      <c r="A95" s="129" t="s">
        <v>5712</v>
      </c>
      <c r="B95" s="2" t="s">
        <v>7651</v>
      </c>
      <c r="C95" s="2" t="s">
        <v>5725</v>
      </c>
      <c r="D95" s="19">
        <v>45303</v>
      </c>
      <c r="E95" s="2" t="s">
        <v>54</v>
      </c>
      <c r="F95" s="2" t="s">
        <v>54</v>
      </c>
      <c r="G95" s="2" t="s">
        <v>7662</v>
      </c>
      <c r="H95" s="2" t="s">
        <v>256</v>
      </c>
      <c r="I95" s="2"/>
      <c r="J95" s="2"/>
      <c r="K95" s="2" t="s">
        <v>7657</v>
      </c>
      <c r="L95" s="137" t="s">
        <v>2713</v>
      </c>
      <c r="M95" s="137" t="s">
        <v>533</v>
      </c>
      <c r="N95" s="137" t="s">
        <v>5743</v>
      </c>
      <c r="O95" s="2" t="s">
        <v>403</v>
      </c>
      <c r="P95" s="2"/>
      <c r="Q95" s="137" t="s">
        <v>7397</v>
      </c>
      <c r="R95" s="19">
        <v>45504</v>
      </c>
      <c r="S95" s="2"/>
      <c r="T95" s="19"/>
      <c r="U95" s="21"/>
      <c r="V95" s="21" t="s">
        <v>4820</v>
      </c>
      <c r="W95" s="21"/>
      <c r="X95" s="19"/>
      <c r="Y95" s="141"/>
      <c r="Z95" s="141"/>
    </row>
    <row r="96" spans="1:26" customFormat="1" x14ac:dyDescent="0.2">
      <c r="A96" s="129" t="s">
        <v>5715</v>
      </c>
      <c r="B96" s="2" t="s">
        <v>34</v>
      </c>
      <c r="C96" s="2" t="s">
        <v>5730</v>
      </c>
      <c r="D96" s="19">
        <v>45324</v>
      </c>
      <c r="E96" s="2" t="s">
        <v>54</v>
      </c>
      <c r="F96" s="2" t="s">
        <v>54</v>
      </c>
      <c r="G96" s="2" t="s">
        <v>7663</v>
      </c>
      <c r="H96" s="2" t="s">
        <v>256</v>
      </c>
      <c r="I96" s="2"/>
      <c r="J96" s="2"/>
      <c r="K96" s="2" t="s">
        <v>5746</v>
      </c>
      <c r="L96" s="137" t="s">
        <v>2713</v>
      </c>
      <c r="M96" s="137" t="s">
        <v>393</v>
      </c>
      <c r="N96" s="137" t="s">
        <v>5751</v>
      </c>
      <c r="O96" s="2" t="s">
        <v>34</v>
      </c>
      <c r="P96" s="2" t="s">
        <v>191</v>
      </c>
      <c r="Q96" s="137" t="s">
        <v>7401</v>
      </c>
      <c r="R96" s="19">
        <v>46142</v>
      </c>
      <c r="S96" s="2"/>
      <c r="T96" s="19"/>
      <c r="U96" s="21"/>
      <c r="V96" s="21" t="s">
        <v>4169</v>
      </c>
      <c r="W96" s="21"/>
      <c r="X96" s="19"/>
      <c r="Y96" s="141"/>
      <c r="Z96" s="141"/>
    </row>
    <row r="97" spans="1:26" customFormat="1" x14ac:dyDescent="0.2">
      <c r="A97" s="129" t="s">
        <v>5716</v>
      </c>
      <c r="B97" s="2" t="s">
        <v>194</v>
      </c>
      <c r="C97" s="2" t="s">
        <v>5731</v>
      </c>
      <c r="D97" s="19">
        <v>45327</v>
      </c>
      <c r="E97" s="2" t="s">
        <v>54</v>
      </c>
      <c r="F97" s="2" t="s">
        <v>54</v>
      </c>
      <c r="G97" s="2" t="s">
        <v>7663</v>
      </c>
      <c r="H97" s="2" t="s">
        <v>256</v>
      </c>
      <c r="I97" s="2"/>
      <c r="J97" s="2"/>
      <c r="K97" s="2" t="s">
        <v>2736</v>
      </c>
      <c r="L97" s="2" t="s">
        <v>2713</v>
      </c>
      <c r="M97" s="137" t="s">
        <v>5747</v>
      </c>
      <c r="N97" s="137" t="s">
        <v>5748</v>
      </c>
      <c r="O97" s="2" t="s">
        <v>6995</v>
      </c>
      <c r="P97" s="2" t="s">
        <v>41</v>
      </c>
      <c r="Q97" s="137" t="s">
        <v>7401</v>
      </c>
      <c r="R97" s="19">
        <v>45900</v>
      </c>
      <c r="S97" s="2"/>
      <c r="T97" s="19"/>
      <c r="U97" s="21"/>
      <c r="V97" s="21" t="s">
        <v>4931</v>
      </c>
      <c r="W97" s="21"/>
      <c r="X97" s="19"/>
      <c r="Y97" s="141"/>
      <c r="Z97" s="141"/>
    </row>
    <row r="98" spans="1:26" s="3" customFormat="1" ht="15.75" thickBot="1" x14ac:dyDescent="0.25">
      <c r="A98" s="122"/>
      <c r="I98" s="8"/>
      <c r="J98" s="8"/>
      <c r="R98" s="22"/>
      <c r="T98" s="22"/>
      <c r="U98" s="136"/>
    </row>
    <row r="99" spans="1:26" ht="17.25" customHeight="1" thickBot="1" x14ac:dyDescent="0.25">
      <c r="B99" s="197" t="s">
        <v>7760</v>
      </c>
      <c r="C99" s="198"/>
      <c r="D99" s="199">
        <v>18</v>
      </c>
      <c r="E99" s="4"/>
      <c r="F99" s="4"/>
      <c r="G99" s="4"/>
      <c r="I99" s="9"/>
      <c r="J99" s="9"/>
      <c r="K99" s="4"/>
      <c r="L99" s="4"/>
      <c r="M99" s="4"/>
      <c r="N99" s="4"/>
      <c r="O99" s="4"/>
      <c r="P99" s="4"/>
      <c r="Q99" s="4"/>
      <c r="R99" s="4"/>
      <c r="S99" s="4"/>
      <c r="T99" s="4"/>
      <c r="U99" s="136"/>
      <c r="V99" s="4"/>
      <c r="W99" s="4"/>
    </row>
    <row r="100" spans="1:26" ht="17.25" customHeight="1" thickBot="1" x14ac:dyDescent="0.25">
      <c r="B100" s="197" t="s">
        <v>762</v>
      </c>
      <c r="C100" s="198"/>
      <c r="D100" s="199">
        <v>25</v>
      </c>
      <c r="E100" s="4"/>
      <c r="F100" s="4"/>
      <c r="G100" s="4"/>
      <c r="I100" s="9"/>
      <c r="J100" s="9"/>
      <c r="K100" s="4"/>
      <c r="L100" s="4"/>
      <c r="M100" s="4"/>
      <c r="N100" s="4"/>
      <c r="O100" s="4"/>
      <c r="P100" s="4"/>
      <c r="Q100" s="4"/>
      <c r="R100" s="4"/>
      <c r="S100" s="4"/>
      <c r="T100" s="4"/>
      <c r="U100" s="136"/>
      <c r="V100" s="4"/>
      <c r="W100" s="4"/>
    </row>
    <row r="101" spans="1:26" ht="17.25" customHeight="1" thickBot="1" x14ac:dyDescent="0.25">
      <c r="A101" s="124"/>
      <c r="B101" s="197" t="s">
        <v>7761</v>
      </c>
      <c r="C101" s="198"/>
      <c r="D101" s="199">
        <v>3</v>
      </c>
      <c r="E101" s="24"/>
      <c r="F101" s="25"/>
      <c r="G101" s="25"/>
      <c r="H101" s="5"/>
      <c r="I101" s="8"/>
      <c r="J101" s="8"/>
      <c r="K101" s="11"/>
      <c r="L101" s="11"/>
      <c r="M101" s="5"/>
      <c r="N101" s="11"/>
      <c r="O101" s="5"/>
      <c r="P101" s="5"/>
      <c r="Q101" s="5"/>
      <c r="R101" s="26"/>
      <c r="S101" s="5"/>
      <c r="T101" s="5"/>
      <c r="U101" s="136"/>
      <c r="V101" s="5"/>
      <c r="W101" s="26"/>
    </row>
    <row r="102" spans="1:26" ht="17.25" customHeight="1" thickBot="1" x14ac:dyDescent="0.25">
      <c r="A102" s="124"/>
      <c r="B102" s="197" t="s">
        <v>760</v>
      </c>
      <c r="C102" s="198"/>
      <c r="D102" s="199">
        <v>20</v>
      </c>
      <c r="E102" s="25"/>
      <c r="F102" s="25"/>
      <c r="G102" s="25"/>
      <c r="H102" s="5"/>
      <c r="I102" s="8"/>
      <c r="J102" s="8"/>
      <c r="K102" s="11"/>
      <c r="L102" s="11"/>
      <c r="M102" s="5"/>
      <c r="N102" s="11"/>
      <c r="O102" s="5"/>
      <c r="P102" s="5"/>
      <c r="Q102" s="5"/>
      <c r="R102" s="26"/>
      <c r="S102" s="5"/>
      <c r="T102" s="5"/>
      <c r="U102" s="136"/>
      <c r="V102" s="5"/>
      <c r="W102" s="26"/>
    </row>
    <row r="103" spans="1:26" ht="12" customHeight="1" x14ac:dyDescent="0.2">
      <c r="A103" s="124"/>
      <c r="B103" s="10"/>
      <c r="C103" s="10"/>
      <c r="D103" s="27"/>
      <c r="E103" s="25"/>
      <c r="F103" s="25"/>
      <c r="G103" s="25"/>
      <c r="H103" s="5"/>
      <c r="I103" s="8"/>
      <c r="J103" s="8"/>
      <c r="K103" s="11"/>
      <c r="L103" s="11"/>
      <c r="M103" s="5"/>
      <c r="N103" s="11"/>
      <c r="O103" s="5"/>
      <c r="P103" s="5"/>
      <c r="Q103" s="5"/>
      <c r="R103" s="26"/>
      <c r="S103" s="5"/>
      <c r="T103" s="5"/>
      <c r="U103" s="136"/>
      <c r="V103" s="5"/>
      <c r="W103" s="26"/>
    </row>
    <row r="104" spans="1:26" ht="12.75" customHeight="1" x14ac:dyDescent="0.2">
      <c r="A104" s="125" t="s">
        <v>2815</v>
      </c>
      <c r="B104" s="6" t="s">
        <v>4323</v>
      </c>
      <c r="C104" s="6"/>
      <c r="D104" s="6"/>
      <c r="E104" s="6"/>
      <c r="F104" s="6"/>
      <c r="G104" s="6"/>
      <c r="H104" s="6"/>
      <c r="I104" s="8"/>
      <c r="J104" s="8"/>
      <c r="K104" s="6"/>
      <c r="L104" s="6"/>
      <c r="M104" s="6"/>
      <c r="N104" s="6"/>
      <c r="O104" s="6"/>
      <c r="P104" s="6"/>
      <c r="Q104" s="6"/>
      <c r="R104" s="6"/>
      <c r="S104" s="6"/>
      <c r="T104" s="6"/>
      <c r="U104" s="136"/>
      <c r="V104" s="6"/>
      <c r="W104" s="6"/>
    </row>
    <row r="105" spans="1:26" ht="12" customHeight="1" x14ac:dyDescent="0.2">
      <c r="A105" s="126"/>
      <c r="B105" s="28" t="s">
        <v>7654</v>
      </c>
      <c r="C105" s="7"/>
      <c r="D105" s="7"/>
      <c r="E105" s="7"/>
      <c r="F105" s="7"/>
      <c r="G105" s="7"/>
      <c r="H105" s="7"/>
      <c r="I105" s="8"/>
      <c r="J105" s="8"/>
      <c r="K105" s="7"/>
      <c r="L105" s="7"/>
      <c r="M105" s="7"/>
      <c r="N105" s="7"/>
      <c r="O105" s="7"/>
      <c r="P105" s="7"/>
      <c r="Q105" s="7"/>
      <c r="R105" s="7"/>
      <c r="S105" s="4"/>
      <c r="T105" s="4"/>
      <c r="U105" s="4"/>
      <c r="V105" s="4"/>
      <c r="W105" s="4"/>
    </row>
    <row r="106" spans="1:26" ht="12" customHeight="1" x14ac:dyDescent="0.2">
      <c r="A106" s="126"/>
      <c r="B106" s="28" t="s">
        <v>7430</v>
      </c>
      <c r="C106" s="7"/>
      <c r="D106" s="7"/>
      <c r="E106" s="7"/>
      <c r="F106" s="7"/>
      <c r="G106" s="7"/>
      <c r="H106" s="7"/>
      <c r="I106" s="10"/>
      <c r="J106" s="10"/>
      <c r="K106" s="7"/>
      <c r="L106" s="7"/>
      <c r="M106" s="7"/>
      <c r="N106" s="7"/>
      <c r="O106" s="7"/>
      <c r="P106" s="7"/>
      <c r="Q106" s="7"/>
      <c r="R106" s="7"/>
      <c r="S106" s="4"/>
      <c r="T106" s="4"/>
      <c r="U106" s="4"/>
      <c r="V106" s="4"/>
      <c r="W106" s="4"/>
    </row>
    <row r="107" spans="1:26" ht="12" customHeight="1" x14ac:dyDescent="0.2">
      <c r="A107" s="125"/>
      <c r="B107" s="8" t="s">
        <v>7747</v>
      </c>
      <c r="C107" s="8"/>
      <c r="D107" s="8"/>
      <c r="E107" s="8"/>
      <c r="F107" s="8"/>
      <c r="G107" s="8"/>
      <c r="H107" s="8"/>
      <c r="I107" s="10"/>
      <c r="J107" s="10"/>
      <c r="K107" s="8"/>
      <c r="L107" s="8"/>
      <c r="M107" s="8"/>
      <c r="N107" s="8"/>
      <c r="O107" s="8"/>
      <c r="P107" s="8"/>
      <c r="Q107" s="8"/>
      <c r="R107" s="8"/>
      <c r="S107" s="8"/>
      <c r="T107" s="8"/>
      <c r="U107" s="136"/>
      <c r="V107" s="8"/>
      <c r="W107" s="8"/>
    </row>
    <row r="108" spans="1:26" ht="12" customHeight="1" x14ac:dyDescent="0.2">
      <c r="A108" s="127"/>
      <c r="B108" s="6" t="s">
        <v>7749</v>
      </c>
      <c r="C108" s="9"/>
      <c r="D108" s="9"/>
      <c r="E108" s="9"/>
      <c r="F108" s="9"/>
      <c r="G108" s="9"/>
      <c r="H108" s="9"/>
      <c r="I108" s="3"/>
      <c r="J108" s="3"/>
      <c r="K108" s="9"/>
      <c r="L108" s="9"/>
      <c r="M108" s="9"/>
      <c r="N108" s="9"/>
      <c r="O108" s="9"/>
      <c r="P108" s="9"/>
      <c r="Q108" s="9"/>
      <c r="R108" s="9"/>
      <c r="S108" s="9"/>
      <c r="T108" s="9"/>
      <c r="U108" s="136"/>
      <c r="V108" s="9"/>
      <c r="W108" s="9"/>
    </row>
    <row r="109" spans="1:26" ht="12" customHeight="1" x14ac:dyDescent="0.2">
      <c r="A109" s="127"/>
      <c r="B109" s="6" t="s">
        <v>5638</v>
      </c>
      <c r="C109" s="9"/>
      <c r="D109" s="9"/>
      <c r="E109" s="9"/>
      <c r="F109" s="9"/>
      <c r="G109" s="9"/>
      <c r="H109" s="9"/>
      <c r="I109" s="3"/>
      <c r="J109" s="3"/>
      <c r="K109" s="9"/>
      <c r="L109" s="9"/>
      <c r="M109" s="9"/>
      <c r="N109" s="9"/>
      <c r="O109" s="9"/>
      <c r="P109" s="9"/>
      <c r="Q109" s="9"/>
      <c r="R109" s="9"/>
      <c r="S109" s="9"/>
      <c r="T109" s="9"/>
      <c r="U109" s="136"/>
      <c r="V109" s="9"/>
      <c r="W109" s="9"/>
    </row>
    <row r="110" spans="1:26" ht="12" customHeight="1" x14ac:dyDescent="0.2">
      <c r="A110" s="127"/>
      <c r="B110" s="8" t="s">
        <v>443</v>
      </c>
      <c r="C110" s="8"/>
      <c r="D110" s="8"/>
      <c r="E110" s="8"/>
      <c r="F110" s="8"/>
      <c r="G110" s="8"/>
      <c r="H110" s="8"/>
      <c r="K110" s="8"/>
      <c r="L110" s="8"/>
      <c r="M110" s="8"/>
      <c r="N110" s="8"/>
      <c r="O110" s="8"/>
      <c r="P110" s="8"/>
      <c r="Q110" s="8"/>
      <c r="R110" s="8"/>
      <c r="S110" s="8"/>
      <c r="T110" s="8"/>
      <c r="U110" s="136"/>
      <c r="V110" s="8"/>
      <c r="W110" s="8"/>
    </row>
    <row r="111" spans="1:26" ht="12" customHeight="1" x14ac:dyDescent="0.2">
      <c r="A111" s="127"/>
      <c r="B111" s="8" t="s">
        <v>4310</v>
      </c>
      <c r="C111" s="8"/>
      <c r="D111" s="8"/>
      <c r="E111" s="8"/>
      <c r="F111" s="8"/>
      <c r="G111" s="8"/>
      <c r="H111" s="8"/>
      <c r="K111" s="8"/>
      <c r="L111" s="8"/>
      <c r="M111" s="8"/>
      <c r="N111" s="8"/>
      <c r="O111" s="8"/>
      <c r="P111" s="8"/>
      <c r="Q111" s="8"/>
      <c r="R111" s="8"/>
      <c r="S111" s="8"/>
      <c r="T111" s="8"/>
      <c r="U111" s="136"/>
      <c r="V111" s="8"/>
      <c r="W111" s="8"/>
    </row>
    <row r="112" spans="1:26" ht="11.25" customHeight="1" x14ac:dyDescent="0.2">
      <c r="A112" s="127"/>
      <c r="B112" s="8" t="s">
        <v>4311</v>
      </c>
      <c r="C112" s="8"/>
      <c r="D112" s="8"/>
      <c r="E112" s="8"/>
      <c r="F112" s="8"/>
      <c r="G112" s="8"/>
      <c r="H112" s="8"/>
      <c r="K112" s="8"/>
      <c r="L112" s="8"/>
      <c r="M112" s="8"/>
      <c r="N112" s="8"/>
      <c r="O112" s="8"/>
      <c r="P112" s="8"/>
      <c r="Q112" s="8"/>
      <c r="R112" s="8"/>
      <c r="S112" s="8"/>
      <c r="T112" s="8"/>
      <c r="U112" s="136"/>
      <c r="V112" s="8"/>
      <c r="W112" s="8"/>
    </row>
    <row r="113" spans="1:23" ht="11.25" customHeight="1" x14ac:dyDescent="0.2">
      <c r="A113" s="127"/>
      <c r="B113" s="8"/>
      <c r="C113" s="8"/>
      <c r="E113" s="8"/>
      <c r="F113" s="8"/>
      <c r="G113" s="8"/>
      <c r="H113" s="8"/>
      <c r="K113" s="8"/>
      <c r="L113" s="8"/>
      <c r="M113" s="8"/>
      <c r="N113" s="8"/>
      <c r="O113" s="8"/>
      <c r="P113" s="8"/>
      <c r="Q113" s="8"/>
      <c r="R113" s="8"/>
      <c r="S113" s="8"/>
      <c r="T113" s="8"/>
      <c r="U113" s="136"/>
      <c r="V113" s="8"/>
      <c r="W113" s="8"/>
    </row>
    <row r="114" spans="1:23" s="10" customFormat="1" ht="15" customHeight="1" x14ac:dyDescent="0.2">
      <c r="A114" s="127"/>
      <c r="B114" s="8"/>
      <c r="C114" s="8"/>
      <c r="D114" s="11"/>
      <c r="E114" s="8"/>
      <c r="F114" s="8"/>
      <c r="G114" s="8"/>
      <c r="H114" s="8"/>
      <c r="I114" s="4"/>
      <c r="J114" s="4"/>
      <c r="K114" s="8"/>
      <c r="L114" s="8"/>
      <c r="M114" s="8"/>
      <c r="N114" s="8"/>
      <c r="O114" s="8"/>
      <c r="P114" s="8"/>
      <c r="Q114" s="8"/>
      <c r="R114" s="8"/>
      <c r="S114" s="8"/>
      <c r="T114" s="8"/>
      <c r="U114" s="136"/>
      <c r="V114" s="8"/>
      <c r="W114" s="8"/>
    </row>
    <row r="115" spans="1:23" x14ac:dyDescent="0.2">
      <c r="A115" s="128"/>
      <c r="B115" s="10" t="s">
        <v>1338</v>
      </c>
      <c r="C115" s="10"/>
      <c r="D115" s="10"/>
      <c r="E115" s="10"/>
      <c r="F115" s="10"/>
      <c r="G115" s="10"/>
      <c r="H115" s="10"/>
      <c r="K115" s="10"/>
      <c r="L115" s="10"/>
      <c r="M115" s="10"/>
      <c r="N115" s="10"/>
      <c r="O115" s="10"/>
      <c r="P115" s="10"/>
      <c r="Q115" s="10"/>
      <c r="R115" s="10"/>
      <c r="S115" s="10"/>
      <c r="T115" s="10"/>
      <c r="U115" s="136"/>
      <c r="V115" s="10"/>
      <c r="W115" s="10"/>
    </row>
    <row r="116" spans="1:23" x14ac:dyDescent="0.2">
      <c r="B116" s="29" t="s">
        <v>1337</v>
      </c>
      <c r="C116" s="11"/>
      <c r="E116" s="30"/>
      <c r="F116" s="30"/>
      <c r="G116" s="30"/>
      <c r="H116" s="10"/>
      <c r="K116" s="5"/>
      <c r="L116" s="5"/>
      <c r="M116" s="5"/>
      <c r="N116" s="5"/>
      <c r="O116" s="5"/>
      <c r="P116" s="5"/>
      <c r="Q116" s="5"/>
      <c r="R116" s="5"/>
      <c r="S116" s="5"/>
      <c r="T116" s="5"/>
      <c r="U116" s="136"/>
      <c r="V116" s="5"/>
      <c r="W116" s="26"/>
    </row>
    <row r="117" spans="1:23" s="3" customFormat="1" x14ac:dyDescent="0.2">
      <c r="A117" s="122"/>
      <c r="I117" s="4"/>
      <c r="J117" s="4"/>
      <c r="R117" s="22"/>
      <c r="T117" s="22"/>
      <c r="U117" s="136"/>
    </row>
    <row r="118" spans="1:23" s="3" customFormat="1" x14ac:dyDescent="0.2">
      <c r="A118" s="122"/>
      <c r="I118" s="4"/>
      <c r="J118" s="4"/>
      <c r="R118" s="22"/>
      <c r="T118" s="22"/>
      <c r="U118" s="136"/>
    </row>
    <row r="119" spans="1:23" x14ac:dyDescent="0.2">
      <c r="U119" s="136"/>
    </row>
    <row r="120" spans="1:23" x14ac:dyDescent="0.2">
      <c r="U120" s="136"/>
    </row>
    <row r="121" spans="1:23" x14ac:dyDescent="0.2">
      <c r="U121" s="136"/>
    </row>
    <row r="122" spans="1:23" x14ac:dyDescent="0.2">
      <c r="U122" s="136"/>
    </row>
    <row r="123" spans="1:23" x14ac:dyDescent="0.2">
      <c r="U123" s="136"/>
    </row>
    <row r="124" spans="1:23" x14ac:dyDescent="0.2">
      <c r="U124" s="136"/>
    </row>
    <row r="125" spans="1:23" x14ac:dyDescent="0.2">
      <c r="U125" s="136"/>
    </row>
    <row r="126" spans="1:23" x14ac:dyDescent="0.2">
      <c r="U126" s="136"/>
    </row>
    <row r="127" spans="1:23" x14ac:dyDescent="0.2">
      <c r="U127" s="136"/>
    </row>
    <row r="128" spans="1:23" x14ac:dyDescent="0.2">
      <c r="U128" s="136"/>
    </row>
    <row r="129" spans="21:21" x14ac:dyDescent="0.2">
      <c r="U129" s="136"/>
    </row>
    <row r="130" spans="21:21" x14ac:dyDescent="0.2">
      <c r="U130" s="136"/>
    </row>
    <row r="131" spans="21:21" x14ac:dyDescent="0.2">
      <c r="U131" s="136"/>
    </row>
    <row r="132" spans="21:21" x14ac:dyDescent="0.2">
      <c r="U132" s="136"/>
    </row>
    <row r="133" spans="21:21" x14ac:dyDescent="0.2">
      <c r="U133" s="136"/>
    </row>
    <row r="134" spans="21:21" x14ac:dyDescent="0.2">
      <c r="U134" s="136"/>
    </row>
    <row r="135" spans="21:21" x14ac:dyDescent="0.2">
      <c r="U135" s="136"/>
    </row>
    <row r="136" spans="21:21" x14ac:dyDescent="0.2">
      <c r="U136" s="136"/>
    </row>
    <row r="137" spans="21:21" x14ac:dyDescent="0.2">
      <c r="U137" s="136"/>
    </row>
    <row r="138" spans="21:21" x14ac:dyDescent="0.2">
      <c r="U138" s="136"/>
    </row>
    <row r="139" spans="21:21" x14ac:dyDescent="0.2">
      <c r="U139" s="136"/>
    </row>
    <row r="140" spans="21:21" x14ac:dyDescent="0.2">
      <c r="U140" s="136"/>
    </row>
    <row r="141" spans="21:21" x14ac:dyDescent="0.2">
      <c r="U141" s="136"/>
    </row>
    <row r="142" spans="21:21" x14ac:dyDescent="0.2">
      <c r="U142" s="136"/>
    </row>
    <row r="143" spans="21:21" x14ac:dyDescent="0.2">
      <c r="U143" s="136"/>
    </row>
    <row r="144" spans="21:21" x14ac:dyDescent="0.2">
      <c r="U144" s="136"/>
    </row>
    <row r="145" spans="21:21" x14ac:dyDescent="0.2">
      <c r="U145" s="136"/>
    </row>
    <row r="146" spans="21:21" x14ac:dyDescent="0.2">
      <c r="U146" s="136"/>
    </row>
    <row r="147" spans="21:21" x14ac:dyDescent="0.2">
      <c r="U147" s="136"/>
    </row>
    <row r="148" spans="21:21" x14ac:dyDescent="0.2">
      <c r="U148" s="136"/>
    </row>
    <row r="149" spans="21:21" x14ac:dyDescent="0.2">
      <c r="U149" s="136"/>
    </row>
    <row r="150" spans="21:21" x14ac:dyDescent="0.2">
      <c r="U150" s="136"/>
    </row>
    <row r="151" spans="21:21" x14ac:dyDescent="0.2">
      <c r="U151" s="136"/>
    </row>
    <row r="152" spans="21:21" x14ac:dyDescent="0.2">
      <c r="U152" s="136"/>
    </row>
    <row r="153" spans="21:21" x14ac:dyDescent="0.2">
      <c r="U153" s="136"/>
    </row>
    <row r="154" spans="21:21" x14ac:dyDescent="0.2">
      <c r="U154" s="136"/>
    </row>
    <row r="155" spans="21:21" x14ac:dyDescent="0.2">
      <c r="U155" s="136"/>
    </row>
    <row r="156" spans="21:21" x14ac:dyDescent="0.2">
      <c r="U156" s="136"/>
    </row>
    <row r="157" spans="21:21" x14ac:dyDescent="0.2">
      <c r="U157" s="136"/>
    </row>
    <row r="158" spans="21:21" x14ac:dyDescent="0.2">
      <c r="U158" s="136"/>
    </row>
    <row r="159" spans="21:21" x14ac:dyDescent="0.2">
      <c r="U159" s="136"/>
    </row>
    <row r="160" spans="21:21" x14ac:dyDescent="0.2">
      <c r="U160" s="136"/>
    </row>
    <row r="161" spans="21:21" x14ac:dyDescent="0.2">
      <c r="U161" s="136"/>
    </row>
    <row r="162" spans="21:21" x14ac:dyDescent="0.2">
      <c r="U162" s="136"/>
    </row>
    <row r="163" spans="21:21" x14ac:dyDescent="0.2">
      <c r="U163" s="136"/>
    </row>
    <row r="164" spans="21:21" x14ac:dyDescent="0.2">
      <c r="U164" s="136"/>
    </row>
    <row r="165" spans="21:21" x14ac:dyDescent="0.2">
      <c r="U165" s="136"/>
    </row>
    <row r="166" spans="21:21" x14ac:dyDescent="0.2">
      <c r="U166" s="136"/>
    </row>
    <row r="167" spans="21:21" x14ac:dyDescent="0.2">
      <c r="U167" s="136"/>
    </row>
    <row r="168" spans="21:21" x14ac:dyDescent="0.2">
      <c r="U168" s="136"/>
    </row>
    <row r="169" spans="21:21" x14ac:dyDescent="0.2">
      <c r="U169" s="136"/>
    </row>
    <row r="170" spans="21:21" x14ac:dyDescent="0.2">
      <c r="U170" s="136"/>
    </row>
    <row r="171" spans="21:21" x14ac:dyDescent="0.2">
      <c r="U171" s="136"/>
    </row>
    <row r="172" spans="21:21" x14ac:dyDescent="0.2">
      <c r="U172" s="136"/>
    </row>
    <row r="173" spans="21:21" x14ac:dyDescent="0.2">
      <c r="U173" s="136"/>
    </row>
    <row r="174" spans="21:21" x14ac:dyDescent="0.2">
      <c r="U174" s="136"/>
    </row>
    <row r="175" spans="21:21" x14ac:dyDescent="0.2">
      <c r="U175" s="136"/>
    </row>
    <row r="176" spans="21:21" x14ac:dyDescent="0.2">
      <c r="U176" s="136"/>
    </row>
    <row r="177" spans="21:21" x14ac:dyDescent="0.2">
      <c r="U177" s="136"/>
    </row>
    <row r="178" spans="21:21" x14ac:dyDescent="0.2">
      <c r="U178" s="136"/>
    </row>
    <row r="179" spans="21:21" x14ac:dyDescent="0.2">
      <c r="U179" s="136"/>
    </row>
    <row r="180" spans="21:21" x14ac:dyDescent="0.2">
      <c r="U180" s="136"/>
    </row>
    <row r="181" spans="21:21" x14ac:dyDescent="0.2">
      <c r="U181" s="136"/>
    </row>
    <row r="182" spans="21:21" x14ac:dyDescent="0.2">
      <c r="U182" s="136"/>
    </row>
    <row r="183" spans="21:21" x14ac:dyDescent="0.2">
      <c r="U183" s="136"/>
    </row>
    <row r="184" spans="21:21" x14ac:dyDescent="0.2">
      <c r="U184" s="136"/>
    </row>
    <row r="185" spans="21:21" x14ac:dyDescent="0.2">
      <c r="U185" s="136"/>
    </row>
    <row r="186" spans="21:21" x14ac:dyDescent="0.2">
      <c r="U186" s="136"/>
    </row>
    <row r="187" spans="21:21" x14ac:dyDescent="0.2">
      <c r="U187" s="136"/>
    </row>
    <row r="188" spans="21:21" x14ac:dyDescent="0.2">
      <c r="U188" s="136"/>
    </row>
    <row r="189" spans="21:21" x14ac:dyDescent="0.2">
      <c r="U189" s="136"/>
    </row>
    <row r="190" spans="21:21" x14ac:dyDescent="0.2">
      <c r="U190" s="136"/>
    </row>
    <row r="191" spans="21:21" x14ac:dyDescent="0.2">
      <c r="U191" s="136"/>
    </row>
    <row r="192" spans="21:21" x14ac:dyDescent="0.2">
      <c r="U192" s="136"/>
    </row>
    <row r="193" spans="21:21" x14ac:dyDescent="0.2">
      <c r="U193" s="136"/>
    </row>
    <row r="194" spans="21:21" x14ac:dyDescent="0.2">
      <c r="U194" s="136"/>
    </row>
    <row r="195" spans="21:21" x14ac:dyDescent="0.2">
      <c r="U195" s="136"/>
    </row>
    <row r="196" spans="21:21" x14ac:dyDescent="0.2">
      <c r="U196" s="136"/>
    </row>
    <row r="197" spans="21:21" x14ac:dyDescent="0.2">
      <c r="U197" s="136"/>
    </row>
    <row r="198" spans="21:21" x14ac:dyDescent="0.2">
      <c r="U198" s="136"/>
    </row>
    <row r="199" spans="21:21" x14ac:dyDescent="0.2">
      <c r="U199" s="136"/>
    </row>
    <row r="200" spans="21:21" x14ac:dyDescent="0.2">
      <c r="U200" s="136"/>
    </row>
    <row r="201" spans="21:21" x14ac:dyDescent="0.2">
      <c r="U201" s="136"/>
    </row>
    <row r="202" spans="21:21" x14ac:dyDescent="0.2">
      <c r="U202" s="136"/>
    </row>
    <row r="203" spans="21:21" x14ac:dyDescent="0.2">
      <c r="U203" s="136"/>
    </row>
    <row r="204" spans="21:21" x14ac:dyDescent="0.2">
      <c r="U204" s="136"/>
    </row>
    <row r="205" spans="21:21" x14ac:dyDescent="0.2">
      <c r="U205" s="136"/>
    </row>
    <row r="206" spans="21:21" x14ac:dyDescent="0.2">
      <c r="U206" s="136"/>
    </row>
    <row r="207" spans="21:21" x14ac:dyDescent="0.2">
      <c r="U207" s="136"/>
    </row>
    <row r="208" spans="21:21" x14ac:dyDescent="0.2">
      <c r="U208" s="136"/>
    </row>
    <row r="209" spans="21:21" x14ac:dyDescent="0.2">
      <c r="U209" s="136"/>
    </row>
    <row r="210" spans="21:21" x14ac:dyDescent="0.2">
      <c r="U210" s="136"/>
    </row>
    <row r="211" spans="21:21" x14ac:dyDescent="0.2">
      <c r="U211" s="136"/>
    </row>
    <row r="212" spans="21:21" x14ac:dyDescent="0.2">
      <c r="U212" s="136"/>
    </row>
    <row r="213" spans="21:21" x14ac:dyDescent="0.2">
      <c r="U213" s="136"/>
    </row>
    <row r="214" spans="21:21" x14ac:dyDescent="0.2">
      <c r="U214" s="136"/>
    </row>
    <row r="215" spans="21:21" x14ac:dyDescent="0.2">
      <c r="U215" s="136"/>
    </row>
    <row r="216" spans="21:21" x14ac:dyDescent="0.2">
      <c r="U216" s="136"/>
    </row>
    <row r="217" spans="21:21" x14ac:dyDescent="0.2">
      <c r="U217" s="136"/>
    </row>
    <row r="218" spans="21:21" x14ac:dyDescent="0.2">
      <c r="U218" s="136"/>
    </row>
    <row r="219" spans="21:21" x14ac:dyDescent="0.2">
      <c r="U219" s="136"/>
    </row>
    <row r="220" spans="21:21" x14ac:dyDescent="0.2">
      <c r="U220" s="136"/>
    </row>
    <row r="221" spans="21:21" x14ac:dyDescent="0.2">
      <c r="U221" s="136"/>
    </row>
    <row r="222" spans="21:21" x14ac:dyDescent="0.2">
      <c r="U222" s="136"/>
    </row>
    <row r="223" spans="21:21" x14ac:dyDescent="0.2">
      <c r="U223" s="136"/>
    </row>
    <row r="224" spans="21:21" x14ac:dyDescent="0.2">
      <c r="U224" s="136"/>
    </row>
    <row r="225" spans="21:21" x14ac:dyDescent="0.2">
      <c r="U225" s="136"/>
    </row>
    <row r="226" spans="21:21" x14ac:dyDescent="0.2">
      <c r="U226" s="136"/>
    </row>
    <row r="227" spans="21:21" x14ac:dyDescent="0.2">
      <c r="U227" s="136"/>
    </row>
    <row r="228" spans="21:21" x14ac:dyDescent="0.2">
      <c r="U228" s="136"/>
    </row>
    <row r="229" spans="21:21" x14ac:dyDescent="0.2">
      <c r="U229" s="136"/>
    </row>
    <row r="230" spans="21:21" x14ac:dyDescent="0.2">
      <c r="U230" s="136"/>
    </row>
    <row r="231" spans="21:21" x14ac:dyDescent="0.2">
      <c r="U231" s="136"/>
    </row>
    <row r="232" spans="21:21" x14ac:dyDescent="0.2">
      <c r="U232" s="136"/>
    </row>
    <row r="233" spans="21:21" x14ac:dyDescent="0.2">
      <c r="U233" s="136"/>
    </row>
    <row r="234" spans="21:21" x14ac:dyDescent="0.2">
      <c r="U234" s="136"/>
    </row>
    <row r="235" spans="21:21" x14ac:dyDescent="0.2">
      <c r="U235" s="136"/>
    </row>
    <row r="236" spans="21:21" x14ac:dyDescent="0.2">
      <c r="U236" s="136"/>
    </row>
    <row r="237" spans="21:21" x14ac:dyDescent="0.2">
      <c r="U237" s="136"/>
    </row>
    <row r="238" spans="21:21" x14ac:dyDescent="0.2">
      <c r="U238" s="136"/>
    </row>
    <row r="239" spans="21:21" x14ac:dyDescent="0.2">
      <c r="U239" s="136"/>
    </row>
    <row r="240" spans="21:21" x14ac:dyDescent="0.2">
      <c r="U240" s="136"/>
    </row>
    <row r="241" spans="21:21" x14ac:dyDescent="0.2">
      <c r="U241" s="136"/>
    </row>
    <row r="242" spans="21:21" x14ac:dyDescent="0.2">
      <c r="U242" s="136"/>
    </row>
    <row r="243" spans="21:21" x14ac:dyDescent="0.2">
      <c r="U243" s="136"/>
    </row>
    <row r="244" spans="21:21" x14ac:dyDescent="0.2">
      <c r="U244" s="136"/>
    </row>
    <row r="245" spans="21:21" x14ac:dyDescent="0.2">
      <c r="U245" s="136"/>
    </row>
    <row r="246" spans="21:21" x14ac:dyDescent="0.2">
      <c r="U246" s="136"/>
    </row>
    <row r="247" spans="21:21" x14ac:dyDescent="0.2">
      <c r="U247" s="136"/>
    </row>
    <row r="248" spans="21:21" x14ac:dyDescent="0.2">
      <c r="U248" s="136"/>
    </row>
    <row r="249" spans="21:21" x14ac:dyDescent="0.2">
      <c r="U249" s="136"/>
    </row>
    <row r="250" spans="21:21" x14ac:dyDescent="0.2">
      <c r="U250" s="136"/>
    </row>
    <row r="251" spans="21:21" x14ac:dyDescent="0.2">
      <c r="U251" s="136"/>
    </row>
    <row r="252" spans="21:21" x14ac:dyDescent="0.2">
      <c r="U252" s="136"/>
    </row>
    <row r="253" spans="21:21" x14ac:dyDescent="0.2">
      <c r="U253" s="136"/>
    </row>
    <row r="254" spans="21:21" x14ac:dyDescent="0.2">
      <c r="U254" s="136"/>
    </row>
    <row r="255" spans="21:21" x14ac:dyDescent="0.2">
      <c r="U255" s="136"/>
    </row>
    <row r="256" spans="21:21" x14ac:dyDescent="0.2">
      <c r="U256" s="136"/>
    </row>
    <row r="257" spans="21:21" x14ac:dyDescent="0.2">
      <c r="U257" s="136"/>
    </row>
    <row r="258" spans="21:21" x14ac:dyDescent="0.2">
      <c r="U258" s="136"/>
    </row>
    <row r="259" spans="21:21" x14ac:dyDescent="0.2">
      <c r="U259" s="136"/>
    </row>
    <row r="260" spans="21:21" x14ac:dyDescent="0.2">
      <c r="U260" s="136"/>
    </row>
    <row r="261" spans="21:21" x14ac:dyDescent="0.2">
      <c r="U261" s="136"/>
    </row>
    <row r="262" spans="21:21" x14ac:dyDescent="0.2">
      <c r="U262" s="136"/>
    </row>
    <row r="263" spans="21:21" x14ac:dyDescent="0.2">
      <c r="U263" s="136"/>
    </row>
    <row r="264" spans="21:21" x14ac:dyDescent="0.2">
      <c r="U264" s="136"/>
    </row>
    <row r="265" spans="21:21" x14ac:dyDescent="0.2">
      <c r="U265" s="136"/>
    </row>
    <row r="266" spans="21:21" x14ac:dyDescent="0.2">
      <c r="U266" s="136"/>
    </row>
    <row r="267" spans="21:21" x14ac:dyDescent="0.2">
      <c r="U267" s="136"/>
    </row>
    <row r="268" spans="21:21" x14ac:dyDescent="0.2">
      <c r="U268" s="136"/>
    </row>
    <row r="269" spans="21:21" x14ac:dyDescent="0.2">
      <c r="U269" s="136"/>
    </row>
    <row r="270" spans="21:21" x14ac:dyDescent="0.2">
      <c r="U270" s="136"/>
    </row>
    <row r="271" spans="21:21" x14ac:dyDescent="0.2">
      <c r="U271" s="136"/>
    </row>
    <row r="272" spans="21:21" x14ac:dyDescent="0.2">
      <c r="U272" s="136"/>
    </row>
    <row r="273" spans="21:21" x14ac:dyDescent="0.2">
      <c r="U273" s="136"/>
    </row>
    <row r="274" spans="21:21" x14ac:dyDescent="0.2">
      <c r="U274" s="136"/>
    </row>
    <row r="275" spans="21:21" x14ac:dyDescent="0.2">
      <c r="U275" s="136"/>
    </row>
    <row r="276" spans="21:21" x14ac:dyDescent="0.2">
      <c r="U276" s="136"/>
    </row>
    <row r="277" spans="21:21" x14ac:dyDescent="0.2">
      <c r="U277" s="136"/>
    </row>
    <row r="278" spans="21:21" x14ac:dyDescent="0.2">
      <c r="U278" s="136"/>
    </row>
    <row r="279" spans="21:21" x14ac:dyDescent="0.2">
      <c r="U279" s="136"/>
    </row>
    <row r="280" spans="21:21" x14ac:dyDescent="0.2">
      <c r="U280" s="136"/>
    </row>
    <row r="281" spans="21:21" x14ac:dyDescent="0.2">
      <c r="U281" s="136"/>
    </row>
    <row r="282" spans="21:21" x14ac:dyDescent="0.2">
      <c r="U282" s="136"/>
    </row>
    <row r="283" spans="21:21" x14ac:dyDescent="0.2">
      <c r="U283" s="136"/>
    </row>
    <row r="284" spans="21:21" x14ac:dyDescent="0.2">
      <c r="U284" s="136"/>
    </row>
    <row r="285" spans="21:21" x14ac:dyDescent="0.2">
      <c r="U285" s="136"/>
    </row>
    <row r="286" spans="21:21" x14ac:dyDescent="0.2">
      <c r="U286" s="136"/>
    </row>
    <row r="287" spans="21:21" x14ac:dyDescent="0.2">
      <c r="U287" s="136"/>
    </row>
    <row r="288" spans="21:21" x14ac:dyDescent="0.2">
      <c r="U288" s="136"/>
    </row>
    <row r="289" spans="21:21" x14ac:dyDescent="0.2">
      <c r="U289" s="136"/>
    </row>
    <row r="290" spans="21:21" x14ac:dyDescent="0.2">
      <c r="U290" s="136"/>
    </row>
    <row r="291" spans="21:21" x14ac:dyDescent="0.2">
      <c r="U291" s="136"/>
    </row>
    <row r="292" spans="21:21" x14ac:dyDescent="0.2">
      <c r="U292" s="136"/>
    </row>
    <row r="293" spans="21:21" x14ac:dyDescent="0.2">
      <c r="U293" s="136"/>
    </row>
    <row r="294" spans="21:21" x14ac:dyDescent="0.2">
      <c r="U294" s="136"/>
    </row>
    <row r="295" spans="21:21" x14ac:dyDescent="0.2">
      <c r="U295" s="136"/>
    </row>
    <row r="296" spans="21:21" x14ac:dyDescent="0.2">
      <c r="U296" s="136"/>
    </row>
    <row r="297" spans="21:21" x14ac:dyDescent="0.2">
      <c r="U297" s="136"/>
    </row>
    <row r="298" spans="21:21" x14ac:dyDescent="0.2">
      <c r="U298" s="136"/>
    </row>
    <row r="299" spans="21:21" x14ac:dyDescent="0.2">
      <c r="U299" s="136"/>
    </row>
    <row r="300" spans="21:21" x14ac:dyDescent="0.2">
      <c r="U300" s="136"/>
    </row>
    <row r="301" spans="21:21" x14ac:dyDescent="0.2">
      <c r="U301" s="136"/>
    </row>
    <row r="302" spans="21:21" x14ac:dyDescent="0.2">
      <c r="U302" s="136"/>
    </row>
    <row r="303" spans="21:21" x14ac:dyDescent="0.2">
      <c r="U303" s="136"/>
    </row>
    <row r="304" spans="21:21" x14ac:dyDescent="0.2">
      <c r="U304" s="136"/>
    </row>
    <row r="305" spans="21:21" x14ac:dyDescent="0.2">
      <c r="U305" s="136"/>
    </row>
    <row r="306" spans="21:21" x14ac:dyDescent="0.2">
      <c r="U306" s="136"/>
    </row>
    <row r="307" spans="21:21" x14ac:dyDescent="0.2">
      <c r="U307" s="136"/>
    </row>
    <row r="308" spans="21:21" x14ac:dyDescent="0.2">
      <c r="U308" s="136"/>
    </row>
    <row r="309" spans="21:21" x14ac:dyDescent="0.2">
      <c r="U309" s="136"/>
    </row>
    <row r="310" spans="21:21" x14ac:dyDescent="0.2">
      <c r="U310" s="136"/>
    </row>
    <row r="311" spans="21:21" x14ac:dyDescent="0.2">
      <c r="U311" s="136"/>
    </row>
    <row r="312" spans="21:21" x14ac:dyDescent="0.2">
      <c r="U312" s="136"/>
    </row>
    <row r="313" spans="21:21" x14ac:dyDescent="0.2">
      <c r="U313" s="136"/>
    </row>
    <row r="314" spans="21:21" x14ac:dyDescent="0.2">
      <c r="U314" s="136"/>
    </row>
    <row r="315" spans="21:21" x14ac:dyDescent="0.2">
      <c r="U315" s="136"/>
    </row>
    <row r="316" spans="21:21" x14ac:dyDescent="0.2">
      <c r="U316" s="136"/>
    </row>
    <row r="317" spans="21:21" x14ac:dyDescent="0.2">
      <c r="U317" s="136"/>
    </row>
    <row r="318" spans="21:21" x14ac:dyDescent="0.2">
      <c r="U318" s="136"/>
    </row>
    <row r="319" spans="21:21" x14ac:dyDescent="0.2">
      <c r="U319" s="136"/>
    </row>
    <row r="320" spans="21:21" x14ac:dyDescent="0.2">
      <c r="U320" s="136"/>
    </row>
    <row r="321" spans="21:21" x14ac:dyDescent="0.2">
      <c r="U321" s="136"/>
    </row>
    <row r="322" spans="21:21" x14ac:dyDescent="0.2">
      <c r="U322" s="136"/>
    </row>
    <row r="323" spans="21:21" x14ac:dyDescent="0.2">
      <c r="U323" s="136"/>
    </row>
    <row r="324" spans="21:21" x14ac:dyDescent="0.2">
      <c r="U324" s="136"/>
    </row>
    <row r="325" spans="21:21" x14ac:dyDescent="0.2">
      <c r="U325" s="136"/>
    </row>
    <row r="326" spans="21:21" x14ac:dyDescent="0.2">
      <c r="U326" s="136"/>
    </row>
    <row r="327" spans="21:21" x14ac:dyDescent="0.2">
      <c r="U327" s="136"/>
    </row>
    <row r="328" spans="21:21" x14ac:dyDescent="0.2">
      <c r="U328" s="136"/>
    </row>
    <row r="329" spans="21:21" x14ac:dyDescent="0.2">
      <c r="U329" s="136"/>
    </row>
    <row r="330" spans="21:21" x14ac:dyDescent="0.2">
      <c r="U330" s="136"/>
    </row>
    <row r="331" spans="21:21" x14ac:dyDescent="0.2">
      <c r="U331" s="136"/>
    </row>
    <row r="332" spans="21:21" x14ac:dyDescent="0.2">
      <c r="U332" s="136"/>
    </row>
    <row r="333" spans="21:21" x14ac:dyDescent="0.2">
      <c r="U333" s="136"/>
    </row>
    <row r="334" spans="21:21" x14ac:dyDescent="0.2">
      <c r="U334" s="136"/>
    </row>
    <row r="335" spans="21:21" x14ac:dyDescent="0.2">
      <c r="U335" s="136"/>
    </row>
    <row r="336" spans="21:21" x14ac:dyDescent="0.2">
      <c r="U336" s="136"/>
    </row>
    <row r="337" spans="21:21" x14ac:dyDescent="0.2">
      <c r="U337" s="136"/>
    </row>
    <row r="338" spans="21:21" x14ac:dyDescent="0.2">
      <c r="U338" s="136"/>
    </row>
    <row r="339" spans="21:21" x14ac:dyDescent="0.2">
      <c r="U339" s="136"/>
    </row>
    <row r="340" spans="21:21" x14ac:dyDescent="0.2">
      <c r="U340" s="136"/>
    </row>
  </sheetData>
  <autoFilter ref="A1:AB97" xr:uid="{00000000-0001-0000-0000-000000000000}"/>
  <phoneticPr fontId="0" type="noConversion"/>
  <conditionalFormatting sqref="A2:A97">
    <cfRule type="duplicateValues" dxfId="98" priority="1298"/>
    <cfRule type="duplicateValues" dxfId="97" priority="1299"/>
  </conditionalFormatting>
  <conditionalFormatting sqref="A105">
    <cfRule type="duplicateValues" dxfId="96" priority="3"/>
    <cfRule type="duplicateValues" dxfId="95" priority="4"/>
  </conditionalFormatting>
  <conditionalFormatting sqref="A106">
    <cfRule type="duplicateValues" dxfId="94" priority="1"/>
    <cfRule type="duplicateValues" dxfId="93" priority="2"/>
  </conditionalFormatting>
  <conditionalFormatting sqref="A107:A1048576 A1:A104">
    <cfRule type="duplicateValues" dxfId="92" priority="160"/>
    <cfRule type="duplicateValues" dxfId="91" priority="161"/>
  </conditionalFormatting>
  <hyperlinks>
    <hyperlink ref="B116" r:id="rId1" xr:uid="{4E9775AA-91C5-4F9D-95D6-4878767DF426}"/>
  </hyperlinks>
  <printOptions horizontalCentered="1"/>
  <pageMargins left="0.7" right="0.7" top="0.75" bottom="0.75" header="0.3" footer="0.3"/>
  <pageSetup scale="32" fitToHeight="0" orientation="landscape" r:id="rId2"/>
  <headerFooter differentOddEven="1" alignWithMargins="0">
    <oddHeader xml:space="preserve">&amp;C&amp;"Arial,Bold"&amp;UInterconnection Requests and Transmission Projects &amp;R
&amp;10Page &amp;P of &amp;N&amp;12
</oddHeader>
    <oddFooter>&amp;L&amp;"Arial,Italic"&amp;10&amp;F&amp;C
&amp;R&amp;"Arial,Italic"&amp;10Updated: 07/31/2026</oddFooter>
  </headerFooter>
  <ignoredErrors>
    <ignoredError sqref="J5 J33 I36 J39 I44:J45 I57:J57 I68:J71 I59:J63 I73:J74 J55 I76:J85 I87:J88 I86 A2:A23 A24:A33 J34 A34:A71 I72:J72 A72:A74 Q2:Q74 A75 Q75 A76:A97 Q76:Q9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5543-FBC5-4F64-89BB-88D95FD44350}">
  <dimension ref="A1:AE98"/>
  <sheetViews>
    <sheetView workbookViewId="0">
      <selection activeCell="B21" sqref="B21"/>
    </sheetView>
  </sheetViews>
  <sheetFormatPr defaultRowHeight="15" x14ac:dyDescent="0.2"/>
  <cols>
    <col min="2" max="2" width="19.6640625" customWidth="1"/>
    <col min="3" max="3" width="22.44140625" customWidth="1"/>
    <col min="7" max="7" width="37" bestFit="1" customWidth="1"/>
    <col min="9" max="9" width="8.109375" style="4" customWidth="1"/>
    <col min="10" max="12" width="15.21875" style="4" customWidth="1"/>
    <col min="13" max="13" width="11.77734375" style="4" customWidth="1"/>
    <col min="14" max="14" width="10.5546875" style="4" customWidth="1"/>
    <col min="15" max="15" width="10.44140625" bestFit="1" customWidth="1"/>
    <col min="16" max="16" width="14.88671875" bestFit="1" customWidth="1"/>
    <col min="18" max="18" width="32.33203125" customWidth="1"/>
    <col min="20" max="20" width="16.21875" bestFit="1" customWidth="1"/>
    <col min="21" max="21" width="30" bestFit="1" customWidth="1"/>
    <col min="22" max="22" width="8.88671875" style="131"/>
  </cols>
  <sheetData>
    <row r="1" spans="1:28" s="18" customFormat="1" ht="39" thickBot="1" x14ac:dyDescent="0.25">
      <c r="A1" s="121" t="s">
        <v>2828</v>
      </c>
      <c r="B1" s="1" t="s">
        <v>6783</v>
      </c>
      <c r="C1" s="1" t="s">
        <v>0</v>
      </c>
      <c r="D1" s="1" t="s">
        <v>2829</v>
      </c>
      <c r="E1" s="1" t="s">
        <v>2830</v>
      </c>
      <c r="F1" s="1" t="s">
        <v>2831</v>
      </c>
      <c r="G1" s="1" t="s">
        <v>7685</v>
      </c>
      <c r="H1" s="1" t="s">
        <v>2832</v>
      </c>
      <c r="I1" s="1" t="s">
        <v>7366</v>
      </c>
      <c r="J1" s="1" t="s">
        <v>7367</v>
      </c>
      <c r="K1" s="1" t="s">
        <v>2710</v>
      </c>
      <c r="L1" s="1" t="s">
        <v>2711</v>
      </c>
      <c r="M1" s="1" t="s">
        <v>7655</v>
      </c>
      <c r="N1" s="1" t="s">
        <v>4062</v>
      </c>
      <c r="O1" s="1" t="s">
        <v>4063</v>
      </c>
      <c r="P1" s="1" t="s">
        <v>6082</v>
      </c>
      <c r="Q1" s="1" t="s">
        <v>7673</v>
      </c>
      <c r="R1" s="130" t="s">
        <v>4064</v>
      </c>
      <c r="S1" s="1" t="s">
        <v>2834</v>
      </c>
      <c r="T1" s="17" t="s">
        <v>5846</v>
      </c>
      <c r="U1" s="1" t="s">
        <v>5850</v>
      </c>
      <c r="V1" s="1" t="s">
        <v>5851</v>
      </c>
      <c r="W1" s="1" t="s">
        <v>4325</v>
      </c>
    </row>
    <row r="2" spans="1:28" x14ac:dyDescent="0.2">
      <c r="A2" s="129" t="s">
        <v>6206</v>
      </c>
      <c r="B2" s="2" t="s">
        <v>4358</v>
      </c>
      <c r="C2" s="2" t="s">
        <v>6207</v>
      </c>
      <c r="D2" s="19">
        <v>45505</v>
      </c>
      <c r="E2" s="2">
        <v>1321</v>
      </c>
      <c r="F2" s="2">
        <v>1321</v>
      </c>
      <c r="G2" s="2" t="s">
        <v>7686</v>
      </c>
      <c r="H2" s="2" t="s">
        <v>7365</v>
      </c>
      <c r="I2" s="141"/>
      <c r="J2" s="141"/>
      <c r="K2" s="2" t="s">
        <v>6208</v>
      </c>
      <c r="L2" s="2" t="s">
        <v>2713</v>
      </c>
      <c r="M2" s="2" t="s">
        <v>532</v>
      </c>
      <c r="N2" s="2" t="s">
        <v>4886</v>
      </c>
      <c r="O2" s="2" t="s">
        <v>41</v>
      </c>
      <c r="P2" s="2" t="s">
        <v>6933</v>
      </c>
      <c r="Q2" s="2" t="s">
        <v>7399</v>
      </c>
      <c r="R2" s="19">
        <v>45991</v>
      </c>
      <c r="S2" s="2"/>
      <c r="T2" s="2"/>
      <c r="U2" s="20" t="s">
        <v>7294</v>
      </c>
      <c r="V2" s="20" t="s">
        <v>7295</v>
      </c>
      <c r="W2" s="19" t="s">
        <v>7296</v>
      </c>
      <c r="X2" s="2"/>
      <c r="Y2" s="2"/>
      <c r="Z2" s="2"/>
      <c r="AA2" s="2"/>
      <c r="AB2" s="2"/>
    </row>
    <row r="3" spans="1:28" x14ac:dyDescent="0.2">
      <c r="A3" s="129" t="s">
        <v>6209</v>
      </c>
      <c r="B3" s="2" t="s">
        <v>4600</v>
      </c>
      <c r="C3" s="2" t="s">
        <v>4601</v>
      </c>
      <c r="D3" s="19">
        <v>45505</v>
      </c>
      <c r="E3" s="2">
        <v>140</v>
      </c>
      <c r="F3" s="2">
        <v>140</v>
      </c>
      <c r="G3" s="2" t="s">
        <v>7686</v>
      </c>
      <c r="H3" s="2" t="s">
        <v>615</v>
      </c>
      <c r="I3" s="2" t="s">
        <v>7415</v>
      </c>
      <c r="J3" s="2" t="s">
        <v>6717</v>
      </c>
      <c r="K3" s="2" t="s">
        <v>2712</v>
      </c>
      <c r="L3" s="2" t="s">
        <v>2713</v>
      </c>
      <c r="M3" s="2" t="s">
        <v>533</v>
      </c>
      <c r="N3" s="2" t="s">
        <v>4819</v>
      </c>
      <c r="O3" s="2" t="s">
        <v>41</v>
      </c>
      <c r="P3" s="2" t="s">
        <v>403</v>
      </c>
      <c r="Q3" s="2" t="s">
        <v>7399</v>
      </c>
      <c r="R3" s="19">
        <v>45991</v>
      </c>
      <c r="S3" s="2"/>
      <c r="T3" s="2"/>
      <c r="U3" s="20" t="s">
        <v>6210</v>
      </c>
      <c r="V3" s="20" t="s">
        <v>6185</v>
      </c>
      <c r="W3" s="19" t="s">
        <v>6211</v>
      </c>
      <c r="X3" s="2"/>
      <c r="Y3" s="2"/>
      <c r="Z3" s="2"/>
      <c r="AA3" s="2"/>
      <c r="AB3" s="2"/>
    </row>
    <row r="4" spans="1:28" x14ac:dyDescent="0.2">
      <c r="A4" s="129" t="s">
        <v>6212</v>
      </c>
      <c r="B4" s="2" t="s">
        <v>4787</v>
      </c>
      <c r="C4" s="2" t="s">
        <v>4802</v>
      </c>
      <c r="D4" s="19">
        <v>45505</v>
      </c>
      <c r="E4" s="2">
        <v>300</v>
      </c>
      <c r="F4" s="2">
        <v>300</v>
      </c>
      <c r="G4" s="2" t="s">
        <v>7686</v>
      </c>
      <c r="H4" s="2" t="s">
        <v>615</v>
      </c>
      <c r="I4" s="2" t="s">
        <v>3496</v>
      </c>
      <c r="J4" s="2" t="s">
        <v>6717</v>
      </c>
      <c r="K4" s="2" t="s">
        <v>2712</v>
      </c>
      <c r="L4" s="2" t="s">
        <v>2713</v>
      </c>
      <c r="M4" s="2" t="s">
        <v>533</v>
      </c>
      <c r="N4" s="2" t="s">
        <v>6213</v>
      </c>
      <c r="O4" s="2" t="s">
        <v>403</v>
      </c>
      <c r="P4" s="2"/>
      <c r="Q4" s="2" t="s">
        <v>7399</v>
      </c>
      <c r="R4" s="19">
        <v>45991</v>
      </c>
      <c r="S4" s="2"/>
      <c r="T4" s="2"/>
      <c r="U4" s="20" t="s">
        <v>6210</v>
      </c>
      <c r="V4" s="20" t="s">
        <v>6185</v>
      </c>
      <c r="W4" s="19" t="s">
        <v>6211</v>
      </c>
      <c r="X4" s="2"/>
      <c r="Y4" s="2"/>
      <c r="Z4" s="2"/>
      <c r="AA4" s="2"/>
      <c r="AB4" s="2"/>
    </row>
    <row r="5" spans="1:28" x14ac:dyDescent="0.2">
      <c r="A5" s="129" t="s">
        <v>6094</v>
      </c>
      <c r="B5" s="2" t="s">
        <v>4279</v>
      </c>
      <c r="C5" s="2" t="s">
        <v>4280</v>
      </c>
      <c r="D5" s="19">
        <v>45505</v>
      </c>
      <c r="E5" s="2">
        <v>50</v>
      </c>
      <c r="F5" s="2">
        <v>50</v>
      </c>
      <c r="G5" s="2" t="s">
        <v>7686</v>
      </c>
      <c r="H5" s="2" t="s">
        <v>615</v>
      </c>
      <c r="I5" s="2" t="s">
        <v>5796</v>
      </c>
      <c r="J5" s="2" t="s">
        <v>6717</v>
      </c>
      <c r="K5" s="2" t="s">
        <v>2716</v>
      </c>
      <c r="L5" s="2" t="s">
        <v>2713</v>
      </c>
      <c r="M5" s="2" t="s">
        <v>532</v>
      </c>
      <c r="N5" s="2" t="s">
        <v>3931</v>
      </c>
      <c r="O5" s="2" t="s">
        <v>87</v>
      </c>
      <c r="P5" s="2"/>
      <c r="Q5" s="2" t="s">
        <v>7399</v>
      </c>
      <c r="R5" s="19">
        <v>46022</v>
      </c>
      <c r="S5" s="2"/>
      <c r="T5" s="2"/>
      <c r="U5" s="20" t="s">
        <v>4603</v>
      </c>
      <c r="V5" s="20" t="s">
        <v>6373</v>
      </c>
      <c r="W5" s="19" t="s">
        <v>6152</v>
      </c>
      <c r="X5" s="2"/>
      <c r="Y5" s="2"/>
      <c r="Z5" s="2"/>
      <c r="AA5" s="2"/>
      <c r="AB5" s="2"/>
    </row>
    <row r="6" spans="1:28" x14ac:dyDescent="0.2">
      <c r="A6" s="129" t="s">
        <v>6221</v>
      </c>
      <c r="B6" s="2" t="s">
        <v>1821</v>
      </c>
      <c r="C6" s="2" t="s">
        <v>1822</v>
      </c>
      <c r="D6" s="19">
        <v>45505</v>
      </c>
      <c r="E6" s="2">
        <v>60</v>
      </c>
      <c r="F6" s="2">
        <v>60</v>
      </c>
      <c r="G6" s="2" t="s">
        <v>7686</v>
      </c>
      <c r="H6" s="2" t="s">
        <v>615</v>
      </c>
      <c r="I6" s="2" t="s">
        <v>7416</v>
      </c>
      <c r="J6" s="2" t="s">
        <v>6717</v>
      </c>
      <c r="K6" s="2" t="s">
        <v>2716</v>
      </c>
      <c r="L6" s="2" t="s">
        <v>2713</v>
      </c>
      <c r="M6" s="2" t="s">
        <v>532</v>
      </c>
      <c r="N6" s="2" t="s">
        <v>6222</v>
      </c>
      <c r="O6" s="2" t="s">
        <v>87</v>
      </c>
      <c r="P6" s="2"/>
      <c r="Q6" s="2" t="s">
        <v>7399</v>
      </c>
      <c r="R6" s="19">
        <v>46022</v>
      </c>
      <c r="S6" s="2"/>
      <c r="T6" s="2"/>
      <c r="U6" s="20" t="s">
        <v>6106</v>
      </c>
      <c r="V6" s="20" t="s">
        <v>4248</v>
      </c>
      <c r="W6" s="19" t="s">
        <v>6145</v>
      </c>
      <c r="X6" s="2"/>
      <c r="Y6" s="2"/>
      <c r="Z6" s="2"/>
      <c r="AA6" s="2"/>
      <c r="AB6" s="2"/>
    </row>
    <row r="7" spans="1:28" x14ac:dyDescent="0.2">
      <c r="A7" s="129" t="s">
        <v>6228</v>
      </c>
      <c r="B7" s="2" t="s">
        <v>6229</v>
      </c>
      <c r="C7" s="2" t="s">
        <v>6230</v>
      </c>
      <c r="D7" s="19">
        <v>45505</v>
      </c>
      <c r="E7" s="2">
        <v>190</v>
      </c>
      <c r="F7" s="2">
        <v>190</v>
      </c>
      <c r="G7" s="2" t="s">
        <v>7686</v>
      </c>
      <c r="H7" s="2" t="s">
        <v>615</v>
      </c>
      <c r="I7" s="2" t="s">
        <v>7417</v>
      </c>
      <c r="J7" s="2" t="s">
        <v>6717</v>
      </c>
      <c r="K7" s="2" t="s">
        <v>3554</v>
      </c>
      <c r="L7" s="2" t="s">
        <v>2713</v>
      </c>
      <c r="M7" s="2" t="s">
        <v>533</v>
      </c>
      <c r="N7" s="2" t="s">
        <v>6785</v>
      </c>
      <c r="O7" s="2" t="s">
        <v>403</v>
      </c>
      <c r="P7" s="2"/>
      <c r="Q7" s="2" t="s">
        <v>7399</v>
      </c>
      <c r="R7" s="19">
        <v>45991</v>
      </c>
      <c r="S7" s="2"/>
      <c r="T7" s="2"/>
      <c r="U7" s="20" t="s">
        <v>6210</v>
      </c>
      <c r="V7" s="20" t="s">
        <v>6185</v>
      </c>
      <c r="W7" s="19" t="s">
        <v>6211</v>
      </c>
      <c r="X7" s="2"/>
      <c r="Y7" s="2"/>
      <c r="Z7" s="2"/>
      <c r="AA7" s="2"/>
      <c r="AB7" s="2"/>
    </row>
    <row r="8" spans="1:28" x14ac:dyDescent="0.2">
      <c r="A8" s="129" t="s">
        <v>6241</v>
      </c>
      <c r="B8" s="2" t="s">
        <v>5544</v>
      </c>
      <c r="C8" s="2" t="s">
        <v>5545</v>
      </c>
      <c r="D8" s="19">
        <v>45505</v>
      </c>
      <c r="E8" s="2">
        <v>1310</v>
      </c>
      <c r="F8" s="2">
        <v>1310</v>
      </c>
      <c r="G8" s="2" t="s">
        <v>7686</v>
      </c>
      <c r="H8" s="2" t="s">
        <v>7365</v>
      </c>
      <c r="I8" s="2"/>
      <c r="J8" s="2"/>
      <c r="K8" s="2" t="s">
        <v>2715</v>
      </c>
      <c r="L8" s="2" t="s">
        <v>2713</v>
      </c>
      <c r="M8" s="2" t="s">
        <v>533</v>
      </c>
      <c r="N8" s="2" t="s">
        <v>6242</v>
      </c>
      <c r="O8" s="2" t="s">
        <v>86</v>
      </c>
      <c r="P8" s="2"/>
      <c r="Q8" s="2" t="s">
        <v>7399</v>
      </c>
      <c r="R8" s="19">
        <v>45900</v>
      </c>
      <c r="S8" s="2"/>
      <c r="T8" s="2"/>
      <c r="U8" s="20" t="s">
        <v>5954</v>
      </c>
      <c r="V8" s="20" t="s">
        <v>6205</v>
      </c>
      <c r="W8" s="19" t="s">
        <v>6038</v>
      </c>
      <c r="X8" s="2"/>
      <c r="Y8" s="2"/>
      <c r="Z8" s="2"/>
      <c r="AA8" s="2"/>
      <c r="AB8" s="2"/>
    </row>
    <row r="9" spans="1:28" x14ac:dyDescent="0.2">
      <c r="A9" s="129" t="s">
        <v>6258</v>
      </c>
      <c r="B9" s="2" t="s">
        <v>7297</v>
      </c>
      <c r="C9" s="2" t="s">
        <v>1471</v>
      </c>
      <c r="D9" s="19">
        <v>45505</v>
      </c>
      <c r="E9" s="2">
        <v>150</v>
      </c>
      <c r="F9" s="2">
        <v>150</v>
      </c>
      <c r="G9" s="2" t="s">
        <v>7686</v>
      </c>
      <c r="H9" s="2" t="s">
        <v>615</v>
      </c>
      <c r="I9" s="2" t="s">
        <v>7418</v>
      </c>
      <c r="J9" s="2" t="s">
        <v>6717</v>
      </c>
      <c r="K9" s="2" t="s">
        <v>2763</v>
      </c>
      <c r="L9" s="2" t="s">
        <v>2713</v>
      </c>
      <c r="M9" s="2" t="s">
        <v>393</v>
      </c>
      <c r="N9" s="2" t="s">
        <v>6786</v>
      </c>
      <c r="O9" s="2" t="s">
        <v>34</v>
      </c>
      <c r="P9" s="2"/>
      <c r="Q9" s="2" t="s">
        <v>7399</v>
      </c>
      <c r="R9" s="19">
        <v>46022</v>
      </c>
      <c r="S9" s="2"/>
      <c r="T9" s="2"/>
      <c r="U9" s="20" t="s">
        <v>6130</v>
      </c>
      <c r="V9" s="20" t="s">
        <v>6397</v>
      </c>
      <c r="W9" s="19" t="s">
        <v>6254</v>
      </c>
      <c r="X9" s="2"/>
      <c r="Y9" s="2"/>
      <c r="Z9" s="2"/>
      <c r="AA9" s="2"/>
      <c r="AB9" s="2"/>
    </row>
    <row r="10" spans="1:28" x14ac:dyDescent="0.2">
      <c r="A10" s="129" t="s">
        <v>6125</v>
      </c>
      <c r="B10" s="2" t="s">
        <v>4281</v>
      </c>
      <c r="C10" s="2" t="s">
        <v>4282</v>
      </c>
      <c r="D10" s="19">
        <v>45505</v>
      </c>
      <c r="E10" s="2">
        <v>50</v>
      </c>
      <c r="F10" s="2">
        <v>50</v>
      </c>
      <c r="G10" s="2" t="s">
        <v>7686</v>
      </c>
      <c r="H10" s="2" t="s">
        <v>615</v>
      </c>
      <c r="I10" s="2" t="s">
        <v>5796</v>
      </c>
      <c r="J10" s="2" t="s">
        <v>6717</v>
      </c>
      <c r="K10" s="2" t="s">
        <v>2716</v>
      </c>
      <c r="L10" s="2" t="s">
        <v>2713</v>
      </c>
      <c r="M10" s="2" t="s">
        <v>532</v>
      </c>
      <c r="N10" s="2" t="s">
        <v>6126</v>
      </c>
      <c r="O10" s="2" t="s">
        <v>87</v>
      </c>
      <c r="P10" s="2"/>
      <c r="Q10" s="2" t="s">
        <v>7399</v>
      </c>
      <c r="R10" s="19">
        <v>46053</v>
      </c>
      <c r="S10" s="2"/>
      <c r="T10" s="2"/>
      <c r="U10" s="20" t="s">
        <v>4516</v>
      </c>
      <c r="V10" s="20" t="s">
        <v>4246</v>
      </c>
      <c r="W10" s="19" t="s">
        <v>4088</v>
      </c>
      <c r="X10" s="2"/>
      <c r="Y10" s="2"/>
      <c r="Z10" s="2"/>
      <c r="AA10" s="2"/>
      <c r="AB10" s="2"/>
    </row>
    <row r="11" spans="1:28" x14ac:dyDescent="0.2">
      <c r="A11" s="129" t="s">
        <v>6278</v>
      </c>
      <c r="B11" s="2" t="s">
        <v>3388</v>
      </c>
      <c r="C11" s="2" t="s">
        <v>3887</v>
      </c>
      <c r="D11" s="19">
        <v>45505</v>
      </c>
      <c r="E11" s="2">
        <v>29.8</v>
      </c>
      <c r="F11" s="2">
        <v>29.8</v>
      </c>
      <c r="G11" s="2" t="s">
        <v>7687</v>
      </c>
      <c r="H11" s="2" t="s">
        <v>124</v>
      </c>
      <c r="I11" s="2"/>
      <c r="J11" s="2"/>
      <c r="K11" s="2" t="s">
        <v>2729</v>
      </c>
      <c r="L11" s="2" t="s">
        <v>2713</v>
      </c>
      <c r="M11" s="2" t="s">
        <v>393</v>
      </c>
      <c r="N11" s="2" t="s">
        <v>6954</v>
      </c>
      <c r="O11" s="2" t="s">
        <v>157</v>
      </c>
      <c r="P11" s="2"/>
      <c r="Q11" s="2" t="s">
        <v>7399</v>
      </c>
      <c r="R11" s="19">
        <v>46053</v>
      </c>
      <c r="S11" s="2"/>
      <c r="T11" s="2"/>
      <c r="U11" s="20" t="s">
        <v>4273</v>
      </c>
      <c r="V11" s="20" t="s">
        <v>4130</v>
      </c>
      <c r="W11" s="19" t="s">
        <v>4088</v>
      </c>
      <c r="X11" s="2"/>
      <c r="Y11" s="2"/>
      <c r="Z11" s="2"/>
      <c r="AA11" s="2"/>
      <c r="AB11" s="2"/>
    </row>
    <row r="12" spans="1:28" x14ac:dyDescent="0.2">
      <c r="A12" s="129" t="s">
        <v>6287</v>
      </c>
      <c r="B12" s="2" t="s">
        <v>7297</v>
      </c>
      <c r="C12" s="2" t="s">
        <v>6288</v>
      </c>
      <c r="D12" s="19">
        <v>45505</v>
      </c>
      <c r="E12" s="2">
        <v>150</v>
      </c>
      <c r="F12" s="2">
        <v>150</v>
      </c>
      <c r="G12" s="2" t="s">
        <v>7686</v>
      </c>
      <c r="H12" s="2" t="s">
        <v>615</v>
      </c>
      <c r="I12" s="2" t="s">
        <v>7418</v>
      </c>
      <c r="J12" s="2" t="s">
        <v>6717</v>
      </c>
      <c r="K12" s="2" t="s">
        <v>2806</v>
      </c>
      <c r="L12" s="2" t="s">
        <v>2713</v>
      </c>
      <c r="M12" s="2" t="s">
        <v>539</v>
      </c>
      <c r="N12" s="2" t="s">
        <v>6289</v>
      </c>
      <c r="O12" s="2" t="s">
        <v>673</v>
      </c>
      <c r="P12" s="2"/>
      <c r="Q12" s="2" t="s">
        <v>7399</v>
      </c>
      <c r="R12" s="19">
        <v>46022</v>
      </c>
      <c r="S12" s="2"/>
      <c r="T12" s="2"/>
      <c r="U12" s="20" t="s">
        <v>6271</v>
      </c>
      <c r="V12" s="20" t="s">
        <v>6254</v>
      </c>
      <c r="W12" s="19" t="s">
        <v>4169</v>
      </c>
      <c r="X12" s="2"/>
      <c r="Y12" s="2"/>
      <c r="Z12" s="2"/>
      <c r="AA12" s="2"/>
      <c r="AB12" s="2"/>
    </row>
    <row r="13" spans="1:28" x14ac:dyDescent="0.2">
      <c r="A13" s="129" t="s">
        <v>6131</v>
      </c>
      <c r="B13" s="2" t="s">
        <v>6132</v>
      </c>
      <c r="C13" s="2" t="s">
        <v>5049</v>
      </c>
      <c r="D13" s="19">
        <v>45505</v>
      </c>
      <c r="E13" s="2">
        <v>200</v>
      </c>
      <c r="F13" s="2">
        <v>200</v>
      </c>
      <c r="G13" s="2" t="s">
        <v>7686</v>
      </c>
      <c r="H13" s="2" t="s">
        <v>615</v>
      </c>
      <c r="I13" s="2" t="s">
        <v>7421</v>
      </c>
      <c r="J13" s="2" t="s">
        <v>6717</v>
      </c>
      <c r="K13" s="2" t="s">
        <v>3145</v>
      </c>
      <c r="L13" s="2" t="s">
        <v>2713</v>
      </c>
      <c r="M13" s="2" t="s">
        <v>393</v>
      </c>
      <c r="N13" s="2" t="s">
        <v>6171</v>
      </c>
      <c r="O13" s="2" t="s">
        <v>34</v>
      </c>
      <c r="P13" s="2"/>
      <c r="Q13" s="2" t="s">
        <v>7399</v>
      </c>
      <c r="R13" s="19">
        <v>46053</v>
      </c>
      <c r="S13" s="2"/>
      <c r="T13" s="2"/>
      <c r="U13" s="20" t="s">
        <v>4603</v>
      </c>
      <c r="V13" s="20" t="s">
        <v>6210</v>
      </c>
      <c r="W13" s="19" t="s">
        <v>6185</v>
      </c>
      <c r="X13" s="2"/>
      <c r="Y13" s="2"/>
      <c r="Z13" s="2"/>
      <c r="AA13" s="2"/>
      <c r="AB13" s="2"/>
    </row>
    <row r="14" spans="1:28" x14ac:dyDescent="0.2">
      <c r="A14" s="129" t="s">
        <v>7225</v>
      </c>
      <c r="B14" s="2" t="s">
        <v>3388</v>
      </c>
      <c r="C14" s="2" t="s">
        <v>3790</v>
      </c>
      <c r="D14" s="19">
        <v>45505</v>
      </c>
      <c r="E14" s="2">
        <v>95</v>
      </c>
      <c r="F14" s="2">
        <v>95</v>
      </c>
      <c r="G14" s="2" t="s">
        <v>7686</v>
      </c>
      <c r="H14" s="2" t="s">
        <v>124</v>
      </c>
      <c r="I14" s="2"/>
      <c r="J14" s="2"/>
      <c r="K14" s="2" t="s">
        <v>2741</v>
      </c>
      <c r="L14" s="2" t="s">
        <v>2713</v>
      </c>
      <c r="M14" s="2" t="s">
        <v>531</v>
      </c>
      <c r="N14" s="2" t="s">
        <v>6177</v>
      </c>
      <c r="O14" s="2" t="s">
        <v>157</v>
      </c>
      <c r="P14" s="2"/>
      <c r="Q14" s="2" t="s">
        <v>7399</v>
      </c>
      <c r="R14" s="19">
        <v>46053</v>
      </c>
      <c r="S14" s="2"/>
      <c r="T14" s="2"/>
      <c r="U14" s="20" t="s">
        <v>6099</v>
      </c>
      <c r="V14" s="20" t="s">
        <v>6133</v>
      </c>
      <c r="W14" s="19" t="s">
        <v>6106</v>
      </c>
      <c r="X14" s="2"/>
      <c r="Y14" s="2"/>
      <c r="Z14" s="2"/>
      <c r="AA14" s="2"/>
      <c r="AB14" s="2"/>
    </row>
    <row r="15" spans="1:28" x14ac:dyDescent="0.2">
      <c r="A15" s="129" t="s">
        <v>6307</v>
      </c>
      <c r="B15" s="2" t="s">
        <v>7647</v>
      </c>
      <c r="C15" s="2" t="s">
        <v>6308</v>
      </c>
      <c r="D15" s="19">
        <v>45505</v>
      </c>
      <c r="E15" s="2">
        <v>200</v>
      </c>
      <c r="F15" s="2">
        <v>200</v>
      </c>
      <c r="G15" s="2" t="s">
        <v>7686</v>
      </c>
      <c r="H15" s="2" t="s">
        <v>615</v>
      </c>
      <c r="I15" s="2" t="s">
        <v>7421</v>
      </c>
      <c r="J15" s="2" t="s">
        <v>6717</v>
      </c>
      <c r="K15" s="2" t="s">
        <v>2732</v>
      </c>
      <c r="L15" s="2" t="s">
        <v>2713</v>
      </c>
      <c r="M15" s="2" t="s">
        <v>393</v>
      </c>
      <c r="N15" s="2" t="s">
        <v>6309</v>
      </c>
      <c r="O15" s="2" t="s">
        <v>34</v>
      </c>
      <c r="P15" s="2"/>
      <c r="Q15" s="2" t="s">
        <v>7399</v>
      </c>
      <c r="R15" s="19">
        <v>46053</v>
      </c>
      <c r="S15" s="2"/>
      <c r="T15" s="2"/>
      <c r="U15" s="20" t="s">
        <v>4168</v>
      </c>
      <c r="V15" s="20" t="s">
        <v>4168</v>
      </c>
      <c r="W15" s="19" t="s">
        <v>4088</v>
      </c>
      <c r="X15" s="2"/>
      <c r="Y15" s="2"/>
      <c r="Z15" s="2"/>
      <c r="AA15" s="2"/>
      <c r="AB15" s="2"/>
    </row>
    <row r="16" spans="1:28" x14ac:dyDescent="0.2">
      <c r="A16" s="129" t="s">
        <v>6310</v>
      </c>
      <c r="B16" s="2" t="s">
        <v>7647</v>
      </c>
      <c r="C16" s="2" t="s">
        <v>6311</v>
      </c>
      <c r="D16" s="19">
        <v>45505</v>
      </c>
      <c r="E16" s="2">
        <v>75</v>
      </c>
      <c r="F16" s="2">
        <v>75</v>
      </c>
      <c r="G16" s="2" t="s">
        <v>7686</v>
      </c>
      <c r="H16" s="2" t="s">
        <v>615</v>
      </c>
      <c r="I16" s="2" t="s">
        <v>5812</v>
      </c>
      <c r="J16" s="2" t="s">
        <v>6717</v>
      </c>
      <c r="K16" s="2" t="s">
        <v>6312</v>
      </c>
      <c r="L16" s="2" t="s">
        <v>2713</v>
      </c>
      <c r="M16" s="2" t="s">
        <v>532</v>
      </c>
      <c r="N16" s="2" t="s">
        <v>6313</v>
      </c>
      <c r="O16" s="2" t="s">
        <v>87</v>
      </c>
      <c r="P16" s="2"/>
      <c r="Q16" s="2" t="s">
        <v>7399</v>
      </c>
      <c r="R16" s="19">
        <v>46053</v>
      </c>
      <c r="S16" s="2"/>
      <c r="T16" s="2"/>
      <c r="U16" s="20" t="s">
        <v>4168</v>
      </c>
      <c r="V16" s="20" t="s">
        <v>4168</v>
      </c>
      <c r="W16" s="19" t="s">
        <v>4088</v>
      </c>
      <c r="X16" s="2"/>
      <c r="Y16" s="2"/>
      <c r="Z16" s="2"/>
      <c r="AA16" s="2"/>
      <c r="AB16" s="2"/>
    </row>
    <row r="17" spans="1:28" x14ac:dyDescent="0.2">
      <c r="A17" s="129" t="s">
        <v>6314</v>
      </c>
      <c r="B17" s="2" t="s">
        <v>7647</v>
      </c>
      <c r="C17" s="2" t="s">
        <v>6315</v>
      </c>
      <c r="D17" s="19">
        <v>45505</v>
      </c>
      <c r="E17" s="2">
        <v>200</v>
      </c>
      <c r="F17" s="2">
        <v>200</v>
      </c>
      <c r="G17" s="2" t="s">
        <v>7686</v>
      </c>
      <c r="H17" s="2" t="s">
        <v>615</v>
      </c>
      <c r="I17" s="2" t="s">
        <v>7421</v>
      </c>
      <c r="J17" s="2" t="s">
        <v>6717</v>
      </c>
      <c r="K17" s="2" t="s">
        <v>2773</v>
      </c>
      <c r="L17" s="2" t="s">
        <v>2713</v>
      </c>
      <c r="M17" s="2" t="s">
        <v>539</v>
      </c>
      <c r="N17" s="2" t="s">
        <v>6957</v>
      </c>
      <c r="O17" s="2" t="s">
        <v>673</v>
      </c>
      <c r="P17" s="2"/>
      <c r="Q17" s="2" t="s">
        <v>7399</v>
      </c>
      <c r="R17" s="19">
        <v>46053</v>
      </c>
      <c r="S17" s="2"/>
      <c r="T17" s="2"/>
      <c r="U17" s="20" t="s">
        <v>4168</v>
      </c>
      <c r="V17" s="20" t="s">
        <v>4168</v>
      </c>
      <c r="W17" s="19" t="s">
        <v>4088</v>
      </c>
      <c r="X17" s="2"/>
      <c r="Y17" s="2"/>
      <c r="Z17" s="2"/>
      <c r="AA17" s="2"/>
      <c r="AB17" s="2"/>
    </row>
    <row r="18" spans="1:28" x14ac:dyDescent="0.2">
      <c r="A18" s="129" t="s">
        <v>6316</v>
      </c>
      <c r="B18" s="2" t="s">
        <v>1428</v>
      </c>
      <c r="C18" s="2" t="s">
        <v>6317</v>
      </c>
      <c r="D18" s="19">
        <v>45505</v>
      </c>
      <c r="E18" s="2">
        <v>135</v>
      </c>
      <c r="F18" s="2">
        <v>135</v>
      </c>
      <c r="G18" s="2" t="s">
        <v>7686</v>
      </c>
      <c r="H18" s="2" t="s">
        <v>615</v>
      </c>
      <c r="I18" s="2" t="s">
        <v>7422</v>
      </c>
      <c r="J18" s="2" t="s">
        <v>6717</v>
      </c>
      <c r="K18" s="2" t="s">
        <v>2734</v>
      </c>
      <c r="L18" s="2" t="s">
        <v>2713</v>
      </c>
      <c r="M18" s="2" t="s">
        <v>530</v>
      </c>
      <c r="N18" s="2" t="s">
        <v>4547</v>
      </c>
      <c r="O18" s="2" t="s">
        <v>34</v>
      </c>
      <c r="P18" s="2"/>
      <c r="Q18" s="2" t="s">
        <v>7399</v>
      </c>
      <c r="R18" s="19">
        <v>45716</v>
      </c>
      <c r="S18" s="2"/>
      <c r="T18" s="2"/>
      <c r="U18" s="20" t="s">
        <v>6373</v>
      </c>
      <c r="V18" s="20" t="s">
        <v>6099</v>
      </c>
      <c r="W18" s="19" t="s">
        <v>4569</v>
      </c>
      <c r="X18" s="2"/>
      <c r="Y18" s="2"/>
      <c r="Z18" s="2"/>
      <c r="AA18" s="2"/>
      <c r="AB18" s="2"/>
    </row>
    <row r="19" spans="1:28" x14ac:dyDescent="0.2">
      <c r="A19" s="129" t="s">
        <v>6318</v>
      </c>
      <c r="B19" s="2" t="s">
        <v>7647</v>
      </c>
      <c r="C19" s="2" t="s">
        <v>6319</v>
      </c>
      <c r="D19" s="19">
        <v>45505</v>
      </c>
      <c r="E19" s="2">
        <v>100</v>
      </c>
      <c r="F19" s="2">
        <v>100</v>
      </c>
      <c r="G19" s="2" t="s">
        <v>7686</v>
      </c>
      <c r="H19" s="2" t="s">
        <v>615</v>
      </c>
      <c r="I19" s="2" t="s">
        <v>5830</v>
      </c>
      <c r="J19" s="2" t="s">
        <v>6717</v>
      </c>
      <c r="K19" s="2" t="s">
        <v>2756</v>
      </c>
      <c r="L19" s="2" t="s">
        <v>2713</v>
      </c>
      <c r="M19" s="2" t="s">
        <v>393</v>
      </c>
      <c r="N19" s="2" t="s">
        <v>6320</v>
      </c>
      <c r="O19" s="2" t="s">
        <v>34</v>
      </c>
      <c r="P19" s="2"/>
      <c r="Q19" s="2" t="s">
        <v>7399</v>
      </c>
      <c r="R19" s="19">
        <v>46053</v>
      </c>
      <c r="S19" s="2"/>
      <c r="T19" s="2"/>
      <c r="U19" s="20" t="s">
        <v>4168</v>
      </c>
      <c r="V19" s="20" t="s">
        <v>4168</v>
      </c>
      <c r="W19" s="19" t="s">
        <v>4088</v>
      </c>
      <c r="X19" s="2"/>
      <c r="Y19" s="2"/>
      <c r="Z19" s="2"/>
      <c r="AA19" s="2"/>
      <c r="AB19" s="2"/>
    </row>
    <row r="20" spans="1:28" x14ac:dyDescent="0.2">
      <c r="A20" s="129" t="s">
        <v>6146</v>
      </c>
      <c r="B20" s="2" t="s">
        <v>6147</v>
      </c>
      <c r="C20" s="2" t="s">
        <v>5110</v>
      </c>
      <c r="D20" s="19">
        <v>45506</v>
      </c>
      <c r="E20" s="2">
        <v>100</v>
      </c>
      <c r="F20" s="2">
        <v>100</v>
      </c>
      <c r="G20" s="2" t="s">
        <v>7686</v>
      </c>
      <c r="H20" s="2" t="s">
        <v>615</v>
      </c>
      <c r="I20" s="2" t="s">
        <v>5830</v>
      </c>
      <c r="J20" s="2" t="s">
        <v>6717</v>
      </c>
      <c r="K20" s="2" t="s">
        <v>2758</v>
      </c>
      <c r="L20" s="2" t="s">
        <v>2713</v>
      </c>
      <c r="M20" s="2" t="s">
        <v>540</v>
      </c>
      <c r="N20" s="2" t="s">
        <v>6961</v>
      </c>
      <c r="O20" s="2" t="s">
        <v>157</v>
      </c>
      <c r="P20" s="2" t="s">
        <v>191</v>
      </c>
      <c r="Q20" s="2" t="s">
        <v>7399</v>
      </c>
      <c r="R20" s="19">
        <v>46053</v>
      </c>
      <c r="S20" s="2"/>
      <c r="T20" s="2"/>
      <c r="U20" s="20" t="s">
        <v>4653</v>
      </c>
      <c r="V20" s="20" t="s">
        <v>4129</v>
      </c>
      <c r="W20" s="19" t="s">
        <v>4168</v>
      </c>
      <c r="X20" s="2"/>
      <c r="Y20" s="2"/>
      <c r="Z20" s="2"/>
      <c r="AA20" s="2"/>
      <c r="AB20" s="2"/>
    </row>
    <row r="21" spans="1:28" x14ac:dyDescent="0.2">
      <c r="A21" s="129" t="s">
        <v>6329</v>
      </c>
      <c r="B21" s="2" t="s">
        <v>7769</v>
      </c>
      <c r="C21" s="2" t="s">
        <v>5050</v>
      </c>
      <c r="D21" s="19">
        <v>45506</v>
      </c>
      <c r="E21" s="2">
        <v>250</v>
      </c>
      <c r="F21" s="2">
        <v>250</v>
      </c>
      <c r="G21" s="2" t="s">
        <v>7686</v>
      </c>
      <c r="H21" s="2" t="s">
        <v>615</v>
      </c>
      <c r="I21" s="2" t="s">
        <v>5259</v>
      </c>
      <c r="J21" s="2" t="s">
        <v>6717</v>
      </c>
      <c r="K21" s="2" t="s">
        <v>2728</v>
      </c>
      <c r="L21" s="2" t="s">
        <v>2713</v>
      </c>
      <c r="M21" s="2" t="s">
        <v>531</v>
      </c>
      <c r="N21" s="2" t="s">
        <v>6962</v>
      </c>
      <c r="O21" s="2" t="s">
        <v>157</v>
      </c>
      <c r="P21" s="2"/>
      <c r="Q21" s="2" t="s">
        <v>7399</v>
      </c>
      <c r="R21" s="19">
        <v>46053</v>
      </c>
      <c r="S21" s="2"/>
      <c r="T21" s="2"/>
      <c r="U21" s="20" t="s">
        <v>4653</v>
      </c>
      <c r="V21" s="20" t="s">
        <v>4129</v>
      </c>
      <c r="W21" s="19" t="s">
        <v>4168</v>
      </c>
      <c r="X21" s="2"/>
      <c r="Y21" s="2"/>
      <c r="Z21" s="2"/>
      <c r="AA21" s="2"/>
      <c r="AB21" s="2"/>
    </row>
    <row r="22" spans="1:28" x14ac:dyDescent="0.2">
      <c r="A22" s="129" t="s">
        <v>6150</v>
      </c>
      <c r="B22" s="2" t="s">
        <v>6151</v>
      </c>
      <c r="C22" s="2" t="s">
        <v>6151</v>
      </c>
      <c r="D22" s="19">
        <v>45512</v>
      </c>
      <c r="E22" s="2">
        <v>162</v>
      </c>
      <c r="F22" s="2">
        <v>162</v>
      </c>
      <c r="G22" s="2" t="s">
        <v>7686</v>
      </c>
      <c r="H22" s="2" t="s">
        <v>124</v>
      </c>
      <c r="I22" s="2"/>
      <c r="J22" s="2"/>
      <c r="K22" s="2" t="s">
        <v>2742</v>
      </c>
      <c r="L22" s="2" t="s">
        <v>2713</v>
      </c>
      <c r="M22" s="2" t="s">
        <v>393</v>
      </c>
      <c r="N22" s="2" t="s">
        <v>6972</v>
      </c>
      <c r="O22" s="2" t="s">
        <v>157</v>
      </c>
      <c r="P22" s="2"/>
      <c r="Q22" s="2" t="s">
        <v>7399</v>
      </c>
      <c r="R22" s="19">
        <v>46053</v>
      </c>
      <c r="S22" s="2"/>
      <c r="T22" s="2"/>
      <c r="U22" s="20" t="s">
        <v>6152</v>
      </c>
      <c r="V22" s="20" t="s">
        <v>6153</v>
      </c>
      <c r="W22" s="19" t="s">
        <v>4174</v>
      </c>
      <c r="X22" s="2"/>
      <c r="Y22" s="2"/>
      <c r="Z22" s="2"/>
      <c r="AA22" s="2"/>
      <c r="AB22" s="2"/>
    </row>
    <row r="23" spans="1:28" x14ac:dyDescent="0.2">
      <c r="A23" s="129" t="s">
        <v>6338</v>
      </c>
      <c r="B23" s="2" t="s">
        <v>7605</v>
      </c>
      <c r="C23" s="2" t="s">
        <v>6339</v>
      </c>
      <c r="D23" s="19">
        <v>45512</v>
      </c>
      <c r="E23" s="2">
        <v>130</v>
      </c>
      <c r="F23" s="2">
        <v>130</v>
      </c>
      <c r="G23" s="2" t="s">
        <v>7687</v>
      </c>
      <c r="H23" s="2" t="s">
        <v>615</v>
      </c>
      <c r="I23" s="2" t="s">
        <v>7423</v>
      </c>
      <c r="J23" s="2" t="s">
        <v>6717</v>
      </c>
      <c r="K23" s="2" t="s">
        <v>2712</v>
      </c>
      <c r="L23" s="2" t="s">
        <v>2713</v>
      </c>
      <c r="M23" s="2" t="s">
        <v>533</v>
      </c>
      <c r="N23" s="2" t="s">
        <v>6340</v>
      </c>
      <c r="O23" s="2" t="s">
        <v>41</v>
      </c>
      <c r="P23" s="2" t="s">
        <v>403</v>
      </c>
      <c r="Q23" s="2" t="s">
        <v>7399</v>
      </c>
      <c r="R23" s="19">
        <v>45747</v>
      </c>
      <c r="S23" s="2"/>
      <c r="T23" s="2"/>
      <c r="U23" s="20" t="s">
        <v>6152</v>
      </c>
      <c r="V23" s="20" t="s">
        <v>6152</v>
      </c>
      <c r="W23" s="19" t="s">
        <v>4174</v>
      </c>
      <c r="X23" s="2"/>
      <c r="Y23" s="2"/>
      <c r="Z23" s="2"/>
      <c r="AA23" s="2"/>
      <c r="AB23" s="2"/>
    </row>
    <row r="24" spans="1:28" x14ac:dyDescent="0.2">
      <c r="A24" s="129" t="s">
        <v>6341</v>
      </c>
      <c r="B24" s="2" t="s">
        <v>4937</v>
      </c>
      <c r="C24" s="2" t="s">
        <v>6342</v>
      </c>
      <c r="D24" s="19">
        <v>45513</v>
      </c>
      <c r="E24" s="2">
        <v>150</v>
      </c>
      <c r="F24" s="2">
        <v>150</v>
      </c>
      <c r="G24" s="2" t="s">
        <v>7686</v>
      </c>
      <c r="H24" s="2" t="s">
        <v>615</v>
      </c>
      <c r="I24" s="2" t="s">
        <v>7418</v>
      </c>
      <c r="J24" s="2" t="s">
        <v>6717</v>
      </c>
      <c r="K24" s="2" t="s">
        <v>2717</v>
      </c>
      <c r="L24" s="2" t="s">
        <v>2713</v>
      </c>
      <c r="M24" s="2" t="s">
        <v>539</v>
      </c>
      <c r="N24" s="2" t="s">
        <v>5022</v>
      </c>
      <c r="O24" s="2" t="s">
        <v>673</v>
      </c>
      <c r="P24" s="2" t="s">
        <v>7413</v>
      </c>
      <c r="Q24" s="2" t="s">
        <v>7399</v>
      </c>
      <c r="R24" s="19">
        <v>45961</v>
      </c>
      <c r="S24" s="2"/>
      <c r="T24" s="2"/>
      <c r="U24" s="20" t="s">
        <v>6152</v>
      </c>
      <c r="V24" s="20" t="s">
        <v>6152</v>
      </c>
      <c r="W24" s="19" t="s">
        <v>4174</v>
      </c>
      <c r="X24" s="2"/>
      <c r="Y24" s="2"/>
      <c r="Z24" s="2"/>
      <c r="AA24" s="2"/>
      <c r="AB24" s="2"/>
    </row>
    <row r="25" spans="1:28" x14ac:dyDescent="0.2">
      <c r="A25" s="129" t="s">
        <v>6345</v>
      </c>
      <c r="B25" s="2" t="s">
        <v>4937</v>
      </c>
      <c r="C25" s="2" t="s">
        <v>6059</v>
      </c>
      <c r="D25" s="19">
        <v>45513</v>
      </c>
      <c r="E25" s="2">
        <v>100</v>
      </c>
      <c r="F25" s="2">
        <v>100</v>
      </c>
      <c r="G25" s="2" t="s">
        <v>7686</v>
      </c>
      <c r="H25" s="2" t="s">
        <v>615</v>
      </c>
      <c r="I25" s="2" t="s">
        <v>7419</v>
      </c>
      <c r="J25" s="2" t="s">
        <v>6717</v>
      </c>
      <c r="K25" s="2" t="s">
        <v>2717</v>
      </c>
      <c r="L25" s="2" t="s">
        <v>2713</v>
      </c>
      <c r="M25" s="2" t="s">
        <v>539</v>
      </c>
      <c r="N25" s="2" t="s">
        <v>5022</v>
      </c>
      <c r="O25" s="2" t="s">
        <v>673</v>
      </c>
      <c r="P25" s="2" t="s">
        <v>7414</v>
      </c>
      <c r="Q25" s="2" t="s">
        <v>7399</v>
      </c>
      <c r="R25" s="19">
        <v>45961</v>
      </c>
      <c r="S25" s="2"/>
      <c r="T25" s="2"/>
      <c r="U25" s="20" t="s">
        <v>6152</v>
      </c>
      <c r="V25" s="20" t="s">
        <v>6152</v>
      </c>
      <c r="W25" s="19" t="s">
        <v>4174</v>
      </c>
      <c r="X25" s="2"/>
      <c r="Y25" s="2"/>
      <c r="Z25" s="2"/>
      <c r="AA25" s="2"/>
      <c r="AB25" s="2"/>
    </row>
    <row r="26" spans="1:28" x14ac:dyDescent="0.2">
      <c r="A26" s="129" t="s">
        <v>6357</v>
      </c>
      <c r="B26" s="2" t="s">
        <v>4937</v>
      </c>
      <c r="C26" s="2" t="s">
        <v>6358</v>
      </c>
      <c r="D26" s="19">
        <v>45526</v>
      </c>
      <c r="E26" s="2">
        <v>100</v>
      </c>
      <c r="F26" s="2">
        <v>100</v>
      </c>
      <c r="G26" s="2" t="s">
        <v>7686</v>
      </c>
      <c r="H26" s="2" t="s">
        <v>615</v>
      </c>
      <c r="I26" s="2" t="s">
        <v>5830</v>
      </c>
      <c r="J26" s="2" t="s">
        <v>6717</v>
      </c>
      <c r="K26" s="2" t="s">
        <v>2806</v>
      </c>
      <c r="L26" s="2" t="s">
        <v>2713</v>
      </c>
      <c r="M26" s="2" t="s">
        <v>539</v>
      </c>
      <c r="N26" s="2" t="s">
        <v>5059</v>
      </c>
      <c r="O26" s="2" t="s">
        <v>673</v>
      </c>
      <c r="P26" s="2"/>
      <c r="Q26" s="2" t="s">
        <v>7399</v>
      </c>
      <c r="R26" s="19">
        <v>45716</v>
      </c>
      <c r="S26" s="2"/>
      <c r="T26" s="2"/>
      <c r="U26" s="20" t="s">
        <v>6152</v>
      </c>
      <c r="V26" s="20" t="s">
        <v>6152</v>
      </c>
      <c r="W26" s="19" t="s">
        <v>4174</v>
      </c>
      <c r="X26" s="2"/>
      <c r="Y26" s="2"/>
      <c r="Z26" s="2"/>
      <c r="AA26" s="2"/>
      <c r="AB26" s="2"/>
    </row>
    <row r="27" spans="1:28" x14ac:dyDescent="0.2">
      <c r="A27" s="129" t="s">
        <v>6359</v>
      </c>
      <c r="B27" s="2" t="s">
        <v>4937</v>
      </c>
      <c r="C27" s="2" t="s">
        <v>6360</v>
      </c>
      <c r="D27" s="19">
        <v>45526</v>
      </c>
      <c r="E27" s="2">
        <v>150</v>
      </c>
      <c r="F27" s="2">
        <v>150</v>
      </c>
      <c r="G27" s="2" t="s">
        <v>7686</v>
      </c>
      <c r="H27" s="2" t="s">
        <v>615</v>
      </c>
      <c r="I27" s="2" t="s">
        <v>7418</v>
      </c>
      <c r="J27" s="2" t="s">
        <v>6717</v>
      </c>
      <c r="K27" s="2" t="s">
        <v>2806</v>
      </c>
      <c r="L27" s="2" t="s">
        <v>2713</v>
      </c>
      <c r="M27" s="2" t="s">
        <v>539</v>
      </c>
      <c r="N27" s="2" t="s">
        <v>5059</v>
      </c>
      <c r="O27" s="2" t="s">
        <v>673</v>
      </c>
      <c r="P27" s="2"/>
      <c r="Q27" s="2" t="s">
        <v>7399</v>
      </c>
      <c r="R27" s="19">
        <v>45716</v>
      </c>
      <c r="S27" s="2"/>
      <c r="T27" s="2"/>
      <c r="U27" s="20" t="s">
        <v>6152</v>
      </c>
      <c r="V27" s="20" t="s">
        <v>6152</v>
      </c>
      <c r="W27" s="19" t="s">
        <v>4174</v>
      </c>
      <c r="X27" s="2"/>
      <c r="Y27" s="2"/>
      <c r="Z27" s="2"/>
      <c r="AA27" s="2"/>
      <c r="AB27" s="2"/>
    </row>
    <row r="28" spans="1:28" x14ac:dyDescent="0.2">
      <c r="A28" s="129" t="s">
        <v>6364</v>
      </c>
      <c r="B28" s="2" t="s">
        <v>3861</v>
      </c>
      <c r="C28" s="2" t="s">
        <v>5102</v>
      </c>
      <c r="D28" s="19">
        <v>45530</v>
      </c>
      <c r="E28" s="2">
        <v>170</v>
      </c>
      <c r="F28" s="2">
        <v>170</v>
      </c>
      <c r="G28" s="2" t="s">
        <v>7686</v>
      </c>
      <c r="H28" s="2" t="s">
        <v>615</v>
      </c>
      <c r="I28" s="2" t="s">
        <v>7585</v>
      </c>
      <c r="J28" s="2" t="s">
        <v>6717</v>
      </c>
      <c r="K28" s="2" t="s">
        <v>2728</v>
      </c>
      <c r="L28" s="2" t="s">
        <v>2713</v>
      </c>
      <c r="M28" s="2" t="s">
        <v>531</v>
      </c>
      <c r="N28" s="2" t="s">
        <v>6975</v>
      </c>
      <c r="O28" s="2" t="s">
        <v>157</v>
      </c>
      <c r="P28" s="2"/>
      <c r="Q28" s="2" t="s">
        <v>7399</v>
      </c>
      <c r="R28" s="19">
        <v>46022</v>
      </c>
      <c r="S28" s="2"/>
      <c r="T28" s="2"/>
      <c r="U28" s="20" t="s">
        <v>6373</v>
      </c>
      <c r="V28" s="20" t="s">
        <v>6152</v>
      </c>
      <c r="W28" s="19" t="s">
        <v>6104</v>
      </c>
      <c r="X28" s="2"/>
      <c r="Y28" s="2"/>
      <c r="Z28" s="2"/>
      <c r="AA28" s="2"/>
      <c r="AB28" s="2"/>
    </row>
    <row r="29" spans="1:28" x14ac:dyDescent="0.2">
      <c r="A29" s="129" t="s">
        <v>6365</v>
      </c>
      <c r="B29" s="2" t="s">
        <v>3861</v>
      </c>
      <c r="C29" s="2" t="s">
        <v>4588</v>
      </c>
      <c r="D29" s="19">
        <v>45530</v>
      </c>
      <c r="E29" s="2">
        <v>150</v>
      </c>
      <c r="F29" s="2">
        <v>150</v>
      </c>
      <c r="G29" s="2" t="s">
        <v>7686</v>
      </c>
      <c r="H29" s="2" t="s">
        <v>615</v>
      </c>
      <c r="I29" s="2" t="s">
        <v>7418</v>
      </c>
      <c r="J29" s="2" t="s">
        <v>6717</v>
      </c>
      <c r="K29" s="2" t="s">
        <v>2717</v>
      </c>
      <c r="L29" s="2" t="s">
        <v>2713</v>
      </c>
      <c r="M29" s="2" t="s">
        <v>539</v>
      </c>
      <c r="N29" s="2" t="s">
        <v>4589</v>
      </c>
      <c r="O29" s="2" t="s">
        <v>673</v>
      </c>
      <c r="P29" s="2" t="s">
        <v>41</v>
      </c>
      <c r="Q29" s="2" t="s">
        <v>7399</v>
      </c>
      <c r="R29" s="19">
        <v>46022</v>
      </c>
      <c r="S29" s="2"/>
      <c r="T29" s="2"/>
      <c r="U29" s="20" t="s">
        <v>4932</v>
      </c>
      <c r="V29" s="20" t="s">
        <v>6104</v>
      </c>
      <c r="W29" s="19" t="s">
        <v>6138</v>
      </c>
      <c r="X29" s="2"/>
      <c r="Y29" s="2"/>
      <c r="Z29" s="2"/>
      <c r="AA29" s="2"/>
      <c r="AB29" s="2"/>
    </row>
    <row r="30" spans="1:28" x14ac:dyDescent="0.2">
      <c r="A30" s="129" t="s">
        <v>6379</v>
      </c>
      <c r="B30" s="2" t="s">
        <v>3844</v>
      </c>
      <c r="C30" s="2" t="s">
        <v>3659</v>
      </c>
      <c r="D30" s="19">
        <v>45531</v>
      </c>
      <c r="E30" s="2">
        <v>100</v>
      </c>
      <c r="F30" s="2">
        <v>100</v>
      </c>
      <c r="G30" s="2" t="s">
        <v>7686</v>
      </c>
      <c r="H30" s="2" t="s">
        <v>615</v>
      </c>
      <c r="I30" s="2" t="s">
        <v>5830</v>
      </c>
      <c r="J30" s="2" t="s">
        <v>6717</v>
      </c>
      <c r="K30" s="2" t="s">
        <v>2716</v>
      </c>
      <c r="L30" s="2" t="s">
        <v>2713</v>
      </c>
      <c r="M30" s="2" t="s">
        <v>532</v>
      </c>
      <c r="N30" s="2" t="s">
        <v>6380</v>
      </c>
      <c r="O30" s="2" t="s">
        <v>87</v>
      </c>
      <c r="P30" s="2"/>
      <c r="Q30" s="2" t="s">
        <v>7399</v>
      </c>
      <c r="R30" s="19">
        <v>46022</v>
      </c>
      <c r="S30" s="2"/>
      <c r="T30" s="2"/>
      <c r="U30" s="20" t="s">
        <v>4087</v>
      </c>
      <c r="V30" s="20" t="s">
        <v>4602</v>
      </c>
      <c r="W30" s="19" t="s">
        <v>6210</v>
      </c>
      <c r="X30" s="2"/>
      <c r="Y30" s="2"/>
      <c r="Z30" s="2"/>
      <c r="AA30" s="2"/>
      <c r="AB30" s="2"/>
    </row>
    <row r="31" spans="1:28" x14ac:dyDescent="0.2">
      <c r="A31" s="129" t="s">
        <v>6390</v>
      </c>
      <c r="B31" s="2" t="s">
        <v>7586</v>
      </c>
      <c r="C31" s="2" t="s">
        <v>6391</v>
      </c>
      <c r="D31" s="19">
        <v>45533</v>
      </c>
      <c r="E31" s="2">
        <v>200</v>
      </c>
      <c r="F31" s="2">
        <v>200</v>
      </c>
      <c r="G31" s="2" t="s">
        <v>7686</v>
      </c>
      <c r="H31" s="2" t="s">
        <v>55</v>
      </c>
      <c r="I31" s="2"/>
      <c r="J31" s="2"/>
      <c r="K31" s="2" t="s">
        <v>2738</v>
      </c>
      <c r="L31" s="2" t="s">
        <v>2713</v>
      </c>
      <c r="M31" s="2" t="s">
        <v>420</v>
      </c>
      <c r="N31" s="2" t="s">
        <v>6392</v>
      </c>
      <c r="O31" s="2" t="s">
        <v>41</v>
      </c>
      <c r="P31" s="2"/>
      <c r="Q31" s="2" t="s">
        <v>7399</v>
      </c>
      <c r="R31" s="19">
        <v>46053</v>
      </c>
      <c r="S31" s="2"/>
      <c r="T31" s="2"/>
      <c r="U31" s="20" t="s">
        <v>6153</v>
      </c>
      <c r="V31" s="20" t="s">
        <v>6153</v>
      </c>
      <c r="W31" s="19" t="s">
        <v>4174</v>
      </c>
      <c r="X31" s="2"/>
      <c r="Y31" s="2"/>
      <c r="Z31" s="2"/>
      <c r="AA31" s="2"/>
      <c r="AB31" s="2"/>
    </row>
    <row r="32" spans="1:28" x14ac:dyDescent="0.2">
      <c r="A32" s="129" t="s">
        <v>6400</v>
      </c>
      <c r="B32" s="2" t="s">
        <v>4519</v>
      </c>
      <c r="C32" s="2" t="s">
        <v>3220</v>
      </c>
      <c r="D32" s="19">
        <v>45533</v>
      </c>
      <c r="E32" s="2">
        <v>100</v>
      </c>
      <c r="F32" s="2">
        <v>100</v>
      </c>
      <c r="G32" s="2" t="s">
        <v>7686</v>
      </c>
      <c r="H32" s="2" t="s">
        <v>55</v>
      </c>
      <c r="I32" s="2"/>
      <c r="J32" s="2"/>
      <c r="K32" s="2" t="s">
        <v>2808</v>
      </c>
      <c r="L32" s="2" t="s">
        <v>2713</v>
      </c>
      <c r="M32" s="2" t="s">
        <v>471</v>
      </c>
      <c r="N32" s="2" t="s">
        <v>7361</v>
      </c>
      <c r="O32" s="2" t="s">
        <v>157</v>
      </c>
      <c r="P32" s="2"/>
      <c r="Q32" s="2" t="s">
        <v>7399</v>
      </c>
      <c r="R32" s="19">
        <v>45991</v>
      </c>
      <c r="S32" s="2"/>
      <c r="T32" s="2"/>
      <c r="U32" s="20" t="s">
        <v>4130</v>
      </c>
      <c r="V32" s="19" t="s">
        <v>4130</v>
      </c>
      <c r="W32" s="19" t="s">
        <v>4088</v>
      </c>
      <c r="X32" s="2"/>
      <c r="Y32" s="2"/>
      <c r="Z32" s="2"/>
      <c r="AA32" s="2"/>
      <c r="AB32" s="2"/>
    </row>
    <row r="33" spans="1:28" x14ac:dyDescent="0.2">
      <c r="A33" s="129" t="s">
        <v>6428</v>
      </c>
      <c r="B33" s="2" t="s">
        <v>3861</v>
      </c>
      <c r="C33" s="2" t="s">
        <v>6429</v>
      </c>
      <c r="D33" s="19">
        <v>45540</v>
      </c>
      <c r="E33" s="2">
        <v>60</v>
      </c>
      <c r="F33" s="2">
        <v>60</v>
      </c>
      <c r="G33" s="2" t="s">
        <v>7688</v>
      </c>
      <c r="H33" s="2" t="s">
        <v>3505</v>
      </c>
      <c r="I33" s="2" t="s">
        <v>5781</v>
      </c>
      <c r="J33" s="2" t="s">
        <v>5781</v>
      </c>
      <c r="K33" s="2" t="s">
        <v>2718</v>
      </c>
      <c r="L33" s="2" t="s">
        <v>2713</v>
      </c>
      <c r="M33" s="2" t="s">
        <v>530</v>
      </c>
      <c r="N33" s="2" t="s">
        <v>6430</v>
      </c>
      <c r="O33" s="2" t="s">
        <v>41</v>
      </c>
      <c r="P33" s="2" t="s">
        <v>6934</v>
      </c>
      <c r="Q33" s="2" t="s">
        <v>7399</v>
      </c>
      <c r="R33" s="19">
        <v>46022</v>
      </c>
      <c r="S33" s="2"/>
      <c r="T33" s="2"/>
      <c r="U33" s="20" t="s">
        <v>6145</v>
      </c>
      <c r="V33" s="20" t="s">
        <v>5701</v>
      </c>
      <c r="W33" s="19" t="s">
        <v>4820</v>
      </c>
      <c r="X33" s="2"/>
      <c r="Y33" s="2"/>
      <c r="Z33" s="2"/>
      <c r="AA33" s="2"/>
      <c r="AB33" s="2"/>
    </row>
    <row r="34" spans="1:28" x14ac:dyDescent="0.2">
      <c r="A34" s="129" t="s">
        <v>6438</v>
      </c>
      <c r="B34" s="2" t="s">
        <v>6369</v>
      </c>
      <c r="C34" s="2" t="s">
        <v>6439</v>
      </c>
      <c r="D34" s="19">
        <v>45540</v>
      </c>
      <c r="E34" s="2">
        <v>100</v>
      </c>
      <c r="F34" s="2">
        <v>100</v>
      </c>
      <c r="G34" s="2" t="s">
        <v>7686</v>
      </c>
      <c r="H34" s="2" t="s">
        <v>615</v>
      </c>
      <c r="I34" s="2" t="s">
        <v>5796</v>
      </c>
      <c r="J34" s="2" t="s">
        <v>7424</v>
      </c>
      <c r="K34" s="2" t="s">
        <v>2722</v>
      </c>
      <c r="L34" s="2" t="s">
        <v>2713</v>
      </c>
      <c r="M34" s="2" t="s">
        <v>531</v>
      </c>
      <c r="N34" s="2" t="s">
        <v>6440</v>
      </c>
      <c r="O34" s="2" t="s">
        <v>157</v>
      </c>
      <c r="P34" s="2"/>
      <c r="Q34" s="2" t="s">
        <v>7399</v>
      </c>
      <c r="R34" s="19">
        <v>46081</v>
      </c>
      <c r="S34" s="2"/>
      <c r="T34" s="2"/>
      <c r="U34" s="20" t="s">
        <v>6211</v>
      </c>
      <c r="V34" s="20" t="s">
        <v>6373</v>
      </c>
      <c r="W34" s="19" t="s">
        <v>4174</v>
      </c>
      <c r="X34" s="2"/>
      <c r="Y34" s="2"/>
      <c r="Z34" s="2"/>
      <c r="AA34" s="2"/>
      <c r="AB34" s="2"/>
    </row>
    <row r="35" spans="1:28" x14ac:dyDescent="0.2">
      <c r="A35" s="129" t="s">
        <v>6441</v>
      </c>
      <c r="B35" s="2" t="s">
        <v>7402</v>
      </c>
      <c r="C35" s="2" t="s">
        <v>6442</v>
      </c>
      <c r="D35" s="19">
        <v>45540</v>
      </c>
      <c r="E35" s="2">
        <v>120</v>
      </c>
      <c r="F35" s="2">
        <v>120</v>
      </c>
      <c r="G35" s="2" t="s">
        <v>7686</v>
      </c>
      <c r="H35" s="2" t="s">
        <v>615</v>
      </c>
      <c r="I35" s="2" t="s">
        <v>3496</v>
      </c>
      <c r="J35" s="2" t="s">
        <v>5137</v>
      </c>
      <c r="K35" s="2" t="s">
        <v>2759</v>
      </c>
      <c r="L35" s="2" t="s">
        <v>2713</v>
      </c>
      <c r="M35" s="2" t="s">
        <v>471</v>
      </c>
      <c r="N35" s="2" t="s">
        <v>5732</v>
      </c>
      <c r="O35" s="2" t="s">
        <v>157</v>
      </c>
      <c r="P35" s="2"/>
      <c r="Q35" s="2" t="s">
        <v>7399</v>
      </c>
      <c r="R35" s="19">
        <v>45991</v>
      </c>
      <c r="S35" s="2"/>
      <c r="T35" s="2"/>
      <c r="U35" s="20" t="s">
        <v>4087</v>
      </c>
      <c r="V35" s="20" t="s">
        <v>4602</v>
      </c>
      <c r="W35" s="19" t="s">
        <v>6210</v>
      </c>
      <c r="X35" s="2"/>
      <c r="Y35" s="2"/>
      <c r="Z35" s="2"/>
      <c r="AA35" s="2"/>
      <c r="AB35" s="2"/>
    </row>
    <row r="36" spans="1:28" x14ac:dyDescent="0.2">
      <c r="A36" s="129" t="s">
        <v>6443</v>
      </c>
      <c r="B36" s="2" t="s">
        <v>7403</v>
      </c>
      <c r="C36" s="2" t="s">
        <v>6444</v>
      </c>
      <c r="D36" s="19">
        <v>45540</v>
      </c>
      <c r="E36" s="2">
        <v>180</v>
      </c>
      <c r="F36" s="2">
        <v>180</v>
      </c>
      <c r="G36" s="2" t="s">
        <v>7686</v>
      </c>
      <c r="H36" s="2" t="s">
        <v>615</v>
      </c>
      <c r="I36" s="2" t="s">
        <v>7425</v>
      </c>
      <c r="J36" s="2" t="s">
        <v>5137</v>
      </c>
      <c r="K36" s="2" t="s">
        <v>2714</v>
      </c>
      <c r="L36" s="2" t="s">
        <v>2713</v>
      </c>
      <c r="M36" s="2" t="s">
        <v>533</v>
      </c>
      <c r="N36" s="2" t="s">
        <v>4926</v>
      </c>
      <c r="O36" s="2" t="s">
        <v>403</v>
      </c>
      <c r="P36" s="2"/>
      <c r="Q36" s="2" t="s">
        <v>7399</v>
      </c>
      <c r="R36" s="19">
        <v>45991</v>
      </c>
      <c r="S36" s="2"/>
      <c r="T36" s="2"/>
      <c r="U36" s="20" t="s">
        <v>4087</v>
      </c>
      <c r="V36" s="20" t="s">
        <v>4602</v>
      </c>
      <c r="W36" s="19" t="s">
        <v>6210</v>
      </c>
      <c r="X36" s="2"/>
      <c r="Y36" s="2"/>
      <c r="Z36" s="2"/>
      <c r="AA36" s="2"/>
      <c r="AB36" s="2"/>
    </row>
    <row r="37" spans="1:28" x14ac:dyDescent="0.2">
      <c r="A37" s="129" t="s">
        <v>6454</v>
      </c>
      <c r="B37" s="2" t="s">
        <v>6455</v>
      </c>
      <c r="C37" s="2" t="s">
        <v>1227</v>
      </c>
      <c r="D37" s="19">
        <v>45541</v>
      </c>
      <c r="E37" s="2">
        <v>60</v>
      </c>
      <c r="F37" s="2">
        <v>60</v>
      </c>
      <c r="G37" s="2" t="s">
        <v>7686</v>
      </c>
      <c r="H37" s="2" t="s">
        <v>55</v>
      </c>
      <c r="I37" s="2"/>
      <c r="J37" s="2"/>
      <c r="K37" s="2" t="s">
        <v>3145</v>
      </c>
      <c r="L37" s="2" t="s">
        <v>2713</v>
      </c>
      <c r="M37" s="2" t="s">
        <v>393</v>
      </c>
      <c r="N37" s="2" t="s">
        <v>5122</v>
      </c>
      <c r="O37" s="2" t="s">
        <v>34</v>
      </c>
      <c r="P37" s="2"/>
      <c r="Q37" s="2" t="s">
        <v>7399</v>
      </c>
      <c r="R37" s="19">
        <v>46022</v>
      </c>
      <c r="S37" s="2"/>
      <c r="T37" s="2"/>
      <c r="U37" s="20" t="s">
        <v>6373</v>
      </c>
      <c r="V37" s="20" t="s">
        <v>6152</v>
      </c>
      <c r="W37" s="19" t="s">
        <v>4174</v>
      </c>
      <c r="X37" s="2"/>
      <c r="Y37" s="2"/>
      <c r="Z37" s="2"/>
      <c r="AA37" s="2"/>
      <c r="AB37" s="2"/>
    </row>
    <row r="38" spans="1:28" x14ac:dyDescent="0.2">
      <c r="A38" s="129" t="s">
        <v>6460</v>
      </c>
      <c r="B38" s="2" t="s">
        <v>6461</v>
      </c>
      <c r="C38" s="2" t="s">
        <v>6462</v>
      </c>
      <c r="D38" s="19">
        <v>45541</v>
      </c>
      <c r="E38" s="2">
        <v>135</v>
      </c>
      <c r="F38" s="2">
        <v>135</v>
      </c>
      <c r="G38" s="2" t="s">
        <v>7686</v>
      </c>
      <c r="H38" s="2" t="s">
        <v>615</v>
      </c>
      <c r="I38" s="2" t="s">
        <v>7422</v>
      </c>
      <c r="J38" s="2" t="s">
        <v>6717</v>
      </c>
      <c r="K38" s="2" t="s">
        <v>2716</v>
      </c>
      <c r="L38" s="2" t="s">
        <v>2713</v>
      </c>
      <c r="M38" s="2" t="s">
        <v>532</v>
      </c>
      <c r="N38" s="2" t="s">
        <v>6463</v>
      </c>
      <c r="O38" s="2" t="s">
        <v>87</v>
      </c>
      <c r="P38" s="2"/>
      <c r="Q38" s="2" t="s">
        <v>7399</v>
      </c>
      <c r="R38" s="19">
        <v>46053</v>
      </c>
      <c r="S38" s="2"/>
      <c r="T38" s="2"/>
      <c r="U38" s="20" t="s">
        <v>4088</v>
      </c>
      <c r="V38" s="20" t="s">
        <v>4088</v>
      </c>
      <c r="W38" s="19" t="s">
        <v>4149</v>
      </c>
      <c r="X38" s="2"/>
      <c r="Y38" s="2"/>
      <c r="Z38" s="2"/>
      <c r="AA38" s="2"/>
      <c r="AB38" s="2"/>
    </row>
    <row r="39" spans="1:28" x14ac:dyDescent="0.2">
      <c r="A39" s="129" t="s">
        <v>6464</v>
      </c>
      <c r="B39" s="2" t="s">
        <v>4527</v>
      </c>
      <c r="C39" s="2" t="s">
        <v>5684</v>
      </c>
      <c r="D39" s="19">
        <v>45544</v>
      </c>
      <c r="E39" s="2">
        <v>150</v>
      </c>
      <c r="F39" s="2">
        <v>150</v>
      </c>
      <c r="G39" s="2" t="s">
        <v>7686</v>
      </c>
      <c r="H39" s="2" t="s">
        <v>615</v>
      </c>
      <c r="I39" s="2" t="s">
        <v>7418</v>
      </c>
      <c r="J39" s="2" t="s">
        <v>6717</v>
      </c>
      <c r="K39" s="2" t="s">
        <v>2735</v>
      </c>
      <c r="L39" s="2" t="s">
        <v>2713</v>
      </c>
      <c r="M39" s="2" t="s">
        <v>420</v>
      </c>
      <c r="N39" s="2" t="s">
        <v>6465</v>
      </c>
      <c r="O39" s="2" t="s">
        <v>41</v>
      </c>
      <c r="P39" s="2"/>
      <c r="Q39" s="2" t="s">
        <v>7399</v>
      </c>
      <c r="R39" s="19">
        <v>46022</v>
      </c>
      <c r="S39" s="2"/>
      <c r="T39" s="2"/>
      <c r="U39" s="20" t="s">
        <v>6152</v>
      </c>
      <c r="V39" s="20" t="s">
        <v>6153</v>
      </c>
      <c r="W39" s="19" t="s">
        <v>4174</v>
      </c>
      <c r="X39" s="2"/>
      <c r="Y39" s="2"/>
      <c r="Z39" s="2"/>
      <c r="AA39" s="2"/>
      <c r="AB39" s="2"/>
    </row>
    <row r="40" spans="1:28" x14ac:dyDescent="0.2">
      <c r="A40" s="129" t="s">
        <v>6476</v>
      </c>
      <c r="B40" s="2" t="s">
        <v>4527</v>
      </c>
      <c r="C40" s="2" t="s">
        <v>6477</v>
      </c>
      <c r="D40" s="19">
        <v>45545</v>
      </c>
      <c r="E40" s="2">
        <v>300</v>
      </c>
      <c r="F40" s="2">
        <v>300</v>
      </c>
      <c r="G40" s="2" t="s">
        <v>7686</v>
      </c>
      <c r="H40" s="2" t="s">
        <v>615</v>
      </c>
      <c r="I40" s="2" t="s">
        <v>3496</v>
      </c>
      <c r="J40" s="2" t="s">
        <v>6717</v>
      </c>
      <c r="K40" s="2" t="s">
        <v>2796</v>
      </c>
      <c r="L40" s="2" t="s">
        <v>2713</v>
      </c>
      <c r="M40" s="2" t="s">
        <v>471</v>
      </c>
      <c r="N40" s="2" t="s">
        <v>6478</v>
      </c>
      <c r="O40" s="2" t="s">
        <v>157</v>
      </c>
      <c r="P40" s="2"/>
      <c r="Q40" s="2" t="s">
        <v>7399</v>
      </c>
      <c r="R40" s="19">
        <v>46053</v>
      </c>
      <c r="S40" s="2"/>
      <c r="T40" s="2"/>
      <c r="U40" s="20" t="s">
        <v>6152</v>
      </c>
      <c r="V40" s="20" t="s">
        <v>6153</v>
      </c>
      <c r="W40" s="19" t="s">
        <v>4174</v>
      </c>
      <c r="X40" s="2"/>
      <c r="Y40" s="2"/>
      <c r="Z40" s="2"/>
      <c r="AA40" s="2"/>
      <c r="AB40" s="2"/>
    </row>
    <row r="41" spans="1:28" x14ac:dyDescent="0.2">
      <c r="A41" s="129" t="s">
        <v>6485</v>
      </c>
      <c r="B41" s="2" t="s">
        <v>4852</v>
      </c>
      <c r="C41" s="2" t="s">
        <v>6486</v>
      </c>
      <c r="D41" s="19">
        <v>45546</v>
      </c>
      <c r="E41" s="2">
        <v>50</v>
      </c>
      <c r="F41" s="2">
        <v>50</v>
      </c>
      <c r="G41" s="2" t="s">
        <v>7686</v>
      </c>
      <c r="H41" s="2" t="s">
        <v>615</v>
      </c>
      <c r="I41" s="2" t="s">
        <v>5804</v>
      </c>
      <c r="J41" s="2" t="s">
        <v>5137</v>
      </c>
      <c r="K41" s="2" t="s">
        <v>2716</v>
      </c>
      <c r="L41" s="2" t="s">
        <v>2713</v>
      </c>
      <c r="M41" s="2" t="s">
        <v>532</v>
      </c>
      <c r="N41" s="2" t="s">
        <v>7201</v>
      </c>
      <c r="O41" s="2" t="s">
        <v>87</v>
      </c>
      <c r="P41" s="2"/>
      <c r="Q41" s="2" t="s">
        <v>7399</v>
      </c>
      <c r="R41" s="19">
        <v>46053</v>
      </c>
      <c r="S41" s="2"/>
      <c r="T41" s="2"/>
      <c r="U41" s="20" t="s">
        <v>4088</v>
      </c>
      <c r="V41" s="20" t="s">
        <v>4088</v>
      </c>
      <c r="W41" s="19" t="s">
        <v>4149</v>
      </c>
      <c r="X41" s="2"/>
      <c r="Y41" s="2"/>
      <c r="Z41" s="2"/>
      <c r="AA41" s="2"/>
      <c r="AB41" s="2"/>
    </row>
    <row r="42" spans="1:28" x14ac:dyDescent="0.2">
      <c r="A42" s="129" t="s">
        <v>6500</v>
      </c>
      <c r="B42" s="2" t="s">
        <v>3590</v>
      </c>
      <c r="C42" s="2" t="s">
        <v>6501</v>
      </c>
      <c r="D42" s="19">
        <v>45548</v>
      </c>
      <c r="E42" s="2">
        <v>140</v>
      </c>
      <c r="F42" s="2">
        <v>140</v>
      </c>
      <c r="G42" s="2" t="s">
        <v>7686</v>
      </c>
      <c r="H42" s="2" t="s">
        <v>615</v>
      </c>
      <c r="I42" s="2" t="s">
        <v>7415</v>
      </c>
      <c r="J42" s="2" t="s">
        <v>6717</v>
      </c>
      <c r="K42" s="2" t="s">
        <v>2716</v>
      </c>
      <c r="L42" s="2" t="s">
        <v>2713</v>
      </c>
      <c r="M42" s="2" t="s">
        <v>532</v>
      </c>
      <c r="N42" s="2" t="s">
        <v>6502</v>
      </c>
      <c r="O42" s="2" t="s">
        <v>87</v>
      </c>
      <c r="P42" s="2"/>
      <c r="Q42" s="2" t="s">
        <v>7399</v>
      </c>
      <c r="R42" s="19">
        <v>46022</v>
      </c>
      <c r="S42" s="2"/>
      <c r="T42" s="2"/>
      <c r="U42" s="20" t="s">
        <v>4246</v>
      </c>
      <c r="V42" s="20" t="s">
        <v>4931</v>
      </c>
      <c r="W42" s="19" t="s">
        <v>4602</v>
      </c>
      <c r="X42" s="2"/>
      <c r="Y42" s="2"/>
      <c r="Z42" s="2"/>
      <c r="AA42" s="2"/>
      <c r="AB42" s="2"/>
    </row>
    <row r="43" spans="1:28" x14ac:dyDescent="0.2">
      <c r="A43" s="129" t="s">
        <v>6503</v>
      </c>
      <c r="B43" s="2" t="s">
        <v>7648</v>
      </c>
      <c r="C43" s="2" t="s">
        <v>5562</v>
      </c>
      <c r="D43" s="19">
        <v>45550</v>
      </c>
      <c r="E43" s="2">
        <v>50</v>
      </c>
      <c r="F43" s="2">
        <v>50</v>
      </c>
      <c r="G43" s="2" t="s">
        <v>7686</v>
      </c>
      <c r="H43" s="2" t="s">
        <v>615</v>
      </c>
      <c r="I43" s="2" t="s">
        <v>5796</v>
      </c>
      <c r="J43" s="2" t="s">
        <v>6717</v>
      </c>
      <c r="K43" s="2" t="s">
        <v>2776</v>
      </c>
      <c r="L43" s="2" t="s">
        <v>2713</v>
      </c>
      <c r="M43" s="2" t="s">
        <v>471</v>
      </c>
      <c r="N43" s="2" t="s">
        <v>6984</v>
      </c>
      <c r="O43" s="2" t="s">
        <v>157</v>
      </c>
      <c r="P43" s="2"/>
      <c r="Q43" s="2" t="s">
        <v>7399</v>
      </c>
      <c r="R43" s="19">
        <v>46053</v>
      </c>
      <c r="S43" s="2"/>
      <c r="T43" s="2"/>
      <c r="U43" s="20" t="s">
        <v>6152</v>
      </c>
      <c r="V43" s="20" t="s">
        <v>6153</v>
      </c>
      <c r="W43" s="19" t="s">
        <v>4174</v>
      </c>
      <c r="X43" s="2"/>
      <c r="Y43" s="2"/>
      <c r="Z43" s="2"/>
      <c r="AA43" s="2"/>
      <c r="AB43" s="2"/>
    </row>
    <row r="44" spans="1:28" x14ac:dyDescent="0.2">
      <c r="A44" s="129" t="s">
        <v>6506</v>
      </c>
      <c r="B44" s="2" t="s">
        <v>6161</v>
      </c>
      <c r="C44" s="2" t="s">
        <v>5116</v>
      </c>
      <c r="D44" s="19">
        <v>45551</v>
      </c>
      <c r="E44" s="2">
        <v>250</v>
      </c>
      <c r="F44" s="2">
        <v>250</v>
      </c>
      <c r="G44" s="2" t="s">
        <v>7686</v>
      </c>
      <c r="H44" s="2" t="s">
        <v>615</v>
      </c>
      <c r="I44" s="2" t="s">
        <v>5259</v>
      </c>
      <c r="J44" s="2" t="s">
        <v>6717</v>
      </c>
      <c r="K44" s="2" t="s">
        <v>2769</v>
      </c>
      <c r="L44" s="2" t="s">
        <v>2713</v>
      </c>
      <c r="M44" s="2" t="s">
        <v>471</v>
      </c>
      <c r="N44" s="2" t="s">
        <v>6507</v>
      </c>
      <c r="O44" s="2" t="s">
        <v>3533</v>
      </c>
      <c r="P44" s="2"/>
      <c r="Q44" s="2" t="s">
        <v>7399</v>
      </c>
      <c r="R44" s="19">
        <v>46022</v>
      </c>
      <c r="S44" s="2"/>
      <c r="T44" s="2"/>
      <c r="U44" s="20" t="s">
        <v>6106</v>
      </c>
      <c r="V44" s="20" t="s">
        <v>4248</v>
      </c>
      <c r="W44" s="19" t="s">
        <v>6145</v>
      </c>
      <c r="X44" s="2"/>
      <c r="Y44" s="2"/>
      <c r="Z44" s="2"/>
      <c r="AA44" s="2"/>
      <c r="AB44" s="2"/>
    </row>
    <row r="45" spans="1:28" x14ac:dyDescent="0.2">
      <c r="A45" s="129" t="s">
        <v>6508</v>
      </c>
      <c r="B45" s="2" t="s">
        <v>6509</v>
      </c>
      <c r="C45" s="2" t="s">
        <v>6510</v>
      </c>
      <c r="D45" s="19">
        <v>45551</v>
      </c>
      <c r="E45" s="2">
        <v>150</v>
      </c>
      <c r="F45" s="2">
        <v>150</v>
      </c>
      <c r="G45" s="2" t="s">
        <v>7686</v>
      </c>
      <c r="H45" s="2" t="s">
        <v>615</v>
      </c>
      <c r="I45" s="2" t="s">
        <v>7418</v>
      </c>
      <c r="J45" s="2" t="s">
        <v>6717</v>
      </c>
      <c r="K45" s="2" t="s">
        <v>2716</v>
      </c>
      <c r="L45" s="2" t="s">
        <v>2713</v>
      </c>
      <c r="M45" s="2" t="s">
        <v>532</v>
      </c>
      <c r="N45" s="2" t="s">
        <v>6790</v>
      </c>
      <c r="O45" s="2" t="s">
        <v>87</v>
      </c>
      <c r="P45" s="2"/>
      <c r="Q45" s="2" t="s">
        <v>7399</v>
      </c>
      <c r="R45" s="19">
        <v>46022</v>
      </c>
      <c r="S45" s="2"/>
      <c r="T45" s="2"/>
      <c r="U45" s="20" t="s">
        <v>6106</v>
      </c>
      <c r="V45" s="20" t="s">
        <v>4248</v>
      </c>
      <c r="W45" s="19" t="s">
        <v>6145</v>
      </c>
      <c r="X45" s="2"/>
      <c r="Y45" s="2"/>
      <c r="Z45" s="2"/>
      <c r="AA45" s="2"/>
      <c r="AB45" s="2"/>
    </row>
    <row r="46" spans="1:28" x14ac:dyDescent="0.2">
      <c r="A46" s="129" t="s">
        <v>6792</v>
      </c>
      <c r="B46" s="2" t="s">
        <v>3846</v>
      </c>
      <c r="C46" s="2" t="s">
        <v>3847</v>
      </c>
      <c r="D46" s="19">
        <v>45552</v>
      </c>
      <c r="E46" s="2">
        <v>100</v>
      </c>
      <c r="F46" s="2">
        <v>100</v>
      </c>
      <c r="G46" s="2" t="s">
        <v>7686</v>
      </c>
      <c r="H46" s="2" t="s">
        <v>615</v>
      </c>
      <c r="I46" s="2" t="s">
        <v>5830</v>
      </c>
      <c r="J46" s="2" t="s">
        <v>6717</v>
      </c>
      <c r="K46" s="2" t="s">
        <v>2806</v>
      </c>
      <c r="L46" s="2" t="s">
        <v>2713</v>
      </c>
      <c r="M46" s="2" t="s">
        <v>539</v>
      </c>
      <c r="N46" s="2" t="s">
        <v>6793</v>
      </c>
      <c r="O46" s="2" t="s">
        <v>673</v>
      </c>
      <c r="P46" s="2"/>
      <c r="Q46" s="2" t="s">
        <v>7399</v>
      </c>
      <c r="R46" s="19">
        <v>46022</v>
      </c>
      <c r="S46" s="2"/>
      <c r="T46" s="2"/>
      <c r="U46" s="20" t="s">
        <v>6106</v>
      </c>
      <c r="V46" s="20" t="s">
        <v>4248</v>
      </c>
      <c r="W46" s="19" t="s">
        <v>6145</v>
      </c>
      <c r="X46" s="2"/>
      <c r="Y46" s="2"/>
      <c r="Z46" s="2"/>
      <c r="AA46" s="2"/>
      <c r="AB46" s="2"/>
    </row>
    <row r="47" spans="1:28" x14ac:dyDescent="0.2">
      <c r="A47" s="129" t="s">
        <v>6531</v>
      </c>
      <c r="B47" s="2" t="s">
        <v>3861</v>
      </c>
      <c r="C47" s="2" t="s">
        <v>6532</v>
      </c>
      <c r="D47" s="19">
        <v>45552</v>
      </c>
      <c r="E47" s="2">
        <v>325</v>
      </c>
      <c r="F47" s="2">
        <v>325</v>
      </c>
      <c r="G47" s="2" t="s">
        <v>7688</v>
      </c>
      <c r="H47" s="2" t="s">
        <v>3505</v>
      </c>
      <c r="I47" s="2" t="s">
        <v>7426</v>
      </c>
      <c r="J47" s="2" t="s">
        <v>6717</v>
      </c>
      <c r="K47" s="2" t="s">
        <v>3862</v>
      </c>
      <c r="L47" s="2" t="s">
        <v>2749</v>
      </c>
      <c r="M47" s="2" t="s">
        <v>531</v>
      </c>
      <c r="N47" s="2" t="s">
        <v>6533</v>
      </c>
      <c r="O47" s="2" t="s">
        <v>34</v>
      </c>
      <c r="P47" s="2"/>
      <c r="Q47" s="2" t="s">
        <v>7399</v>
      </c>
      <c r="R47" s="19">
        <v>46022</v>
      </c>
      <c r="S47" s="2"/>
      <c r="T47" s="2"/>
      <c r="U47" s="20" t="s">
        <v>4932</v>
      </c>
      <c r="V47" s="20" t="s">
        <v>6104</v>
      </c>
      <c r="W47" s="19" t="s">
        <v>6099</v>
      </c>
      <c r="X47" s="2"/>
      <c r="Y47" s="2"/>
      <c r="Z47" s="2"/>
      <c r="AA47" s="2"/>
      <c r="AB47" s="2"/>
    </row>
    <row r="48" spans="1:28" x14ac:dyDescent="0.2">
      <c r="A48" s="129" t="s">
        <v>6534</v>
      </c>
      <c r="B48" s="2" t="s">
        <v>3861</v>
      </c>
      <c r="C48" s="2" t="s">
        <v>6535</v>
      </c>
      <c r="D48" s="19">
        <v>45552</v>
      </c>
      <c r="E48" s="2">
        <v>325</v>
      </c>
      <c r="F48" s="2">
        <v>325</v>
      </c>
      <c r="G48" s="2" t="s">
        <v>7688</v>
      </c>
      <c r="H48" s="2" t="s">
        <v>3505</v>
      </c>
      <c r="I48" s="2" t="s">
        <v>7426</v>
      </c>
      <c r="J48" s="2" t="s">
        <v>6717</v>
      </c>
      <c r="K48" s="2" t="s">
        <v>3862</v>
      </c>
      <c r="L48" s="2" t="s">
        <v>2749</v>
      </c>
      <c r="M48" s="2" t="s">
        <v>531</v>
      </c>
      <c r="N48" s="2" t="s">
        <v>6533</v>
      </c>
      <c r="O48" s="2" t="s">
        <v>34</v>
      </c>
      <c r="P48" s="2"/>
      <c r="Q48" s="2" t="s">
        <v>7399</v>
      </c>
      <c r="R48" s="19">
        <v>46022</v>
      </c>
      <c r="S48" s="2"/>
      <c r="T48" s="2"/>
      <c r="U48" s="20" t="s">
        <v>4932</v>
      </c>
      <c r="V48" s="20" t="s">
        <v>6104</v>
      </c>
      <c r="W48" s="19" t="s">
        <v>6099</v>
      </c>
      <c r="X48" s="2"/>
      <c r="Y48" s="2"/>
      <c r="Z48" s="2"/>
      <c r="AA48" s="2"/>
      <c r="AB48" s="2"/>
    </row>
    <row r="49" spans="1:28" x14ac:dyDescent="0.2">
      <c r="A49" s="129" t="s">
        <v>6540</v>
      </c>
      <c r="B49" s="2" t="s">
        <v>3705</v>
      </c>
      <c r="C49" s="2" t="s">
        <v>4630</v>
      </c>
      <c r="D49" s="19">
        <v>45552</v>
      </c>
      <c r="E49" s="2">
        <v>150</v>
      </c>
      <c r="F49" s="2">
        <v>150</v>
      </c>
      <c r="G49" s="2" t="s">
        <v>7686</v>
      </c>
      <c r="H49" s="2" t="s">
        <v>615</v>
      </c>
      <c r="I49" s="2" t="s">
        <v>5468</v>
      </c>
      <c r="J49" s="2" t="s">
        <v>5137</v>
      </c>
      <c r="K49" s="2" t="s">
        <v>2715</v>
      </c>
      <c r="L49" s="2" t="s">
        <v>2713</v>
      </c>
      <c r="M49" s="2" t="s">
        <v>533</v>
      </c>
      <c r="N49" s="2" t="s">
        <v>6541</v>
      </c>
      <c r="O49" s="2" t="s">
        <v>403</v>
      </c>
      <c r="P49" s="2"/>
      <c r="Q49" s="2" t="s">
        <v>7399</v>
      </c>
      <c r="R49" s="19">
        <v>46053</v>
      </c>
      <c r="S49" s="2"/>
      <c r="T49" s="2"/>
      <c r="U49" s="20" t="s">
        <v>4087</v>
      </c>
      <c r="V49" s="20" t="s">
        <v>4602</v>
      </c>
      <c r="W49" s="19" t="s">
        <v>6210</v>
      </c>
      <c r="X49" s="2"/>
      <c r="Y49" s="2"/>
      <c r="Z49" s="2"/>
      <c r="AA49" s="2"/>
      <c r="AB49" s="2"/>
    </row>
    <row r="50" spans="1:28" x14ac:dyDescent="0.2">
      <c r="A50" s="129" t="s">
        <v>6799</v>
      </c>
      <c r="B50" s="2" t="s">
        <v>4170</v>
      </c>
      <c r="C50" s="2" t="s">
        <v>4339</v>
      </c>
      <c r="D50" s="19">
        <v>45552</v>
      </c>
      <c r="E50" s="2">
        <v>200</v>
      </c>
      <c r="F50" s="2">
        <v>200</v>
      </c>
      <c r="G50" s="2" t="s">
        <v>7686</v>
      </c>
      <c r="H50" s="2" t="s">
        <v>615</v>
      </c>
      <c r="I50" s="2" t="s">
        <v>7421</v>
      </c>
      <c r="J50" s="2" t="s">
        <v>7428</v>
      </c>
      <c r="K50" s="2" t="s">
        <v>2748</v>
      </c>
      <c r="L50" s="2" t="s">
        <v>2713</v>
      </c>
      <c r="M50" s="2" t="s">
        <v>393</v>
      </c>
      <c r="N50" s="2" t="s">
        <v>6800</v>
      </c>
      <c r="O50" s="2" t="s">
        <v>34</v>
      </c>
      <c r="P50" s="2"/>
      <c r="Q50" s="2" t="s">
        <v>7399</v>
      </c>
      <c r="R50" s="19">
        <v>45716</v>
      </c>
      <c r="S50" s="2"/>
      <c r="T50" s="2"/>
      <c r="U50" s="20" t="s">
        <v>4248</v>
      </c>
      <c r="V50" s="20" t="s">
        <v>4569</v>
      </c>
      <c r="W50" s="19" t="s">
        <v>6145</v>
      </c>
      <c r="X50" s="2"/>
      <c r="Y50" s="2"/>
      <c r="Z50" s="2"/>
      <c r="AA50" s="2"/>
      <c r="AB50" s="2"/>
    </row>
    <row r="51" spans="1:28" x14ac:dyDescent="0.2">
      <c r="A51" s="129" t="s">
        <v>6547</v>
      </c>
      <c r="B51" s="2" t="s">
        <v>6548</v>
      </c>
      <c r="C51" s="2" t="s">
        <v>6549</v>
      </c>
      <c r="D51" s="19">
        <v>45552</v>
      </c>
      <c r="E51" s="2">
        <v>248</v>
      </c>
      <c r="F51" s="2">
        <v>248</v>
      </c>
      <c r="G51" s="2" t="s">
        <v>7687</v>
      </c>
      <c r="H51" s="2" t="s">
        <v>615</v>
      </c>
      <c r="I51" s="2" t="s">
        <v>7429</v>
      </c>
      <c r="J51" s="2" t="s">
        <v>6717</v>
      </c>
      <c r="K51" s="2" t="s">
        <v>2716</v>
      </c>
      <c r="L51" s="2" t="s">
        <v>2713</v>
      </c>
      <c r="M51" s="2" t="s">
        <v>532</v>
      </c>
      <c r="N51" s="2" t="s">
        <v>6550</v>
      </c>
      <c r="O51" s="2" t="s">
        <v>87</v>
      </c>
      <c r="P51" s="2"/>
      <c r="Q51" s="2" t="s">
        <v>7399</v>
      </c>
      <c r="R51" s="19">
        <v>46053</v>
      </c>
      <c r="S51" s="2"/>
      <c r="T51" s="2"/>
      <c r="U51" s="20" t="s">
        <v>6106</v>
      </c>
      <c r="V51" s="20" t="s">
        <v>4248</v>
      </c>
      <c r="W51" s="19" t="s">
        <v>6145</v>
      </c>
      <c r="X51" s="2"/>
      <c r="Y51" s="2"/>
      <c r="Z51" s="2"/>
      <c r="AA51" s="2"/>
      <c r="AB51" s="2"/>
    </row>
    <row r="52" spans="1:28" x14ac:dyDescent="0.2">
      <c r="A52" s="129" t="s">
        <v>6804</v>
      </c>
      <c r="B52" s="2" t="s">
        <v>4109</v>
      </c>
      <c r="C52" s="2" t="s">
        <v>1692</v>
      </c>
      <c r="D52" s="19">
        <v>45553</v>
      </c>
      <c r="E52" s="2">
        <v>380</v>
      </c>
      <c r="F52" s="2">
        <v>380</v>
      </c>
      <c r="G52" s="2" t="s">
        <v>7686</v>
      </c>
      <c r="H52" s="2" t="s">
        <v>124</v>
      </c>
      <c r="I52" s="2"/>
      <c r="J52" s="2"/>
      <c r="K52" s="2" t="s">
        <v>6553</v>
      </c>
      <c r="L52" s="2" t="s">
        <v>2713</v>
      </c>
      <c r="M52" s="2" t="s">
        <v>420</v>
      </c>
      <c r="N52" s="2" t="s">
        <v>6996</v>
      </c>
      <c r="O52" s="2" t="s">
        <v>41</v>
      </c>
      <c r="P52" s="2"/>
      <c r="Q52" s="2" t="s">
        <v>7399</v>
      </c>
      <c r="R52" s="19">
        <v>45716</v>
      </c>
      <c r="S52" s="2"/>
      <c r="T52" s="2"/>
      <c r="U52" s="20" t="s">
        <v>6153</v>
      </c>
      <c r="V52" s="20" t="s">
        <v>4174</v>
      </c>
      <c r="W52" s="19" t="s">
        <v>6138</v>
      </c>
      <c r="X52" s="2"/>
      <c r="Y52" s="2"/>
      <c r="Z52" s="2"/>
      <c r="AA52" s="2"/>
      <c r="AB52" s="2"/>
    </row>
    <row r="53" spans="1:28" x14ac:dyDescent="0.2">
      <c r="A53" s="129" t="s">
        <v>6551</v>
      </c>
      <c r="B53" s="2" t="s">
        <v>4109</v>
      </c>
      <c r="C53" s="2" t="s">
        <v>6552</v>
      </c>
      <c r="D53" s="19">
        <v>45553</v>
      </c>
      <c r="E53" s="2">
        <v>380</v>
      </c>
      <c r="F53" s="2">
        <v>380</v>
      </c>
      <c r="G53" s="2" t="s">
        <v>7686</v>
      </c>
      <c r="H53" s="2" t="s">
        <v>124</v>
      </c>
      <c r="I53" s="2"/>
      <c r="J53" s="2"/>
      <c r="K53" s="2" t="s">
        <v>6553</v>
      </c>
      <c r="L53" s="2" t="s">
        <v>2713</v>
      </c>
      <c r="M53" s="2" t="s">
        <v>420</v>
      </c>
      <c r="N53" s="2" t="s">
        <v>7362</v>
      </c>
      <c r="O53" s="2" t="s">
        <v>41</v>
      </c>
      <c r="P53" s="2"/>
      <c r="Q53" s="2" t="s">
        <v>7399</v>
      </c>
      <c r="R53" s="19">
        <v>45716</v>
      </c>
      <c r="S53" s="2"/>
      <c r="T53" s="2"/>
      <c r="U53" s="20" t="s">
        <v>6153</v>
      </c>
      <c r="V53" s="20" t="s">
        <v>4174</v>
      </c>
      <c r="W53" s="19" t="s">
        <v>6138</v>
      </c>
      <c r="X53" s="2"/>
      <c r="Y53" s="2"/>
      <c r="Z53" s="2"/>
      <c r="AA53" s="2"/>
      <c r="AB53" s="2"/>
    </row>
    <row r="54" spans="1:28" x14ac:dyDescent="0.2">
      <c r="A54" s="129" t="s">
        <v>7001</v>
      </c>
      <c r="B54" s="2" t="s">
        <v>7156</v>
      </c>
      <c r="C54" s="2" t="s">
        <v>7002</v>
      </c>
      <c r="D54" s="19">
        <v>45554</v>
      </c>
      <c r="E54" s="2">
        <v>170</v>
      </c>
      <c r="F54" s="2">
        <v>170</v>
      </c>
      <c r="G54" s="2" t="s">
        <v>7688</v>
      </c>
      <c r="H54" s="2" t="s">
        <v>3505</v>
      </c>
      <c r="I54" s="2" t="s">
        <v>7427</v>
      </c>
      <c r="J54" s="2" t="s">
        <v>6717</v>
      </c>
      <c r="K54" s="2" t="s">
        <v>2739</v>
      </c>
      <c r="L54" s="2" t="s">
        <v>2713</v>
      </c>
      <c r="M54" s="2" t="s">
        <v>540</v>
      </c>
      <c r="N54" s="2" t="s">
        <v>7003</v>
      </c>
      <c r="O54" s="2" t="s">
        <v>41</v>
      </c>
      <c r="P54" s="2" t="s">
        <v>7004</v>
      </c>
      <c r="Q54" s="2" t="s">
        <v>7399</v>
      </c>
      <c r="R54" s="19">
        <v>45900</v>
      </c>
      <c r="S54" s="2"/>
      <c r="T54" s="2"/>
      <c r="U54" s="20" t="s">
        <v>6902</v>
      </c>
      <c r="V54" s="20" t="s">
        <v>6903</v>
      </c>
      <c r="W54" s="19" t="s">
        <v>4169</v>
      </c>
      <c r="X54" s="2"/>
      <c r="Y54" s="2"/>
      <c r="Z54" s="2"/>
      <c r="AA54" s="2"/>
      <c r="AB54" s="2"/>
    </row>
    <row r="55" spans="1:28" x14ac:dyDescent="0.2">
      <c r="A55" s="129" t="s">
        <v>7007</v>
      </c>
      <c r="B55" s="2" t="s">
        <v>7008</v>
      </c>
      <c r="C55" s="2" t="s">
        <v>7009</v>
      </c>
      <c r="D55" s="19">
        <v>45554</v>
      </c>
      <c r="E55" s="2">
        <v>200</v>
      </c>
      <c r="F55" s="2">
        <v>200</v>
      </c>
      <c r="G55" s="2" t="s">
        <v>7686</v>
      </c>
      <c r="H55" s="2" t="s">
        <v>615</v>
      </c>
      <c r="I55" s="2" t="s">
        <v>7421</v>
      </c>
      <c r="J55" s="2" t="s">
        <v>7428</v>
      </c>
      <c r="K55" s="2" t="s">
        <v>2798</v>
      </c>
      <c r="L55" s="2" t="s">
        <v>2713</v>
      </c>
      <c r="M55" s="2" t="s">
        <v>471</v>
      </c>
      <c r="N55" s="2" t="s">
        <v>7405</v>
      </c>
      <c r="O55" s="2" t="s">
        <v>41</v>
      </c>
      <c r="P55" s="2" t="s">
        <v>157</v>
      </c>
      <c r="Q55" s="2" t="s">
        <v>7399</v>
      </c>
      <c r="R55" s="19">
        <v>45716</v>
      </c>
      <c r="S55" s="2"/>
      <c r="T55" s="2"/>
      <c r="U55" s="20" t="s">
        <v>6902</v>
      </c>
      <c r="V55" s="20" t="s">
        <v>6903</v>
      </c>
      <c r="W55" s="19" t="s">
        <v>4169</v>
      </c>
      <c r="X55" s="2"/>
      <c r="Y55" s="2"/>
      <c r="Z55" s="2"/>
      <c r="AA55" s="2"/>
      <c r="AB55" s="2"/>
    </row>
    <row r="56" spans="1:28" x14ac:dyDescent="0.2">
      <c r="A56" s="129" t="s">
        <v>7010</v>
      </c>
      <c r="B56" s="2" t="s">
        <v>7011</v>
      </c>
      <c r="C56" s="2" t="s">
        <v>7012</v>
      </c>
      <c r="D56" s="19">
        <v>45554</v>
      </c>
      <c r="E56" s="2">
        <v>120</v>
      </c>
      <c r="F56" s="2">
        <v>120</v>
      </c>
      <c r="G56" s="2" t="s">
        <v>7686</v>
      </c>
      <c r="H56" s="2" t="s">
        <v>615</v>
      </c>
      <c r="I56" s="2" t="s">
        <v>7419</v>
      </c>
      <c r="J56" s="2" t="s">
        <v>7428</v>
      </c>
      <c r="K56" s="2" t="s">
        <v>7013</v>
      </c>
      <c r="L56" s="2" t="s">
        <v>2713</v>
      </c>
      <c r="M56" s="2" t="s">
        <v>393</v>
      </c>
      <c r="N56" s="2" t="s">
        <v>7406</v>
      </c>
      <c r="O56" s="2" t="s">
        <v>34</v>
      </c>
      <c r="P56" s="2" t="s">
        <v>7006</v>
      </c>
      <c r="Q56" s="2" t="s">
        <v>7399</v>
      </c>
      <c r="R56" s="19">
        <v>45716</v>
      </c>
      <c r="S56" s="2"/>
      <c r="T56" s="2"/>
      <c r="U56" s="20" t="s">
        <v>6902</v>
      </c>
      <c r="V56" s="20" t="s">
        <v>6903</v>
      </c>
      <c r="W56" s="19" t="s">
        <v>4169</v>
      </c>
      <c r="X56" s="2"/>
      <c r="Y56" s="2"/>
      <c r="Z56" s="2"/>
      <c r="AA56" s="2"/>
      <c r="AB56" s="2"/>
    </row>
    <row r="57" spans="1:28" x14ac:dyDescent="0.2">
      <c r="A57" s="129" t="s">
        <v>6814</v>
      </c>
      <c r="B57" s="2" t="s">
        <v>6815</v>
      </c>
      <c r="C57" s="2" t="s">
        <v>6816</v>
      </c>
      <c r="D57" s="19">
        <v>45555</v>
      </c>
      <c r="E57" s="2">
        <v>150</v>
      </c>
      <c r="F57" s="2">
        <v>150</v>
      </c>
      <c r="G57" s="2" t="s">
        <v>7686</v>
      </c>
      <c r="H57" s="2" t="s">
        <v>55</v>
      </c>
      <c r="I57" s="2"/>
      <c r="J57" s="2"/>
      <c r="K57" s="2" t="s">
        <v>2740</v>
      </c>
      <c r="L57" s="2" t="s">
        <v>2713</v>
      </c>
      <c r="M57" s="2" t="s">
        <v>530</v>
      </c>
      <c r="N57" s="2" t="s">
        <v>7017</v>
      </c>
      <c r="O57" s="2" t="s">
        <v>157</v>
      </c>
      <c r="P57" s="2"/>
      <c r="Q57" s="2" t="s">
        <v>7399</v>
      </c>
      <c r="R57" s="19">
        <v>46053</v>
      </c>
      <c r="S57" s="2"/>
      <c r="T57" s="2"/>
      <c r="U57" s="20" t="s">
        <v>6106</v>
      </c>
      <c r="V57" s="20" t="s">
        <v>4248</v>
      </c>
      <c r="W57" s="19" t="s">
        <v>6145</v>
      </c>
      <c r="X57" s="2"/>
      <c r="Y57" s="2"/>
      <c r="Z57" s="2"/>
      <c r="AA57" s="2"/>
      <c r="AB57" s="2"/>
    </row>
    <row r="58" spans="1:28" x14ac:dyDescent="0.2">
      <c r="A58" s="129" t="s">
        <v>6822</v>
      </c>
      <c r="B58" s="2" t="s">
        <v>3844</v>
      </c>
      <c r="C58" s="2" t="s">
        <v>6823</v>
      </c>
      <c r="D58" s="19">
        <v>45555</v>
      </c>
      <c r="E58" s="2">
        <v>130</v>
      </c>
      <c r="F58" s="2">
        <v>130</v>
      </c>
      <c r="G58" s="2" t="s">
        <v>7688</v>
      </c>
      <c r="H58" s="2" t="s">
        <v>3505</v>
      </c>
      <c r="I58" s="2" t="s">
        <v>5830</v>
      </c>
      <c r="J58" s="2" t="s">
        <v>6717</v>
      </c>
      <c r="K58" s="2" t="s">
        <v>2732</v>
      </c>
      <c r="L58" s="2" t="s">
        <v>2713</v>
      </c>
      <c r="M58" s="139" t="s">
        <v>393</v>
      </c>
      <c r="N58" s="139" t="s">
        <v>7407</v>
      </c>
      <c r="O58" s="139" t="s">
        <v>34</v>
      </c>
      <c r="P58" s="139"/>
      <c r="Q58" s="2" t="s">
        <v>7399</v>
      </c>
      <c r="R58" s="19">
        <v>46022</v>
      </c>
      <c r="S58" s="2"/>
      <c r="T58" s="2"/>
      <c r="U58" s="20" t="s">
        <v>6099</v>
      </c>
      <c r="V58" s="20" t="s">
        <v>6133</v>
      </c>
      <c r="W58" s="19" t="s">
        <v>4248</v>
      </c>
      <c r="X58" s="2"/>
      <c r="Y58" s="2"/>
      <c r="Z58" s="2"/>
      <c r="AA58" s="2"/>
      <c r="AB58" s="2"/>
    </row>
    <row r="59" spans="1:28" x14ac:dyDescent="0.2">
      <c r="A59" s="129" t="s">
        <v>6598</v>
      </c>
      <c r="B59" s="2" t="s">
        <v>6599</v>
      </c>
      <c r="C59" s="2" t="s">
        <v>6600</v>
      </c>
      <c r="D59" s="19">
        <v>45555</v>
      </c>
      <c r="E59" s="2">
        <v>39</v>
      </c>
      <c r="F59" s="2">
        <v>39</v>
      </c>
      <c r="G59" s="2" t="s">
        <v>7686</v>
      </c>
      <c r="H59" s="2" t="s">
        <v>124</v>
      </c>
      <c r="I59" s="2"/>
      <c r="J59" s="2"/>
      <c r="K59" s="2" t="s">
        <v>2728</v>
      </c>
      <c r="L59" s="2" t="s">
        <v>2713</v>
      </c>
      <c r="M59" s="2" t="s">
        <v>531</v>
      </c>
      <c r="N59" s="2" t="s">
        <v>7021</v>
      </c>
      <c r="O59" s="2" t="s">
        <v>157</v>
      </c>
      <c r="P59" s="2"/>
      <c r="Q59" s="2" t="s">
        <v>7399</v>
      </c>
      <c r="R59" s="19">
        <v>46022</v>
      </c>
      <c r="S59" s="2"/>
      <c r="T59" s="2"/>
      <c r="U59" s="20" t="s">
        <v>6138</v>
      </c>
      <c r="V59" s="20" t="s">
        <v>6106</v>
      </c>
      <c r="W59" s="19" t="s">
        <v>6145</v>
      </c>
      <c r="X59" s="2"/>
      <c r="Y59" s="2"/>
      <c r="Z59" s="2"/>
      <c r="AA59" s="2"/>
      <c r="AB59" s="2"/>
    </row>
    <row r="60" spans="1:28" x14ac:dyDescent="0.2">
      <c r="A60" s="129" t="s">
        <v>6610</v>
      </c>
      <c r="B60" s="2" t="s">
        <v>6611</v>
      </c>
      <c r="C60" s="2" t="s">
        <v>6612</v>
      </c>
      <c r="D60" s="19">
        <v>45556</v>
      </c>
      <c r="E60" s="2">
        <v>62</v>
      </c>
      <c r="F60" s="2">
        <v>62</v>
      </c>
      <c r="G60" s="2" t="s">
        <v>7686</v>
      </c>
      <c r="H60" s="2" t="s">
        <v>124</v>
      </c>
      <c r="I60" s="2"/>
      <c r="J60" s="2"/>
      <c r="K60" s="2" t="s">
        <v>2728</v>
      </c>
      <c r="L60" s="2" t="s">
        <v>2713</v>
      </c>
      <c r="M60" s="2" t="s">
        <v>531</v>
      </c>
      <c r="N60" s="2" t="s">
        <v>7024</v>
      </c>
      <c r="O60" s="2" t="s">
        <v>157</v>
      </c>
      <c r="P60" s="2"/>
      <c r="Q60" s="2" t="s">
        <v>7399</v>
      </c>
      <c r="R60" s="19">
        <v>46022</v>
      </c>
      <c r="S60" s="2"/>
      <c r="T60" s="2"/>
      <c r="U60" s="20" t="s">
        <v>6138</v>
      </c>
      <c r="V60" s="20" t="s">
        <v>6106</v>
      </c>
      <c r="W60" s="19" t="s">
        <v>6145</v>
      </c>
      <c r="X60" s="2"/>
      <c r="Y60" s="2"/>
      <c r="Z60" s="2"/>
      <c r="AA60" s="2"/>
      <c r="AB60" s="2"/>
    </row>
    <row r="61" spans="1:28" x14ac:dyDescent="0.2">
      <c r="A61" s="129" t="s">
        <v>7025</v>
      </c>
      <c r="B61" s="2" t="s">
        <v>7026</v>
      </c>
      <c r="C61" s="2" t="s">
        <v>5577</v>
      </c>
      <c r="D61" s="19">
        <v>45557</v>
      </c>
      <c r="E61" s="2">
        <v>400</v>
      </c>
      <c r="F61" s="2">
        <v>400</v>
      </c>
      <c r="G61" s="2" t="s">
        <v>7686</v>
      </c>
      <c r="H61" s="2" t="s">
        <v>615</v>
      </c>
      <c r="I61" s="2" t="s">
        <v>5053</v>
      </c>
      <c r="J61" s="2" t="s">
        <v>6717</v>
      </c>
      <c r="K61" s="2" t="s">
        <v>3300</v>
      </c>
      <c r="L61" s="2" t="s">
        <v>2749</v>
      </c>
      <c r="M61" s="2" t="s">
        <v>393</v>
      </c>
      <c r="N61" s="2" t="s">
        <v>6672</v>
      </c>
      <c r="O61" s="2" t="s">
        <v>34</v>
      </c>
      <c r="P61" s="2"/>
      <c r="Q61" s="2" t="s">
        <v>7399</v>
      </c>
      <c r="R61" s="19">
        <v>45991</v>
      </c>
      <c r="S61" s="2"/>
      <c r="T61" s="2"/>
      <c r="U61" s="20" t="s">
        <v>6373</v>
      </c>
      <c r="V61" s="20" t="s">
        <v>4174</v>
      </c>
      <c r="W61" s="19" t="s">
        <v>6124</v>
      </c>
      <c r="X61" s="2"/>
      <c r="Y61" s="2"/>
      <c r="Z61" s="2"/>
      <c r="AA61" s="2"/>
      <c r="AB61" s="2"/>
    </row>
    <row r="62" spans="1:28" x14ac:dyDescent="0.2">
      <c r="A62" s="129" t="s">
        <v>6826</v>
      </c>
      <c r="B62" s="2" t="s">
        <v>6827</v>
      </c>
      <c r="C62" s="2" t="s">
        <v>6828</v>
      </c>
      <c r="D62" s="19">
        <v>45558</v>
      </c>
      <c r="E62" s="2">
        <v>100</v>
      </c>
      <c r="F62" s="2">
        <v>100</v>
      </c>
      <c r="G62" s="2" t="s">
        <v>7686</v>
      </c>
      <c r="H62" s="2" t="s">
        <v>615</v>
      </c>
      <c r="I62" s="2" t="s">
        <v>5830</v>
      </c>
      <c r="J62" s="2" t="s">
        <v>6717</v>
      </c>
      <c r="K62" s="2" t="s">
        <v>2838</v>
      </c>
      <c r="L62" s="2" t="s">
        <v>2713</v>
      </c>
      <c r="M62" s="2" t="s">
        <v>393</v>
      </c>
      <c r="N62" s="2" t="s">
        <v>6829</v>
      </c>
      <c r="O62" s="2" t="s">
        <v>34</v>
      </c>
      <c r="P62" s="2"/>
      <c r="Q62" s="2" t="s">
        <v>7399</v>
      </c>
      <c r="R62" s="19">
        <v>46022</v>
      </c>
      <c r="S62" s="2"/>
      <c r="T62" s="2"/>
      <c r="U62" s="20" t="s">
        <v>4088</v>
      </c>
      <c r="V62" s="20" t="s">
        <v>4602</v>
      </c>
      <c r="W62" s="19" t="s">
        <v>6185</v>
      </c>
      <c r="X62" s="2"/>
      <c r="Y62" s="2"/>
      <c r="Z62" s="2"/>
      <c r="AA62" s="2"/>
      <c r="AB62" s="2"/>
    </row>
    <row r="63" spans="1:28" x14ac:dyDescent="0.2">
      <c r="A63" s="129" t="s">
        <v>6838</v>
      </c>
      <c r="B63" s="2" t="s">
        <v>6196</v>
      </c>
      <c r="C63" s="2" t="s">
        <v>6839</v>
      </c>
      <c r="D63" s="19">
        <v>45558</v>
      </c>
      <c r="E63" s="2">
        <v>40</v>
      </c>
      <c r="F63" s="2">
        <v>40</v>
      </c>
      <c r="G63" s="2" t="s">
        <v>7686</v>
      </c>
      <c r="H63" s="2" t="s">
        <v>615</v>
      </c>
      <c r="I63" s="2" t="s">
        <v>5813</v>
      </c>
      <c r="J63" s="2" t="s">
        <v>6717</v>
      </c>
      <c r="K63" s="2" t="s">
        <v>3145</v>
      </c>
      <c r="L63" s="2" t="s">
        <v>2713</v>
      </c>
      <c r="M63" s="2" t="s">
        <v>393</v>
      </c>
      <c r="N63" s="2" t="s">
        <v>6840</v>
      </c>
      <c r="O63" s="2" t="s">
        <v>34</v>
      </c>
      <c r="P63" s="2"/>
      <c r="Q63" s="2" t="s">
        <v>7399</v>
      </c>
      <c r="R63" s="19">
        <v>46081</v>
      </c>
      <c r="S63" s="2"/>
      <c r="T63" s="2"/>
      <c r="U63" s="20" t="s">
        <v>6211</v>
      </c>
      <c r="V63" s="20" t="s">
        <v>6373</v>
      </c>
      <c r="W63" s="19" t="s">
        <v>4174</v>
      </c>
      <c r="X63" s="2"/>
      <c r="Y63" s="2"/>
      <c r="Z63" s="2"/>
      <c r="AA63" s="2"/>
      <c r="AB63" s="2"/>
    </row>
    <row r="64" spans="1:28" x14ac:dyDescent="0.2">
      <c r="A64" s="129" t="s">
        <v>6861</v>
      </c>
      <c r="B64" s="2" t="s">
        <v>7360</v>
      </c>
      <c r="C64" s="2" t="s">
        <v>4657</v>
      </c>
      <c r="D64" s="19">
        <v>45560</v>
      </c>
      <c r="E64" s="2">
        <v>49.1</v>
      </c>
      <c r="F64" s="2">
        <v>49.1</v>
      </c>
      <c r="G64" s="2" t="s">
        <v>7687</v>
      </c>
      <c r="H64" s="2" t="s">
        <v>615</v>
      </c>
      <c r="I64" s="2" t="s">
        <v>7587</v>
      </c>
      <c r="J64" s="2" t="s">
        <v>6717</v>
      </c>
      <c r="K64" s="2" t="s">
        <v>2716</v>
      </c>
      <c r="L64" s="2" t="s">
        <v>2713</v>
      </c>
      <c r="M64" s="2" t="s">
        <v>532</v>
      </c>
      <c r="N64" s="2" t="s">
        <v>6862</v>
      </c>
      <c r="O64" s="2" t="s">
        <v>87</v>
      </c>
      <c r="P64" s="2"/>
      <c r="Q64" s="2" t="s">
        <v>7399</v>
      </c>
      <c r="R64" s="19">
        <v>45747</v>
      </c>
      <c r="S64" s="2"/>
      <c r="T64" s="2"/>
      <c r="U64" s="20" t="s">
        <v>6210</v>
      </c>
      <c r="V64" s="20" t="s">
        <v>6185</v>
      </c>
      <c r="W64" s="19" t="s">
        <v>6211</v>
      </c>
      <c r="X64" s="2"/>
      <c r="Y64" s="2"/>
      <c r="Z64" s="2"/>
      <c r="AA64" s="2"/>
      <c r="AB64" s="2"/>
    </row>
    <row r="65" spans="1:31" x14ac:dyDescent="0.2">
      <c r="A65" s="129" t="s">
        <v>6866</v>
      </c>
      <c r="B65" s="2" t="s">
        <v>7628</v>
      </c>
      <c r="C65" s="2" t="s">
        <v>7606</v>
      </c>
      <c r="D65" s="19">
        <v>45560</v>
      </c>
      <c r="E65" s="2">
        <v>349</v>
      </c>
      <c r="F65" s="2">
        <v>349</v>
      </c>
      <c r="G65" s="2" t="s">
        <v>7686</v>
      </c>
      <c r="H65" s="2" t="s">
        <v>615</v>
      </c>
      <c r="I65" s="2" t="s">
        <v>5407</v>
      </c>
      <c r="J65" s="2" t="s">
        <v>6717</v>
      </c>
      <c r="K65" s="2" t="s">
        <v>2714</v>
      </c>
      <c r="L65" s="2" t="s">
        <v>2713</v>
      </c>
      <c r="M65" s="2" t="s">
        <v>533</v>
      </c>
      <c r="N65" s="2" t="s">
        <v>3911</v>
      </c>
      <c r="O65" s="2" t="s">
        <v>403</v>
      </c>
      <c r="P65" s="2"/>
      <c r="Q65" s="2">
        <v>6</v>
      </c>
      <c r="R65" s="19">
        <v>46112</v>
      </c>
      <c r="S65" s="2"/>
      <c r="T65" s="2"/>
      <c r="U65" s="19" t="s">
        <v>6153</v>
      </c>
      <c r="V65" s="2" t="s">
        <v>6153</v>
      </c>
      <c r="W65" s="2" t="s">
        <v>4174</v>
      </c>
      <c r="X65" s="20"/>
      <c r="Y65" s="20"/>
      <c r="Z65" s="19"/>
      <c r="AA65" s="2"/>
      <c r="AB65" s="2"/>
      <c r="AC65" s="2"/>
      <c r="AD65" s="2"/>
      <c r="AE65" s="2"/>
    </row>
    <row r="66" spans="1:31" x14ac:dyDescent="0.2">
      <c r="A66" s="129" t="s">
        <v>6657</v>
      </c>
      <c r="B66" s="2" t="s">
        <v>6269</v>
      </c>
      <c r="C66" s="2" t="s">
        <v>6658</v>
      </c>
      <c r="D66" s="19">
        <v>45560</v>
      </c>
      <c r="E66" s="2">
        <v>100</v>
      </c>
      <c r="F66" s="2">
        <v>100</v>
      </c>
      <c r="G66" s="2" t="s">
        <v>7686</v>
      </c>
      <c r="H66" s="2" t="s">
        <v>615</v>
      </c>
      <c r="I66" s="2" t="s">
        <v>5830</v>
      </c>
      <c r="J66" s="2" t="s">
        <v>6717</v>
      </c>
      <c r="K66" s="2" t="s">
        <v>2712</v>
      </c>
      <c r="L66" s="2" t="s">
        <v>2713</v>
      </c>
      <c r="M66" s="2" t="s">
        <v>533</v>
      </c>
      <c r="N66" s="2" t="s">
        <v>6659</v>
      </c>
      <c r="O66" s="2" t="s">
        <v>41</v>
      </c>
      <c r="P66" s="2" t="s">
        <v>403</v>
      </c>
      <c r="Q66" s="2" t="s">
        <v>7399</v>
      </c>
      <c r="R66" s="19">
        <v>46053</v>
      </c>
      <c r="S66" s="2"/>
      <c r="T66" s="2"/>
      <c r="U66" s="20" t="s">
        <v>6271</v>
      </c>
      <c r="V66" s="20" t="s">
        <v>6254</v>
      </c>
      <c r="W66" s="19" t="s">
        <v>4169</v>
      </c>
      <c r="X66" s="2"/>
      <c r="Y66" s="2"/>
      <c r="Z66" s="2"/>
      <c r="AA66" s="2"/>
      <c r="AB66" s="2"/>
    </row>
    <row r="67" spans="1:31" x14ac:dyDescent="0.2">
      <c r="A67" s="129" t="s">
        <v>7072</v>
      </c>
      <c r="B67" s="2" t="s">
        <v>7073</v>
      </c>
      <c r="C67" s="2" t="s">
        <v>7074</v>
      </c>
      <c r="D67" s="19">
        <v>45562</v>
      </c>
      <c r="E67" s="2">
        <v>24.9</v>
      </c>
      <c r="F67" s="2">
        <v>24.9</v>
      </c>
      <c r="G67" s="2" t="s">
        <v>7686</v>
      </c>
      <c r="H67" s="2" t="s">
        <v>55</v>
      </c>
      <c r="I67" s="2"/>
      <c r="J67" s="2"/>
      <c r="K67" s="2" t="s">
        <v>590</v>
      </c>
      <c r="L67" s="2" t="s">
        <v>2713</v>
      </c>
      <c r="M67" s="2" t="s">
        <v>393</v>
      </c>
      <c r="N67" s="2" t="s">
        <v>5056</v>
      </c>
      <c r="O67" s="2" t="s">
        <v>157</v>
      </c>
      <c r="P67" s="2"/>
      <c r="Q67" s="2" t="s">
        <v>7399</v>
      </c>
      <c r="R67" s="19">
        <v>45838</v>
      </c>
      <c r="S67" s="2"/>
      <c r="T67" s="2"/>
      <c r="U67" s="20" t="s">
        <v>4086</v>
      </c>
      <c r="V67" s="20" t="s">
        <v>4073</v>
      </c>
      <c r="W67" s="19" t="s">
        <v>4073</v>
      </c>
      <c r="X67" s="2"/>
      <c r="Y67" s="2"/>
      <c r="Z67" s="2"/>
      <c r="AA67" s="2"/>
      <c r="AB67" s="2"/>
    </row>
    <row r="68" spans="1:31" x14ac:dyDescent="0.2">
      <c r="A68" s="129" t="s">
        <v>6669</v>
      </c>
      <c r="B68" s="2" t="s">
        <v>6670</v>
      </c>
      <c r="C68" s="2" t="s">
        <v>6671</v>
      </c>
      <c r="D68" s="19">
        <v>45565</v>
      </c>
      <c r="E68" s="2">
        <v>175</v>
      </c>
      <c r="F68" s="2">
        <v>175</v>
      </c>
      <c r="G68" s="2" t="s">
        <v>7686</v>
      </c>
      <c r="H68" s="2" t="s">
        <v>55</v>
      </c>
      <c r="I68" s="2"/>
      <c r="J68" s="2"/>
      <c r="K68" s="2" t="s">
        <v>3300</v>
      </c>
      <c r="L68" s="2" t="s">
        <v>2749</v>
      </c>
      <c r="M68" s="2" t="s">
        <v>393</v>
      </c>
      <c r="N68" s="2" t="s">
        <v>6672</v>
      </c>
      <c r="O68" s="2" t="s">
        <v>34</v>
      </c>
      <c r="P68" s="2"/>
      <c r="Q68" s="2" t="s">
        <v>7399</v>
      </c>
      <c r="R68" s="19">
        <v>45716</v>
      </c>
      <c r="S68" s="2"/>
      <c r="T68" s="2"/>
      <c r="U68" s="20" t="s">
        <v>6373</v>
      </c>
      <c r="V68" s="20" t="s">
        <v>4174</v>
      </c>
      <c r="W68" s="19" t="s">
        <v>6124</v>
      </c>
      <c r="X68" s="2"/>
      <c r="Y68" s="2"/>
      <c r="Z68" s="2"/>
      <c r="AA68" s="2"/>
      <c r="AB68" s="2"/>
    </row>
    <row r="69" spans="1:31" x14ac:dyDescent="0.2">
      <c r="A69" s="129" t="s">
        <v>6673</v>
      </c>
      <c r="B69" s="2" t="s">
        <v>6674</v>
      </c>
      <c r="C69" s="2" t="s">
        <v>6675</v>
      </c>
      <c r="D69" s="19">
        <v>45565</v>
      </c>
      <c r="E69" s="2">
        <v>250</v>
      </c>
      <c r="F69" s="2">
        <v>250</v>
      </c>
      <c r="G69" s="2" t="s">
        <v>7686</v>
      </c>
      <c r="H69" s="2" t="s">
        <v>55</v>
      </c>
      <c r="I69" s="2"/>
      <c r="J69" s="2"/>
      <c r="K69" s="2" t="s">
        <v>3300</v>
      </c>
      <c r="L69" s="2" t="s">
        <v>2749</v>
      </c>
      <c r="M69" s="2" t="s">
        <v>393</v>
      </c>
      <c r="N69" s="2" t="s">
        <v>7076</v>
      </c>
      <c r="O69" s="2" t="s">
        <v>34</v>
      </c>
      <c r="P69" s="2"/>
      <c r="Q69" s="2" t="s">
        <v>7399</v>
      </c>
      <c r="R69" s="19">
        <v>45716</v>
      </c>
      <c r="S69" s="2"/>
      <c r="T69" s="2"/>
      <c r="U69" s="20" t="s">
        <v>6373</v>
      </c>
      <c r="V69" s="20" t="s">
        <v>4174</v>
      </c>
      <c r="W69" s="19" t="s">
        <v>6124</v>
      </c>
      <c r="X69" s="2"/>
      <c r="Y69" s="2"/>
      <c r="Z69" s="2"/>
      <c r="AA69" s="2"/>
      <c r="AB69" s="2"/>
    </row>
    <row r="70" spans="1:31" x14ac:dyDescent="0.2">
      <c r="A70" s="129" t="s">
        <v>7232</v>
      </c>
      <c r="B70" s="2" t="s">
        <v>6683</v>
      </c>
      <c r="C70" s="2" t="s">
        <v>6684</v>
      </c>
      <c r="D70" s="19">
        <v>45566</v>
      </c>
      <c r="E70" s="2">
        <v>150</v>
      </c>
      <c r="F70" s="2">
        <v>150</v>
      </c>
      <c r="G70" s="2" t="s">
        <v>7686</v>
      </c>
      <c r="H70" s="2" t="s">
        <v>615</v>
      </c>
      <c r="I70" s="2" t="s">
        <v>7418</v>
      </c>
      <c r="J70" s="2" t="s">
        <v>6717</v>
      </c>
      <c r="K70" s="2" t="s">
        <v>2738</v>
      </c>
      <c r="L70" s="2" t="s">
        <v>2713</v>
      </c>
      <c r="M70" s="2" t="s">
        <v>420</v>
      </c>
      <c r="N70" s="2" t="s">
        <v>6996</v>
      </c>
      <c r="O70" s="2" t="s">
        <v>41</v>
      </c>
      <c r="P70" s="2"/>
      <c r="Q70" s="2" t="s">
        <v>7399</v>
      </c>
      <c r="R70" s="19">
        <v>46053</v>
      </c>
      <c r="S70" s="2"/>
      <c r="T70" s="2"/>
      <c r="U70" s="20" t="s">
        <v>4149</v>
      </c>
      <c r="V70" s="20" t="s">
        <v>4087</v>
      </c>
      <c r="W70" s="19" t="s">
        <v>4602</v>
      </c>
      <c r="X70" s="2"/>
      <c r="Y70" s="2"/>
      <c r="Z70" s="2"/>
      <c r="AA70" s="2"/>
      <c r="AB70" s="2"/>
    </row>
    <row r="71" spans="1:31" x14ac:dyDescent="0.2">
      <c r="A71" s="129" t="s">
        <v>6691</v>
      </c>
      <c r="B71" s="2" t="s">
        <v>7648</v>
      </c>
      <c r="C71" s="2" t="s">
        <v>6692</v>
      </c>
      <c r="D71" s="19">
        <v>45568</v>
      </c>
      <c r="E71" s="2">
        <v>75</v>
      </c>
      <c r="F71" s="2">
        <v>75</v>
      </c>
      <c r="G71" s="2" t="s">
        <v>7686</v>
      </c>
      <c r="H71" s="2" t="s">
        <v>615</v>
      </c>
      <c r="I71" s="2" t="s">
        <v>5812</v>
      </c>
      <c r="J71" s="2" t="s">
        <v>6717</v>
      </c>
      <c r="K71" s="2" t="s">
        <v>2735</v>
      </c>
      <c r="L71" s="2" t="s">
        <v>2713</v>
      </c>
      <c r="M71" s="2" t="s">
        <v>420</v>
      </c>
      <c r="N71" s="2" t="s">
        <v>6693</v>
      </c>
      <c r="O71" s="2" t="s">
        <v>34</v>
      </c>
      <c r="P71" s="2" t="s">
        <v>41</v>
      </c>
      <c r="Q71" s="2" t="s">
        <v>7399</v>
      </c>
      <c r="R71" s="19">
        <v>46053</v>
      </c>
      <c r="S71" s="2"/>
      <c r="T71" s="2"/>
      <c r="U71" s="20" t="s">
        <v>6152</v>
      </c>
      <c r="V71" s="20" t="s">
        <v>6153</v>
      </c>
      <c r="W71" s="19" t="s">
        <v>4174</v>
      </c>
      <c r="X71" s="2"/>
      <c r="Y71" s="2"/>
      <c r="Z71" s="2"/>
      <c r="AA71" s="2"/>
      <c r="AB71" s="2"/>
    </row>
    <row r="72" spans="1:31" x14ac:dyDescent="0.2">
      <c r="A72" s="129" t="s">
        <v>6694</v>
      </c>
      <c r="B72" s="2" t="s">
        <v>6196</v>
      </c>
      <c r="C72" s="2" t="s">
        <v>6695</v>
      </c>
      <c r="D72" s="19">
        <v>45569</v>
      </c>
      <c r="E72" s="2">
        <v>40</v>
      </c>
      <c r="F72" s="2">
        <v>40</v>
      </c>
      <c r="G72" s="2" t="s">
        <v>7686</v>
      </c>
      <c r="H72" s="2" t="s">
        <v>615</v>
      </c>
      <c r="I72" s="2" t="s">
        <v>5813</v>
      </c>
      <c r="J72" s="2" t="s">
        <v>6717</v>
      </c>
      <c r="K72" s="2" t="s">
        <v>2753</v>
      </c>
      <c r="L72" s="2" t="s">
        <v>2713</v>
      </c>
      <c r="M72" s="2" t="s">
        <v>530</v>
      </c>
      <c r="N72" s="2" t="s">
        <v>6696</v>
      </c>
      <c r="O72" s="2" t="s">
        <v>34</v>
      </c>
      <c r="P72" s="2"/>
      <c r="Q72" s="2" t="s">
        <v>7399</v>
      </c>
      <c r="R72" s="19">
        <v>46081</v>
      </c>
      <c r="S72" s="2"/>
      <c r="T72" s="2"/>
      <c r="U72" s="20" t="s">
        <v>6211</v>
      </c>
      <c r="V72" s="20" t="s">
        <v>6373</v>
      </c>
      <c r="W72" s="19" t="s">
        <v>4174</v>
      </c>
      <c r="X72" s="2"/>
      <c r="Y72" s="2"/>
      <c r="Z72" s="2"/>
      <c r="AA72" s="2"/>
      <c r="AB72" s="2"/>
    </row>
    <row r="73" spans="1:31" x14ac:dyDescent="0.2">
      <c r="A73" s="129" t="s">
        <v>7087</v>
      </c>
      <c r="B73" s="2" t="s">
        <v>7088</v>
      </c>
      <c r="C73" s="2" t="s">
        <v>5538</v>
      </c>
      <c r="D73" s="19">
        <v>45572</v>
      </c>
      <c r="E73" s="2">
        <v>100</v>
      </c>
      <c r="F73" s="2">
        <v>100</v>
      </c>
      <c r="G73" s="2" t="s">
        <v>7686</v>
      </c>
      <c r="H73" s="2" t="s">
        <v>55</v>
      </c>
      <c r="I73" s="2"/>
      <c r="J73" s="2"/>
      <c r="K73" s="2" t="s">
        <v>2738</v>
      </c>
      <c r="L73" s="2" t="s">
        <v>2713</v>
      </c>
      <c r="M73" s="2" t="s">
        <v>420</v>
      </c>
      <c r="N73" s="2" t="s">
        <v>5539</v>
      </c>
      <c r="O73" s="2" t="s">
        <v>41</v>
      </c>
      <c r="P73" s="2"/>
      <c r="Q73" s="2" t="s">
        <v>7399</v>
      </c>
      <c r="R73" s="19">
        <v>45991</v>
      </c>
      <c r="S73" s="2"/>
      <c r="T73" s="2"/>
      <c r="U73" s="20" t="s">
        <v>6105</v>
      </c>
      <c r="V73" s="20" t="s">
        <v>6099</v>
      </c>
      <c r="W73" s="19" t="s">
        <v>4248</v>
      </c>
      <c r="X73" s="2"/>
      <c r="Y73" s="2"/>
      <c r="Z73" s="2"/>
      <c r="AA73" s="2"/>
      <c r="AB73" s="2"/>
    </row>
    <row r="74" spans="1:31" x14ac:dyDescent="0.2">
      <c r="A74" s="129" t="s">
        <v>7089</v>
      </c>
      <c r="B74" s="2" t="s">
        <v>6892</v>
      </c>
      <c r="C74" s="2" t="s">
        <v>7090</v>
      </c>
      <c r="D74" s="19">
        <v>45573</v>
      </c>
      <c r="E74" s="2">
        <v>199</v>
      </c>
      <c r="F74" s="2">
        <v>199</v>
      </c>
      <c r="G74" s="2" t="s">
        <v>7686</v>
      </c>
      <c r="H74" s="2" t="s">
        <v>615</v>
      </c>
      <c r="I74" s="2" t="s">
        <v>7584</v>
      </c>
      <c r="J74" s="2" t="s">
        <v>6717</v>
      </c>
      <c r="K74" s="2" t="s">
        <v>2773</v>
      </c>
      <c r="L74" s="2" t="s">
        <v>2713</v>
      </c>
      <c r="M74" s="2" t="s">
        <v>539</v>
      </c>
      <c r="N74" s="2" t="s">
        <v>7091</v>
      </c>
      <c r="O74" s="2" t="s">
        <v>673</v>
      </c>
      <c r="P74" s="2"/>
      <c r="Q74" s="2" t="s">
        <v>7399</v>
      </c>
      <c r="R74" s="19">
        <v>46053</v>
      </c>
      <c r="S74" s="2"/>
      <c r="T74" s="2"/>
      <c r="U74" s="20" t="s">
        <v>6373</v>
      </c>
      <c r="V74" s="20" t="s">
        <v>6152</v>
      </c>
      <c r="W74" s="19" t="s">
        <v>4174</v>
      </c>
      <c r="X74" s="2"/>
      <c r="Y74" s="2"/>
      <c r="Z74" s="2"/>
      <c r="AA74" s="2"/>
      <c r="AB74" s="2"/>
    </row>
    <row r="75" spans="1:31" x14ac:dyDescent="0.2">
      <c r="A75" s="129" t="s">
        <v>6891</v>
      </c>
      <c r="B75" s="2" t="s">
        <v>6892</v>
      </c>
      <c r="C75" s="2" t="s">
        <v>4252</v>
      </c>
      <c r="D75" s="19">
        <v>45573</v>
      </c>
      <c r="E75" s="2">
        <v>180</v>
      </c>
      <c r="F75" s="2">
        <v>180</v>
      </c>
      <c r="G75" s="2" t="s">
        <v>7686</v>
      </c>
      <c r="H75" s="2" t="s">
        <v>615</v>
      </c>
      <c r="I75" s="2" t="s">
        <v>7588</v>
      </c>
      <c r="J75" s="2" t="s">
        <v>6717</v>
      </c>
      <c r="K75" s="2" t="s">
        <v>2722</v>
      </c>
      <c r="L75" s="2" t="s">
        <v>2713</v>
      </c>
      <c r="M75" s="2" t="s">
        <v>531</v>
      </c>
      <c r="N75" s="2" t="s">
        <v>6893</v>
      </c>
      <c r="O75" s="2" t="s">
        <v>34</v>
      </c>
      <c r="P75" s="2"/>
      <c r="Q75" s="2" t="s">
        <v>7399</v>
      </c>
      <c r="R75" s="19">
        <v>46053</v>
      </c>
      <c r="S75" s="2"/>
      <c r="T75" s="2"/>
      <c r="U75" s="20" t="s">
        <v>6373</v>
      </c>
      <c r="V75" s="20" t="s">
        <v>6152</v>
      </c>
      <c r="W75" s="19" t="s">
        <v>4174</v>
      </c>
      <c r="X75" s="2"/>
      <c r="Y75" s="2"/>
      <c r="Z75" s="2"/>
      <c r="AA75" s="2"/>
      <c r="AB75" s="2"/>
    </row>
    <row r="76" spans="1:31" x14ac:dyDescent="0.2">
      <c r="A76" s="129" t="s">
        <v>7094</v>
      </c>
      <c r="B76" s="2" t="s">
        <v>7360</v>
      </c>
      <c r="C76" s="2" t="s">
        <v>4654</v>
      </c>
      <c r="D76" s="19">
        <v>45574</v>
      </c>
      <c r="E76" s="2">
        <v>90</v>
      </c>
      <c r="F76" s="2">
        <v>90</v>
      </c>
      <c r="G76" s="2" t="s">
        <v>7687</v>
      </c>
      <c r="H76" s="2" t="s">
        <v>615</v>
      </c>
      <c r="I76" s="2" t="s">
        <v>7589</v>
      </c>
      <c r="J76" s="2" t="s">
        <v>6717</v>
      </c>
      <c r="K76" s="2" t="s">
        <v>2712</v>
      </c>
      <c r="L76" s="2" t="s">
        <v>2713</v>
      </c>
      <c r="M76" s="2" t="s">
        <v>533</v>
      </c>
      <c r="N76" s="2" t="s">
        <v>2569</v>
      </c>
      <c r="O76" s="2" t="s">
        <v>41</v>
      </c>
      <c r="P76" s="2" t="s">
        <v>403</v>
      </c>
      <c r="Q76" s="2" t="s">
        <v>7399</v>
      </c>
      <c r="R76" s="19">
        <v>45747</v>
      </c>
      <c r="S76" s="2"/>
      <c r="T76" s="2"/>
      <c r="U76" s="20" t="s">
        <v>6152</v>
      </c>
      <c r="V76" s="20" t="s">
        <v>6152</v>
      </c>
      <c r="W76" s="19" t="s">
        <v>4174</v>
      </c>
      <c r="X76" s="2"/>
      <c r="Y76" s="2"/>
      <c r="Z76" s="2"/>
      <c r="AA76" s="2"/>
      <c r="AB76" s="2"/>
    </row>
    <row r="77" spans="1:31" x14ac:dyDescent="0.2">
      <c r="A77" s="129" t="s">
        <v>7095</v>
      </c>
      <c r="B77" s="2" t="s">
        <v>7360</v>
      </c>
      <c r="C77" s="2" t="s">
        <v>7096</v>
      </c>
      <c r="D77" s="19">
        <v>45574</v>
      </c>
      <c r="E77" s="2">
        <v>47.1</v>
      </c>
      <c r="F77" s="2">
        <v>47.1</v>
      </c>
      <c r="G77" s="2" t="s">
        <v>7687</v>
      </c>
      <c r="H77" s="2" t="s">
        <v>615</v>
      </c>
      <c r="I77" s="2" t="s">
        <v>7590</v>
      </c>
      <c r="J77" s="2" t="s">
        <v>6717</v>
      </c>
      <c r="K77" s="2" t="s">
        <v>2715</v>
      </c>
      <c r="L77" s="2" t="s">
        <v>2713</v>
      </c>
      <c r="M77" s="2" t="s">
        <v>533</v>
      </c>
      <c r="N77" s="2" t="s">
        <v>4556</v>
      </c>
      <c r="O77" s="2" t="s">
        <v>403</v>
      </c>
      <c r="P77" s="2"/>
      <c r="Q77" s="2" t="s">
        <v>7399</v>
      </c>
      <c r="R77" s="19">
        <v>45747</v>
      </c>
      <c r="S77" s="2"/>
      <c r="T77" s="2"/>
      <c r="U77" s="20" t="s">
        <v>6152</v>
      </c>
      <c r="V77" s="20" t="s">
        <v>6152</v>
      </c>
      <c r="W77" s="19" t="s">
        <v>4174</v>
      </c>
      <c r="X77" s="2"/>
      <c r="Y77" s="2"/>
      <c r="Z77" s="2"/>
      <c r="AA77" s="2"/>
      <c r="AB77" s="2"/>
    </row>
    <row r="78" spans="1:31" x14ac:dyDescent="0.2">
      <c r="A78" s="129" t="s">
        <v>7097</v>
      </c>
      <c r="B78" s="2" t="s">
        <v>3210</v>
      </c>
      <c r="C78" s="2" t="s">
        <v>3656</v>
      </c>
      <c r="D78" s="19">
        <v>45575</v>
      </c>
      <c r="E78" s="2">
        <v>100</v>
      </c>
      <c r="F78" s="2">
        <v>100</v>
      </c>
      <c r="G78" s="2" t="s">
        <v>7688</v>
      </c>
      <c r="H78" s="2" t="s">
        <v>3505</v>
      </c>
      <c r="I78" s="2"/>
      <c r="J78" s="2"/>
      <c r="K78" s="2" t="s">
        <v>2736</v>
      </c>
      <c r="L78" s="2" t="s">
        <v>2713</v>
      </c>
      <c r="M78" s="2" t="s">
        <v>530</v>
      </c>
      <c r="N78" s="2" t="s">
        <v>7098</v>
      </c>
      <c r="O78" s="2" t="s">
        <v>157</v>
      </c>
      <c r="P78" s="2" t="s">
        <v>41</v>
      </c>
      <c r="Q78" s="2" t="s">
        <v>7399</v>
      </c>
      <c r="R78" s="19">
        <v>46022</v>
      </c>
      <c r="S78" s="2"/>
      <c r="T78" s="2"/>
      <c r="U78" s="20" t="s">
        <v>6185</v>
      </c>
      <c r="V78" s="20" t="s">
        <v>6373</v>
      </c>
      <c r="W78" s="19" t="s">
        <v>4174</v>
      </c>
      <c r="X78" s="2"/>
      <c r="Y78" s="2"/>
      <c r="Z78" s="2"/>
      <c r="AA78" s="2"/>
      <c r="AB78" s="2"/>
    </row>
    <row r="79" spans="1:31" x14ac:dyDescent="0.2">
      <c r="A79" s="129" t="s">
        <v>7099</v>
      </c>
      <c r="B79" s="2" t="s">
        <v>4937</v>
      </c>
      <c r="C79" s="2" t="s">
        <v>7100</v>
      </c>
      <c r="D79" s="19">
        <v>45575</v>
      </c>
      <c r="E79" s="2">
        <v>100</v>
      </c>
      <c r="F79" s="2">
        <v>100</v>
      </c>
      <c r="G79" s="2" t="s">
        <v>7686</v>
      </c>
      <c r="H79" s="2" t="s">
        <v>615</v>
      </c>
      <c r="I79" s="2" t="s">
        <v>5830</v>
      </c>
      <c r="J79" s="2" t="s">
        <v>6717</v>
      </c>
      <c r="K79" s="2" t="s">
        <v>2773</v>
      </c>
      <c r="L79" s="2" t="s">
        <v>2713</v>
      </c>
      <c r="M79" s="2" t="s">
        <v>318</v>
      </c>
      <c r="N79" s="2" t="s">
        <v>7101</v>
      </c>
      <c r="O79" s="2" t="s">
        <v>403</v>
      </c>
      <c r="P79" s="2"/>
      <c r="Q79" s="2" t="s">
        <v>7399</v>
      </c>
      <c r="R79" s="19">
        <v>45716</v>
      </c>
      <c r="S79" s="2"/>
      <c r="T79" s="2"/>
      <c r="U79" s="20" t="s">
        <v>6152</v>
      </c>
      <c r="V79" s="20" t="s">
        <v>6152</v>
      </c>
      <c r="W79" s="19" t="s">
        <v>4174</v>
      </c>
      <c r="X79" s="2"/>
      <c r="Y79" s="2"/>
      <c r="Z79" s="2"/>
      <c r="AA79" s="2"/>
      <c r="AB79" s="2"/>
    </row>
    <row r="80" spans="1:31" x14ac:dyDescent="0.2">
      <c r="A80" s="129" t="s">
        <v>7102</v>
      </c>
      <c r="B80" s="2" t="s">
        <v>4937</v>
      </c>
      <c r="C80" s="2" t="s">
        <v>7103</v>
      </c>
      <c r="D80" s="19">
        <v>45575</v>
      </c>
      <c r="E80" s="2">
        <v>150</v>
      </c>
      <c r="F80" s="2">
        <v>150</v>
      </c>
      <c r="G80" s="2" t="s">
        <v>7686</v>
      </c>
      <c r="H80" s="2" t="s">
        <v>615</v>
      </c>
      <c r="I80" s="2" t="s">
        <v>7418</v>
      </c>
      <c r="J80" s="2" t="s">
        <v>6717</v>
      </c>
      <c r="K80" s="2" t="s">
        <v>2773</v>
      </c>
      <c r="L80" s="2" t="s">
        <v>2713</v>
      </c>
      <c r="M80" s="2" t="s">
        <v>318</v>
      </c>
      <c r="N80" s="2" t="s">
        <v>7104</v>
      </c>
      <c r="O80" s="2" t="s">
        <v>403</v>
      </c>
      <c r="P80" s="2"/>
      <c r="Q80" s="2" t="s">
        <v>7399</v>
      </c>
      <c r="R80" s="19">
        <v>45716</v>
      </c>
      <c r="S80" s="2"/>
      <c r="T80" s="2"/>
      <c r="U80" s="20" t="s">
        <v>6152</v>
      </c>
      <c r="V80" s="20" t="s">
        <v>4174</v>
      </c>
      <c r="W80" s="19" t="s">
        <v>4174</v>
      </c>
      <c r="X80" s="2"/>
      <c r="Y80" s="2"/>
      <c r="Z80" s="2"/>
      <c r="AA80" s="2"/>
      <c r="AB80" s="2"/>
    </row>
    <row r="81" spans="1:28" x14ac:dyDescent="0.2">
      <c r="A81" s="129" t="s">
        <v>7108</v>
      </c>
      <c r="B81" s="2" t="s">
        <v>6892</v>
      </c>
      <c r="C81" s="2" t="s">
        <v>7109</v>
      </c>
      <c r="D81" s="19">
        <v>45575</v>
      </c>
      <c r="E81" s="2">
        <v>100</v>
      </c>
      <c r="F81" s="2">
        <v>100</v>
      </c>
      <c r="G81" s="2" t="s">
        <v>7686</v>
      </c>
      <c r="H81" s="2" t="s">
        <v>615</v>
      </c>
      <c r="I81" s="2" t="s">
        <v>5830</v>
      </c>
      <c r="J81" s="2" t="s">
        <v>6717</v>
      </c>
      <c r="K81" s="2" t="s">
        <v>2806</v>
      </c>
      <c r="L81" s="2" t="s">
        <v>2713</v>
      </c>
      <c r="M81" s="2" t="s">
        <v>539</v>
      </c>
      <c r="N81" s="2" t="s">
        <v>7110</v>
      </c>
      <c r="O81" s="2" t="s">
        <v>673</v>
      </c>
      <c r="P81" s="2"/>
      <c r="Q81" s="2" t="s">
        <v>7399</v>
      </c>
      <c r="R81" s="19">
        <v>46053</v>
      </c>
      <c r="S81" s="2"/>
      <c r="T81" s="2"/>
      <c r="U81" s="20" t="s">
        <v>6373</v>
      </c>
      <c r="V81" s="20" t="s">
        <v>6152</v>
      </c>
      <c r="W81" s="19" t="s">
        <v>4174</v>
      </c>
      <c r="X81" s="2"/>
      <c r="Y81" s="2"/>
      <c r="Z81" s="2"/>
      <c r="AA81" s="2"/>
      <c r="AB81" s="2"/>
    </row>
    <row r="82" spans="1:28" x14ac:dyDescent="0.2">
      <c r="A82" s="129" t="s">
        <v>6907</v>
      </c>
      <c r="B82" s="2" t="s">
        <v>7591</v>
      </c>
      <c r="C82" s="2" t="s">
        <v>6908</v>
      </c>
      <c r="D82" s="19">
        <v>45580</v>
      </c>
      <c r="E82" s="2">
        <v>300</v>
      </c>
      <c r="F82" s="2">
        <v>300</v>
      </c>
      <c r="G82" s="2" t="s">
        <v>7686</v>
      </c>
      <c r="H82" s="2" t="s">
        <v>615</v>
      </c>
      <c r="I82" s="2" t="s">
        <v>3496</v>
      </c>
      <c r="J82" s="2" t="s">
        <v>6717</v>
      </c>
      <c r="K82" s="2" t="s">
        <v>2098</v>
      </c>
      <c r="L82" s="2" t="s">
        <v>2713</v>
      </c>
      <c r="M82" s="2" t="s">
        <v>393</v>
      </c>
      <c r="N82" s="2" t="s">
        <v>6909</v>
      </c>
      <c r="O82" s="2" t="s">
        <v>34</v>
      </c>
      <c r="P82" s="2"/>
      <c r="Q82" s="2" t="s">
        <v>7399</v>
      </c>
      <c r="R82" s="19">
        <v>45716</v>
      </c>
      <c r="S82" s="2"/>
      <c r="T82" s="2"/>
      <c r="U82" s="20" t="s">
        <v>6106</v>
      </c>
      <c r="V82" s="20" t="s">
        <v>4248</v>
      </c>
      <c r="W82" s="19" t="s">
        <v>6145</v>
      </c>
      <c r="X82" s="2"/>
      <c r="Y82" s="2"/>
      <c r="Z82" s="2"/>
      <c r="AA82" s="2"/>
      <c r="AB82" s="2"/>
    </row>
    <row r="83" spans="1:28" x14ac:dyDescent="0.2">
      <c r="A83" s="129" t="s">
        <v>6916</v>
      </c>
      <c r="B83" s="2" t="s">
        <v>7592</v>
      </c>
      <c r="C83" s="2" t="s">
        <v>6917</v>
      </c>
      <c r="D83" s="19">
        <v>45580</v>
      </c>
      <c r="E83" s="2">
        <v>300</v>
      </c>
      <c r="F83" s="2">
        <v>300</v>
      </c>
      <c r="G83" s="2" t="s">
        <v>7686</v>
      </c>
      <c r="H83" s="2" t="s">
        <v>615</v>
      </c>
      <c r="I83" s="2" t="s">
        <v>3496</v>
      </c>
      <c r="J83" s="2" t="s">
        <v>6717</v>
      </c>
      <c r="K83" s="2" t="s">
        <v>2717</v>
      </c>
      <c r="L83" s="2" t="s">
        <v>2713</v>
      </c>
      <c r="M83" s="2" t="s">
        <v>539</v>
      </c>
      <c r="N83" s="2" t="s">
        <v>6918</v>
      </c>
      <c r="O83" s="2" t="s">
        <v>1162</v>
      </c>
      <c r="P83" s="2" t="s">
        <v>3533</v>
      </c>
      <c r="Q83" s="2" t="s">
        <v>7399</v>
      </c>
      <c r="R83" s="19">
        <v>45716</v>
      </c>
      <c r="S83" s="2"/>
      <c r="T83" s="2"/>
      <c r="U83" s="20" t="s">
        <v>6106</v>
      </c>
      <c r="V83" s="20" t="s">
        <v>4248</v>
      </c>
      <c r="W83" s="19" t="s">
        <v>6145</v>
      </c>
      <c r="X83" s="2"/>
      <c r="Y83" s="2"/>
      <c r="Z83" s="2"/>
      <c r="AA83" s="2"/>
      <c r="AB83" s="2"/>
    </row>
    <row r="84" spans="1:28" x14ac:dyDescent="0.2">
      <c r="A84" s="129" t="s">
        <v>6921</v>
      </c>
      <c r="B84" s="2" t="s">
        <v>3861</v>
      </c>
      <c r="C84" s="2" t="s">
        <v>6922</v>
      </c>
      <c r="D84" s="19">
        <v>45580</v>
      </c>
      <c r="E84" s="2">
        <v>150</v>
      </c>
      <c r="F84" s="2">
        <v>150</v>
      </c>
      <c r="G84" s="2" t="s">
        <v>7686</v>
      </c>
      <c r="H84" s="2" t="s">
        <v>55</v>
      </c>
      <c r="I84" s="2"/>
      <c r="J84" s="2"/>
      <c r="K84" s="2" t="s">
        <v>2736</v>
      </c>
      <c r="L84" s="2" t="s">
        <v>2713</v>
      </c>
      <c r="M84" s="2" t="s">
        <v>530</v>
      </c>
      <c r="N84" s="2" t="s">
        <v>7123</v>
      </c>
      <c r="O84" s="2" t="s">
        <v>157</v>
      </c>
      <c r="P84" s="2" t="s">
        <v>7364</v>
      </c>
      <c r="Q84" s="2" t="s">
        <v>7399</v>
      </c>
      <c r="R84" s="19">
        <v>46022</v>
      </c>
      <c r="S84" s="2"/>
      <c r="T84" s="2"/>
      <c r="U84" s="20" t="s">
        <v>4603</v>
      </c>
      <c r="V84" s="20" t="s">
        <v>6210</v>
      </c>
      <c r="W84" s="19" t="s">
        <v>6185</v>
      </c>
      <c r="X84" s="2"/>
      <c r="Y84" s="2"/>
      <c r="Z84" s="2"/>
      <c r="AA84" s="2"/>
      <c r="AB84" s="2"/>
    </row>
    <row r="85" spans="1:28" x14ac:dyDescent="0.2">
      <c r="A85" s="129" t="s">
        <v>6923</v>
      </c>
      <c r="B85" s="2" t="s">
        <v>3861</v>
      </c>
      <c r="C85" s="2" t="s">
        <v>6730</v>
      </c>
      <c r="D85" s="19">
        <v>45580</v>
      </c>
      <c r="E85" s="2">
        <v>240</v>
      </c>
      <c r="F85" s="2">
        <v>240</v>
      </c>
      <c r="G85" s="2" t="s">
        <v>7688</v>
      </c>
      <c r="H85" s="2" t="s">
        <v>3505</v>
      </c>
      <c r="I85" s="2" t="s">
        <v>5830</v>
      </c>
      <c r="J85" s="2" t="s">
        <v>6717</v>
      </c>
      <c r="K85" s="2" t="s">
        <v>2718</v>
      </c>
      <c r="L85" s="2" t="s">
        <v>2713</v>
      </c>
      <c r="M85" s="2" t="s">
        <v>530</v>
      </c>
      <c r="N85" s="2" t="s">
        <v>6430</v>
      </c>
      <c r="O85" s="2" t="s">
        <v>41</v>
      </c>
      <c r="P85" s="2" t="s">
        <v>6934</v>
      </c>
      <c r="Q85" s="2" t="s">
        <v>7399</v>
      </c>
      <c r="R85" s="19">
        <v>46022</v>
      </c>
      <c r="S85" s="2"/>
      <c r="T85" s="2"/>
      <c r="U85" s="20" t="s">
        <v>6145</v>
      </c>
      <c r="V85" s="20" t="s">
        <v>5701</v>
      </c>
      <c r="W85" s="19" t="s">
        <v>4820</v>
      </c>
      <c r="X85" s="2"/>
      <c r="Y85" s="2"/>
      <c r="Z85" s="2"/>
      <c r="AA85" s="2"/>
      <c r="AB85" s="2"/>
    </row>
    <row r="86" spans="1:28" x14ac:dyDescent="0.2">
      <c r="A86" s="129" t="s">
        <v>6707</v>
      </c>
      <c r="B86" s="2" t="s">
        <v>3861</v>
      </c>
      <c r="C86" s="2" t="s">
        <v>5005</v>
      </c>
      <c r="D86" s="19">
        <v>45580</v>
      </c>
      <c r="E86" s="2">
        <v>230</v>
      </c>
      <c r="F86" s="2">
        <v>230</v>
      </c>
      <c r="G86" s="2" t="s">
        <v>7686</v>
      </c>
      <c r="H86" s="2" t="s">
        <v>615</v>
      </c>
      <c r="I86" s="2" t="s">
        <v>7594</v>
      </c>
      <c r="J86" s="2" t="s">
        <v>6717</v>
      </c>
      <c r="K86" s="2" t="s">
        <v>2722</v>
      </c>
      <c r="L86" s="2" t="s">
        <v>2713</v>
      </c>
      <c r="M86" s="2" t="s">
        <v>531</v>
      </c>
      <c r="N86" s="2" t="s">
        <v>5026</v>
      </c>
      <c r="O86" s="2" t="s">
        <v>34</v>
      </c>
      <c r="P86" s="2"/>
      <c r="Q86" s="2" t="s">
        <v>7399</v>
      </c>
      <c r="R86" s="19">
        <v>46053</v>
      </c>
      <c r="S86" s="2"/>
      <c r="T86" s="2"/>
      <c r="U86" s="20" t="s">
        <v>6373</v>
      </c>
      <c r="V86" s="20" t="s">
        <v>6152</v>
      </c>
      <c r="W86" s="19" t="s">
        <v>6104</v>
      </c>
      <c r="X86" s="2"/>
      <c r="Y86" s="2"/>
      <c r="Z86" s="2"/>
      <c r="AA86" s="2"/>
      <c r="AB86" s="2"/>
    </row>
    <row r="87" spans="1:28" x14ac:dyDescent="0.2">
      <c r="A87" s="129" t="s">
        <v>6924</v>
      </c>
      <c r="B87" s="2" t="s">
        <v>6761</v>
      </c>
      <c r="C87" s="2" t="s">
        <v>6762</v>
      </c>
      <c r="D87" s="19">
        <v>45580</v>
      </c>
      <c r="E87" s="2">
        <v>50</v>
      </c>
      <c r="F87" s="2">
        <v>50</v>
      </c>
      <c r="G87" s="2" t="s">
        <v>7686</v>
      </c>
      <c r="H87" s="2" t="s">
        <v>124</v>
      </c>
      <c r="I87" s="2"/>
      <c r="J87" s="2"/>
      <c r="K87" s="2" t="s">
        <v>2799</v>
      </c>
      <c r="L87" s="2" t="s">
        <v>2713</v>
      </c>
      <c r="M87" s="2" t="s">
        <v>393</v>
      </c>
      <c r="N87" s="2" t="s">
        <v>6945</v>
      </c>
      <c r="O87" s="2" t="s">
        <v>34</v>
      </c>
      <c r="P87" s="2"/>
      <c r="Q87" s="2" t="s">
        <v>7399</v>
      </c>
      <c r="R87" s="19">
        <v>45716</v>
      </c>
      <c r="S87" s="2"/>
      <c r="T87" s="2"/>
      <c r="U87" s="20" t="s">
        <v>6138</v>
      </c>
      <c r="V87" s="20" t="s">
        <v>6106</v>
      </c>
      <c r="W87" s="19" t="s">
        <v>6145</v>
      </c>
      <c r="X87" s="2"/>
      <c r="Y87" s="2"/>
      <c r="Z87" s="2"/>
      <c r="AA87" s="2"/>
      <c r="AB87" s="2"/>
    </row>
    <row r="88" spans="1:28" x14ac:dyDescent="0.2">
      <c r="A88" s="129" t="s">
        <v>6927</v>
      </c>
      <c r="B88" s="2" t="s">
        <v>6761</v>
      </c>
      <c r="C88" s="2" t="s">
        <v>6765</v>
      </c>
      <c r="D88" s="19">
        <v>45580</v>
      </c>
      <c r="E88" s="2">
        <v>50</v>
      </c>
      <c r="F88" s="2">
        <v>50</v>
      </c>
      <c r="G88" s="2" t="s">
        <v>7687</v>
      </c>
      <c r="H88" s="2" t="s">
        <v>124</v>
      </c>
      <c r="I88" s="2"/>
      <c r="J88" s="2"/>
      <c r="K88" s="2" t="s">
        <v>2799</v>
      </c>
      <c r="L88" s="2" t="s">
        <v>2713</v>
      </c>
      <c r="M88" s="2" t="s">
        <v>393</v>
      </c>
      <c r="N88" s="2" t="s">
        <v>6945</v>
      </c>
      <c r="O88" s="2" t="s">
        <v>34</v>
      </c>
      <c r="P88" s="2"/>
      <c r="Q88" s="2" t="s">
        <v>7399</v>
      </c>
      <c r="R88" s="19">
        <v>45716</v>
      </c>
      <c r="S88" s="2"/>
      <c r="T88" s="2"/>
      <c r="U88" s="20" t="s">
        <v>6138</v>
      </c>
      <c r="V88" s="20" t="s">
        <v>6106</v>
      </c>
      <c r="W88" s="19" t="s">
        <v>6145</v>
      </c>
      <c r="X88" s="2"/>
      <c r="Y88" s="2"/>
      <c r="Z88" s="2"/>
      <c r="AA88" s="2"/>
      <c r="AB88" s="2"/>
    </row>
    <row r="89" spans="1:28" x14ac:dyDescent="0.2">
      <c r="A89" s="129" t="s">
        <v>6711</v>
      </c>
      <c r="B89" s="2" t="s">
        <v>6712</v>
      </c>
      <c r="C89" s="2" t="s">
        <v>6713</v>
      </c>
      <c r="D89" s="19">
        <v>45562</v>
      </c>
      <c r="E89" s="2"/>
      <c r="F89" s="2"/>
      <c r="G89" s="2" t="s">
        <v>7689</v>
      </c>
      <c r="H89" s="2" t="s">
        <v>6715</v>
      </c>
      <c r="I89" s="2"/>
      <c r="J89" s="2"/>
      <c r="K89" s="2" t="s">
        <v>2716</v>
      </c>
      <c r="L89" s="2" t="s">
        <v>2713</v>
      </c>
      <c r="M89" s="2" t="s">
        <v>532</v>
      </c>
      <c r="N89" s="2" t="s">
        <v>6714</v>
      </c>
      <c r="O89" s="2" t="s">
        <v>87</v>
      </c>
      <c r="P89" s="2"/>
      <c r="Q89" s="2" t="s">
        <v>7399</v>
      </c>
      <c r="R89" s="19">
        <v>45716</v>
      </c>
      <c r="S89" s="2"/>
      <c r="T89" s="2"/>
      <c r="U89" s="20"/>
      <c r="V89" s="20"/>
      <c r="W89" s="19" t="s">
        <v>1041</v>
      </c>
      <c r="X89" s="2"/>
      <c r="Y89" s="2"/>
      <c r="Z89" s="2"/>
      <c r="AA89" s="2"/>
      <c r="AB89" s="2"/>
    </row>
    <row r="90" spans="1:28" x14ac:dyDescent="0.2">
      <c r="A90" s="129" t="s">
        <v>7198</v>
      </c>
      <c r="B90" s="2" t="s">
        <v>7607</v>
      </c>
      <c r="C90" s="2" t="s">
        <v>2702</v>
      </c>
      <c r="D90" s="19">
        <v>45569</v>
      </c>
      <c r="E90" s="2"/>
      <c r="F90" s="2"/>
      <c r="G90" s="2" t="s">
        <v>7689</v>
      </c>
      <c r="H90" s="2" t="s">
        <v>340</v>
      </c>
      <c r="I90" s="2"/>
      <c r="J90" s="2"/>
      <c r="K90" s="2" t="s">
        <v>2759</v>
      </c>
      <c r="L90" s="2" t="s">
        <v>2713</v>
      </c>
      <c r="M90" s="2" t="s">
        <v>471</v>
      </c>
      <c r="N90" s="2" t="s">
        <v>7199</v>
      </c>
      <c r="O90" s="2" t="s">
        <v>157</v>
      </c>
      <c r="P90" s="2"/>
      <c r="Q90" s="2" t="s">
        <v>7399</v>
      </c>
      <c r="R90" s="19">
        <v>45838</v>
      </c>
      <c r="S90" s="2"/>
      <c r="T90" s="2"/>
      <c r="U90" s="20" t="s">
        <v>4104</v>
      </c>
      <c r="V90" s="20" t="s">
        <v>4104</v>
      </c>
      <c r="W90" s="19" t="s">
        <v>4104</v>
      </c>
      <c r="X90" s="2"/>
      <c r="Y90" s="2"/>
      <c r="Z90" s="2"/>
      <c r="AA90" s="2"/>
      <c r="AB90" s="2"/>
    </row>
    <row r="91" spans="1:28" x14ac:dyDescent="0.2">
      <c r="A91" s="129" t="s">
        <v>6928</v>
      </c>
      <c r="B91" s="2" t="s">
        <v>6929</v>
      </c>
      <c r="C91" s="2" t="s">
        <v>6930</v>
      </c>
      <c r="D91" s="19">
        <v>45569</v>
      </c>
      <c r="E91" s="2"/>
      <c r="F91" s="2"/>
      <c r="G91" s="2" t="s">
        <v>7689</v>
      </c>
      <c r="H91" s="2" t="s">
        <v>340</v>
      </c>
      <c r="I91" s="2"/>
      <c r="J91" s="2"/>
      <c r="K91" s="2" t="s">
        <v>2714</v>
      </c>
      <c r="L91" s="2" t="s">
        <v>2713</v>
      </c>
      <c r="M91" s="2" t="s">
        <v>533</v>
      </c>
      <c r="N91" s="2" t="s">
        <v>6931</v>
      </c>
      <c r="O91" s="2" t="s">
        <v>403</v>
      </c>
      <c r="P91" s="2"/>
      <c r="Q91" s="2" t="s">
        <v>7399</v>
      </c>
      <c r="R91" s="19">
        <v>45838</v>
      </c>
      <c r="S91" s="2"/>
      <c r="T91" s="2"/>
      <c r="U91" s="20"/>
      <c r="V91" s="20"/>
      <c r="W91" s="19" t="s">
        <v>1041</v>
      </c>
      <c r="X91" s="2"/>
      <c r="Y91" s="2"/>
      <c r="Z91" s="2"/>
      <c r="AA91" s="2"/>
      <c r="AB91" s="2"/>
    </row>
    <row r="92" spans="1:28" x14ac:dyDescent="0.2">
      <c r="A92" s="129"/>
      <c r="B92" s="2"/>
      <c r="C92" s="2"/>
      <c r="D92" s="19"/>
      <c r="E92" s="2"/>
      <c r="F92" s="2"/>
      <c r="G92" s="2"/>
      <c r="H92" s="2"/>
      <c r="I92" s="85"/>
      <c r="J92" s="85"/>
      <c r="K92" s="85"/>
      <c r="L92" s="85"/>
      <c r="M92" s="85"/>
      <c r="N92" s="85"/>
      <c r="O92" s="2"/>
      <c r="P92" s="2"/>
      <c r="Q92" s="2"/>
      <c r="R92" s="19"/>
      <c r="S92" s="2"/>
      <c r="T92" s="2"/>
      <c r="U92" s="20"/>
      <c r="V92" s="20"/>
      <c r="W92" s="19"/>
      <c r="X92" s="2"/>
      <c r="Y92" s="2"/>
      <c r="Z92" s="85"/>
      <c r="AA92" s="85"/>
      <c r="AB92" s="85"/>
    </row>
    <row r="93" spans="1:28" x14ac:dyDescent="0.2">
      <c r="A93" s="132" t="s">
        <v>2815</v>
      </c>
      <c r="B93" s="133" t="s">
        <v>4323</v>
      </c>
      <c r="C93" s="133"/>
      <c r="D93" s="133"/>
      <c r="E93" s="133"/>
      <c r="F93" s="133"/>
      <c r="G93" s="133"/>
      <c r="H93" s="133"/>
      <c r="O93" s="133"/>
      <c r="P93" s="133"/>
      <c r="Q93" s="133"/>
      <c r="R93" s="133"/>
      <c r="S93" s="133"/>
      <c r="T93" s="133"/>
      <c r="U93" s="134"/>
      <c r="V93" s="133"/>
      <c r="W93" s="133"/>
      <c r="X93" s="135"/>
      <c r="Y93" s="135"/>
      <c r="Z93" s="4"/>
    </row>
    <row r="94" spans="1:28" s="4" customFormat="1" ht="12" customHeight="1" x14ac:dyDescent="0.2">
      <c r="A94" s="126"/>
      <c r="B94" s="28" t="s">
        <v>7654</v>
      </c>
      <c r="C94" s="7"/>
      <c r="D94" s="7"/>
      <c r="E94" s="7"/>
      <c r="F94" s="7"/>
      <c r="G94" s="7"/>
      <c r="H94" s="7"/>
      <c r="I94" s="7"/>
      <c r="J94" s="7"/>
      <c r="K94" s="7"/>
      <c r="L94" s="7"/>
      <c r="M94" s="7"/>
      <c r="N94" s="7"/>
      <c r="O94" s="7"/>
      <c r="P94" s="7"/>
      <c r="Q94" s="7"/>
      <c r="R94" s="7"/>
    </row>
    <row r="95" spans="1:28" s="4" customFormat="1" ht="12" customHeight="1" x14ac:dyDescent="0.2">
      <c r="A95" s="126"/>
      <c r="B95" s="28" t="s">
        <v>7430</v>
      </c>
      <c r="C95" s="7"/>
      <c r="D95" s="7"/>
      <c r="E95" s="7"/>
      <c r="F95" s="7"/>
      <c r="G95" s="7"/>
      <c r="H95" s="7"/>
      <c r="I95" s="7"/>
      <c r="J95" s="7"/>
      <c r="K95" s="7"/>
      <c r="L95" s="7"/>
      <c r="M95" s="7"/>
      <c r="N95" s="7"/>
      <c r="O95" s="7"/>
      <c r="P95" s="7"/>
      <c r="Q95" s="7"/>
      <c r="R95" s="7"/>
    </row>
    <row r="96" spans="1:28" s="4" customFormat="1" ht="12" customHeight="1" x14ac:dyDescent="0.2">
      <c r="A96" s="125"/>
      <c r="B96" s="8" t="s">
        <v>4324</v>
      </c>
      <c r="C96" s="8"/>
      <c r="D96" s="8"/>
      <c r="E96" s="8"/>
      <c r="F96" s="8"/>
      <c r="G96" s="8"/>
      <c r="H96" s="8"/>
      <c r="O96" s="8"/>
      <c r="P96" s="8"/>
      <c r="Q96" s="8"/>
      <c r="R96" s="8"/>
      <c r="S96" s="8"/>
      <c r="T96" s="8"/>
      <c r="U96" s="8"/>
      <c r="V96" s="8"/>
      <c r="W96" s="8"/>
    </row>
    <row r="97" spans="1:23" s="4" customFormat="1" ht="12" customHeight="1" x14ac:dyDescent="0.2">
      <c r="A97" s="127"/>
      <c r="B97" s="6" t="s">
        <v>7750</v>
      </c>
      <c r="C97" s="9"/>
      <c r="D97" s="9"/>
      <c r="E97" s="9"/>
      <c r="F97" s="9"/>
      <c r="G97" s="9"/>
      <c r="H97" s="9"/>
      <c r="O97" s="9"/>
      <c r="P97" s="9"/>
      <c r="Q97" s="9"/>
      <c r="R97" s="9"/>
      <c r="S97" s="9"/>
      <c r="T97" s="9"/>
      <c r="U97" s="9"/>
      <c r="V97" s="9"/>
      <c r="W97" s="9"/>
    </row>
    <row r="98" spans="1:23" s="4" customFormat="1" ht="12" customHeight="1" x14ac:dyDescent="0.2">
      <c r="A98" s="127"/>
      <c r="B98" s="6" t="s">
        <v>6081</v>
      </c>
      <c r="C98" s="9"/>
      <c r="D98" s="9"/>
      <c r="E98" s="9"/>
      <c r="F98" s="9"/>
      <c r="G98" s="9"/>
      <c r="H98" s="9"/>
      <c r="O98" s="9"/>
      <c r="P98" s="9"/>
      <c r="Q98" s="9"/>
      <c r="R98" s="9"/>
      <c r="S98" s="9"/>
      <c r="T98" s="9"/>
      <c r="U98" s="9"/>
      <c r="V98" s="9"/>
      <c r="W98" s="9"/>
    </row>
  </sheetData>
  <autoFilter ref="A1:W91" xr:uid="{7F475543-FBC5-4F64-89BB-88D95FD44350}"/>
  <sortState xmlns:xlrd2="http://schemas.microsoft.com/office/spreadsheetml/2017/richdata2" ref="A2:Z100">
    <sortCondition ref="A2:A100"/>
  </sortState>
  <conditionalFormatting sqref="A1">
    <cfRule type="duplicateValues" dxfId="90" priority="97"/>
    <cfRule type="duplicateValues" dxfId="89" priority="98"/>
  </conditionalFormatting>
  <conditionalFormatting sqref="A2:A92">
    <cfRule type="duplicateValues" dxfId="88" priority="1120"/>
    <cfRule type="duplicateValues" dxfId="87" priority="1121"/>
    <cfRule type="duplicateValues" dxfId="86" priority="1122"/>
    <cfRule type="duplicateValues" dxfId="85" priority="1123"/>
  </conditionalFormatting>
  <conditionalFormatting sqref="A93">
    <cfRule type="duplicateValues" dxfId="84" priority="71"/>
    <cfRule type="duplicateValues" dxfId="83" priority="72"/>
    <cfRule type="duplicateValues" dxfId="82" priority="73"/>
    <cfRule type="duplicateValues" dxfId="81" priority="74"/>
  </conditionalFormatting>
  <conditionalFormatting sqref="A94">
    <cfRule type="duplicateValues" dxfId="80" priority="3"/>
    <cfRule type="duplicateValues" dxfId="79" priority="4"/>
  </conditionalFormatting>
  <conditionalFormatting sqref="A95">
    <cfRule type="duplicateValues" dxfId="78" priority="1"/>
    <cfRule type="duplicateValues" dxfId="77" priority="2"/>
  </conditionalFormatting>
  <conditionalFormatting sqref="A96:A98">
    <cfRule type="duplicateValues" dxfId="76" priority="69"/>
    <cfRule type="duplicateValues" dxfId="75" priority="70"/>
  </conditionalFormatting>
  <pageMargins left="0.7" right="0.7" top="0.75" bottom="0.75" header="0.3" footer="0.3"/>
  <pageSetup orientation="portrait" r:id="rId1"/>
  <headerFooter>
    <oddFooter>&amp;RUpdated: 07/31/2026</oddFooter>
  </headerFooter>
  <ignoredErrors>
    <ignoredError sqref="M93 I3:J7 I8:J8 I9:J10 I11:J11 I12:J14 I15:J18 I19:J21 I22:J25 I26:J27 I28:J29 I30:J30 I31:J31 I32:J32 I33:J33 I34:J40 I41:J41 I42:J43 I44:J45 I46:J49 I50:J51 I52:J53 I54:J54 I55:J56 I57:J57 I58:J59 I62:J62 I63:J63 I64:J64 I66:J66 I67:J67 I68:J69 I70:J70 I71:J72 I73:J73 I74:J74 I75:J75 I76:J76 I77:J77 I78:J81 I82:J83 I84:J87 I88:J91 Q2:Q59 Q66:Q91 I65:J65 Q64 I60:J61 Q60:Q6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6E74-68D8-4164-82BF-A8431C159F7E}">
  <dimension ref="A1:AE93"/>
  <sheetViews>
    <sheetView workbookViewId="0">
      <selection activeCell="M35" sqref="M35"/>
    </sheetView>
  </sheetViews>
  <sheetFormatPr defaultRowHeight="15" x14ac:dyDescent="0.2"/>
  <cols>
    <col min="2" max="2" width="42.33203125" bestFit="1" customWidth="1"/>
    <col min="3" max="3" width="45.21875" bestFit="1" customWidth="1"/>
    <col min="6" max="6" width="14.21875" bestFit="1" customWidth="1"/>
    <col min="8" max="8" width="12.109375" bestFit="1" customWidth="1"/>
    <col min="11" max="11" width="8.77734375" customWidth="1"/>
    <col min="12" max="12" width="41.33203125" customWidth="1"/>
    <col min="13" max="13" width="26" bestFit="1" customWidth="1"/>
    <col min="16" max="16" width="11.5546875" customWidth="1"/>
    <col min="21" max="21" width="16" bestFit="1" customWidth="1"/>
  </cols>
  <sheetData>
    <row r="1" spans="1:29" s="18" customFormat="1" ht="51.75" thickBot="1" x14ac:dyDescent="0.25">
      <c r="A1" s="121" t="s">
        <v>7665</v>
      </c>
      <c r="B1" s="1" t="s">
        <v>7666</v>
      </c>
      <c r="C1" s="1" t="s">
        <v>7667</v>
      </c>
      <c r="D1" s="1" t="s">
        <v>7668</v>
      </c>
      <c r="E1" s="1" t="s">
        <v>7669</v>
      </c>
      <c r="F1" s="1" t="s">
        <v>7738</v>
      </c>
      <c r="G1" s="1" t="s">
        <v>7670</v>
      </c>
      <c r="H1" s="1" t="s">
        <v>7671</v>
      </c>
      <c r="I1" s="1" t="s">
        <v>2710</v>
      </c>
      <c r="J1" s="1" t="s">
        <v>2711</v>
      </c>
      <c r="K1" s="1" t="s">
        <v>7655</v>
      </c>
      <c r="L1" s="1" t="s">
        <v>4062</v>
      </c>
      <c r="M1" s="1" t="s">
        <v>7672</v>
      </c>
      <c r="N1" s="1" t="s">
        <v>6082</v>
      </c>
      <c r="O1" s="1" t="s">
        <v>7673</v>
      </c>
      <c r="P1" s="1" t="s">
        <v>7739</v>
      </c>
      <c r="Q1" s="1" t="s">
        <v>4064</v>
      </c>
      <c r="R1" s="1" t="s">
        <v>2834</v>
      </c>
      <c r="S1" s="130" t="s">
        <v>5846</v>
      </c>
      <c r="T1" s="1" t="s">
        <v>7674</v>
      </c>
      <c r="U1" s="17" t="s">
        <v>7675</v>
      </c>
    </row>
    <row r="2" spans="1:29" x14ac:dyDescent="0.2">
      <c r="A2" s="172">
        <v>205</v>
      </c>
      <c r="B2" s="175" t="s">
        <v>194</v>
      </c>
      <c r="C2" s="175" t="s">
        <v>2632</v>
      </c>
      <c r="D2" s="179">
        <v>38658</v>
      </c>
      <c r="E2" s="175">
        <v>40</v>
      </c>
      <c r="F2" s="175"/>
      <c r="G2" s="2" t="s">
        <v>7676</v>
      </c>
      <c r="H2" s="175" t="s">
        <v>582</v>
      </c>
      <c r="I2" s="175" t="s">
        <v>2723</v>
      </c>
      <c r="J2" s="177" t="s">
        <v>2713</v>
      </c>
      <c r="K2" s="175" t="s">
        <v>471</v>
      </c>
      <c r="L2" s="175" t="s">
        <v>2633</v>
      </c>
      <c r="M2" s="175" t="s">
        <v>157</v>
      </c>
      <c r="N2" s="175"/>
      <c r="O2" s="175">
        <v>14</v>
      </c>
      <c r="P2" s="175"/>
      <c r="Q2" s="188">
        <v>41364</v>
      </c>
      <c r="R2" s="175" t="s">
        <v>433</v>
      </c>
      <c r="S2" s="190"/>
      <c r="T2" s="177"/>
      <c r="U2" s="186" t="s">
        <v>1041</v>
      </c>
      <c r="V2" s="193"/>
      <c r="W2" s="193"/>
      <c r="X2" s="177"/>
      <c r="Y2" s="177"/>
      <c r="Z2" s="177"/>
      <c r="AA2" s="177"/>
      <c r="AB2" s="177"/>
      <c r="AC2" s="177"/>
    </row>
    <row r="3" spans="1:29" x14ac:dyDescent="0.2">
      <c r="A3" s="174">
        <v>849</v>
      </c>
      <c r="B3" s="177" t="s">
        <v>1654</v>
      </c>
      <c r="C3" s="177" t="s">
        <v>1655</v>
      </c>
      <c r="D3" s="181">
        <v>43606</v>
      </c>
      <c r="E3" s="177">
        <v>250</v>
      </c>
      <c r="F3" s="177"/>
      <c r="G3" s="2" t="s">
        <v>7676</v>
      </c>
      <c r="H3" s="177" t="s">
        <v>582</v>
      </c>
      <c r="I3" s="177" t="s">
        <v>2722</v>
      </c>
      <c r="J3" s="177" t="s">
        <v>2713</v>
      </c>
      <c r="K3" s="177" t="s">
        <v>531</v>
      </c>
      <c r="L3" s="177" t="s">
        <v>1687</v>
      </c>
      <c r="M3" s="185" t="s">
        <v>34</v>
      </c>
      <c r="N3" s="185"/>
      <c r="O3" s="177">
        <v>14</v>
      </c>
      <c r="P3" s="177"/>
      <c r="Q3" s="186">
        <v>44773</v>
      </c>
      <c r="R3" s="177" t="s">
        <v>1385</v>
      </c>
      <c r="S3" s="190"/>
      <c r="T3" s="190"/>
      <c r="U3" s="188" t="s">
        <v>1041</v>
      </c>
      <c r="V3" s="195"/>
      <c r="W3" s="195"/>
      <c r="X3" s="175"/>
      <c r="Y3" s="175"/>
      <c r="Z3" s="175"/>
      <c r="AA3" s="175"/>
      <c r="AB3" s="175"/>
      <c r="AC3" s="175"/>
    </row>
    <row r="4" spans="1:29" x14ac:dyDescent="0.2">
      <c r="A4" s="173">
        <v>1446</v>
      </c>
      <c r="B4" s="176" t="s">
        <v>4274</v>
      </c>
      <c r="C4" s="176" t="s">
        <v>4275</v>
      </c>
      <c r="D4" s="180">
        <v>44839</v>
      </c>
      <c r="E4" s="176">
        <v>110</v>
      </c>
      <c r="F4" s="183"/>
      <c r="G4" s="2" t="s">
        <v>7676</v>
      </c>
      <c r="H4" s="2" t="s">
        <v>582</v>
      </c>
      <c r="I4" s="2" t="s">
        <v>4276</v>
      </c>
      <c r="J4" s="2" t="s">
        <v>2713</v>
      </c>
      <c r="K4" s="2" t="s">
        <v>530</v>
      </c>
      <c r="L4" s="2" t="s">
        <v>5054</v>
      </c>
      <c r="M4" s="19" t="s">
        <v>41</v>
      </c>
      <c r="N4" s="187"/>
      <c r="O4" s="2">
        <v>0</v>
      </c>
      <c r="P4" s="2"/>
      <c r="Q4" s="19">
        <v>45747</v>
      </c>
      <c r="R4" s="189"/>
      <c r="S4" s="191"/>
      <c r="T4" s="189"/>
      <c r="U4" s="189"/>
      <c r="V4" s="194"/>
      <c r="W4" s="194"/>
      <c r="X4" s="189"/>
      <c r="Y4" s="189"/>
      <c r="Z4" s="189"/>
      <c r="AA4" s="189"/>
      <c r="AB4" s="189"/>
      <c r="AC4" s="189"/>
    </row>
    <row r="5" spans="1:29" x14ac:dyDescent="0.2">
      <c r="A5" s="174">
        <v>1465</v>
      </c>
      <c r="B5" s="177" t="s">
        <v>4304</v>
      </c>
      <c r="C5" s="177" t="s">
        <v>4305</v>
      </c>
      <c r="D5" s="181">
        <v>44879</v>
      </c>
      <c r="E5" s="177">
        <v>50.2</v>
      </c>
      <c r="F5" s="177"/>
      <c r="G5" s="2" t="s">
        <v>7676</v>
      </c>
      <c r="H5" s="177" t="s">
        <v>582</v>
      </c>
      <c r="I5" s="177" t="s">
        <v>2722</v>
      </c>
      <c r="J5" s="177" t="s">
        <v>2713</v>
      </c>
      <c r="K5" s="185" t="s">
        <v>531</v>
      </c>
      <c r="L5" s="177" t="s">
        <v>4306</v>
      </c>
      <c r="M5" s="186" t="s">
        <v>157</v>
      </c>
      <c r="N5" s="186"/>
      <c r="O5" s="177">
        <v>14</v>
      </c>
      <c r="P5" s="177"/>
      <c r="Q5" s="186">
        <v>14</v>
      </c>
      <c r="R5" s="177" t="s">
        <v>54</v>
      </c>
      <c r="S5" s="190"/>
      <c r="T5" s="190"/>
      <c r="U5" s="171" t="s">
        <v>1041</v>
      </c>
      <c r="V5" s="195"/>
      <c r="W5" s="195"/>
      <c r="X5" s="175"/>
      <c r="Y5" s="175"/>
      <c r="Z5" s="175"/>
      <c r="AA5" s="175"/>
      <c r="AB5" s="175"/>
      <c r="AC5" s="175"/>
    </row>
    <row r="6" spans="1:29" x14ac:dyDescent="0.2">
      <c r="A6" s="172" t="s">
        <v>4461</v>
      </c>
      <c r="B6" s="175" t="s">
        <v>2650</v>
      </c>
      <c r="C6" s="175" t="s">
        <v>2651</v>
      </c>
      <c r="D6" s="179">
        <v>39545</v>
      </c>
      <c r="E6" s="175">
        <v>20</v>
      </c>
      <c r="F6" s="175"/>
      <c r="G6" s="2" t="s">
        <v>7676</v>
      </c>
      <c r="H6" s="175" t="s">
        <v>582</v>
      </c>
      <c r="I6" s="175" t="s">
        <v>2759</v>
      </c>
      <c r="J6" s="177" t="s">
        <v>2713</v>
      </c>
      <c r="K6" s="175" t="s">
        <v>471</v>
      </c>
      <c r="L6" s="175" t="s">
        <v>2652</v>
      </c>
      <c r="M6" s="175" t="s">
        <v>157</v>
      </c>
      <c r="N6" s="175"/>
      <c r="O6" s="175">
        <v>14</v>
      </c>
      <c r="P6" s="175"/>
      <c r="Q6" s="188">
        <v>40877</v>
      </c>
      <c r="R6" s="175" t="s">
        <v>433</v>
      </c>
      <c r="S6" s="177"/>
      <c r="T6" s="177"/>
      <c r="U6" s="188" t="s">
        <v>1041</v>
      </c>
      <c r="V6" s="195"/>
      <c r="W6" s="195"/>
      <c r="X6" s="175"/>
      <c r="Y6" s="175"/>
      <c r="Z6" s="175"/>
      <c r="AA6" s="175"/>
      <c r="AB6" s="175"/>
      <c r="AC6" s="175"/>
    </row>
    <row r="7" spans="1:29" x14ac:dyDescent="0.2">
      <c r="A7" s="173" t="s">
        <v>2084</v>
      </c>
      <c r="B7" s="178" t="s">
        <v>4933</v>
      </c>
      <c r="C7" s="178" t="s">
        <v>578</v>
      </c>
      <c r="D7" s="180">
        <v>39715</v>
      </c>
      <c r="E7" s="178">
        <v>48</v>
      </c>
      <c r="F7" s="177"/>
      <c r="G7" s="2" t="s">
        <v>7676</v>
      </c>
      <c r="H7" s="177" t="s">
        <v>582</v>
      </c>
      <c r="I7" s="177" t="s">
        <v>2718</v>
      </c>
      <c r="J7" s="177" t="s">
        <v>2713</v>
      </c>
      <c r="K7" s="177" t="s">
        <v>530</v>
      </c>
      <c r="L7" s="177" t="s">
        <v>580</v>
      </c>
      <c r="M7" s="177" t="s">
        <v>34</v>
      </c>
      <c r="N7" s="177"/>
      <c r="O7" s="177">
        <v>0</v>
      </c>
      <c r="P7" s="177"/>
      <c r="Q7" s="19">
        <v>41394</v>
      </c>
      <c r="R7" s="2"/>
      <c r="S7" s="2"/>
      <c r="T7" s="19"/>
      <c r="U7" s="192"/>
      <c r="V7" s="196"/>
      <c r="W7" s="196"/>
      <c r="X7" s="192"/>
      <c r="Y7" s="192"/>
      <c r="Z7" s="192"/>
      <c r="AA7" s="192"/>
      <c r="AB7" s="192"/>
      <c r="AC7" s="192"/>
    </row>
    <row r="8" spans="1:29" x14ac:dyDescent="0.2">
      <c r="A8" s="173" t="s">
        <v>2122</v>
      </c>
      <c r="B8" s="178" t="s">
        <v>194</v>
      </c>
      <c r="C8" s="178" t="s">
        <v>2123</v>
      </c>
      <c r="D8" s="180">
        <v>40532</v>
      </c>
      <c r="E8" s="178">
        <v>75</v>
      </c>
      <c r="F8" s="177"/>
      <c r="G8" s="2" t="s">
        <v>7676</v>
      </c>
      <c r="H8" s="177" t="s">
        <v>582</v>
      </c>
      <c r="I8" s="177" t="s">
        <v>2722</v>
      </c>
      <c r="J8" s="177" t="s">
        <v>2713</v>
      </c>
      <c r="K8" s="177" t="s">
        <v>531</v>
      </c>
      <c r="L8" s="177" t="s">
        <v>695</v>
      </c>
      <c r="M8" s="177" t="s">
        <v>34</v>
      </c>
      <c r="N8" s="177"/>
      <c r="O8" s="177">
        <v>0</v>
      </c>
      <c r="P8" s="177"/>
      <c r="Q8" s="19">
        <v>40602</v>
      </c>
      <c r="R8" s="2"/>
      <c r="S8" s="2"/>
      <c r="T8" s="19"/>
      <c r="U8" s="192"/>
      <c r="V8" s="196"/>
      <c r="W8" s="196"/>
      <c r="X8" s="192"/>
      <c r="Y8" s="192"/>
      <c r="Z8" s="192"/>
      <c r="AA8" s="192"/>
      <c r="AB8" s="192"/>
      <c r="AC8" s="192"/>
    </row>
    <row r="9" spans="1:29" x14ac:dyDescent="0.2">
      <c r="A9" s="173" t="s">
        <v>2170</v>
      </c>
      <c r="B9" s="178" t="s">
        <v>838</v>
      </c>
      <c r="C9" s="178" t="s">
        <v>840</v>
      </c>
      <c r="D9" s="180">
        <v>41595</v>
      </c>
      <c r="E9" s="178">
        <v>25</v>
      </c>
      <c r="F9" s="177"/>
      <c r="G9" s="2" t="s">
        <v>7676</v>
      </c>
      <c r="H9" s="177" t="s">
        <v>582</v>
      </c>
      <c r="I9" s="177" t="s">
        <v>2758</v>
      </c>
      <c r="J9" s="177" t="s">
        <v>2713</v>
      </c>
      <c r="K9" s="177" t="s">
        <v>540</v>
      </c>
      <c r="L9" s="177" t="s">
        <v>842</v>
      </c>
      <c r="M9" s="177" t="s">
        <v>34</v>
      </c>
      <c r="N9" s="177"/>
      <c r="O9" s="177">
        <v>0</v>
      </c>
      <c r="P9" s="177"/>
      <c r="Q9" s="19">
        <v>41851</v>
      </c>
      <c r="R9" s="2"/>
      <c r="S9" s="2"/>
      <c r="T9" s="19"/>
      <c r="U9" s="192"/>
      <c r="V9" s="196"/>
      <c r="W9" s="196"/>
      <c r="X9" s="192"/>
      <c r="Y9" s="192"/>
      <c r="Z9" s="192"/>
      <c r="AA9" s="192"/>
      <c r="AB9" s="192"/>
      <c r="AC9" s="192"/>
    </row>
    <row r="10" spans="1:29" x14ac:dyDescent="0.2">
      <c r="A10" s="129" t="s">
        <v>5153</v>
      </c>
      <c r="B10" s="2" t="s">
        <v>1153</v>
      </c>
      <c r="C10" s="2" t="s">
        <v>1152</v>
      </c>
      <c r="D10" s="19">
        <v>42640</v>
      </c>
      <c r="E10" s="2">
        <v>300</v>
      </c>
      <c r="F10" s="2" t="s">
        <v>7704</v>
      </c>
      <c r="G10" s="2" t="s">
        <v>7676</v>
      </c>
      <c r="H10" s="2" t="s">
        <v>582</v>
      </c>
      <c r="I10" s="2" t="s">
        <v>2739</v>
      </c>
      <c r="J10" s="2" t="s">
        <v>2713</v>
      </c>
      <c r="K10" s="2" t="s">
        <v>540</v>
      </c>
      <c r="L10" s="2" t="s">
        <v>3933</v>
      </c>
      <c r="M10" s="2" t="s">
        <v>41</v>
      </c>
      <c r="N10" s="2"/>
      <c r="O10" s="2">
        <v>12</v>
      </c>
      <c r="P10" s="2" t="s">
        <v>54</v>
      </c>
      <c r="Q10" s="19">
        <v>45747</v>
      </c>
      <c r="R10" s="2" t="s">
        <v>433</v>
      </c>
      <c r="S10" s="19"/>
      <c r="T10" s="2"/>
      <c r="U10" s="2" t="s">
        <v>4086</v>
      </c>
      <c r="V10" s="20"/>
      <c r="W10" s="20"/>
      <c r="X10" s="19"/>
      <c r="Y10" s="2"/>
      <c r="Z10" s="2"/>
      <c r="AA10" s="2"/>
      <c r="AB10" s="2"/>
      <c r="AC10" s="2"/>
    </row>
    <row r="11" spans="1:29" x14ac:dyDescent="0.2">
      <c r="A11" s="129" t="s">
        <v>5191</v>
      </c>
      <c r="B11" s="2" t="s">
        <v>1521</v>
      </c>
      <c r="C11" s="2" t="s">
        <v>1522</v>
      </c>
      <c r="D11" s="19">
        <v>43395</v>
      </c>
      <c r="E11" s="2">
        <v>60</v>
      </c>
      <c r="F11" s="2" t="s">
        <v>7708</v>
      </c>
      <c r="G11" s="2" t="s">
        <v>7676</v>
      </c>
      <c r="H11" s="2" t="s">
        <v>582</v>
      </c>
      <c r="I11" s="2" t="s">
        <v>2727</v>
      </c>
      <c r="J11" s="2" t="s">
        <v>2713</v>
      </c>
      <c r="K11" s="2" t="s">
        <v>393</v>
      </c>
      <c r="L11" s="2" t="s">
        <v>1548</v>
      </c>
      <c r="M11" s="2" t="s">
        <v>34</v>
      </c>
      <c r="N11" s="2"/>
      <c r="O11" s="2">
        <v>7</v>
      </c>
      <c r="P11" s="2" t="s">
        <v>54</v>
      </c>
      <c r="Q11" s="19">
        <v>46112</v>
      </c>
      <c r="R11" s="2" t="s">
        <v>433</v>
      </c>
      <c r="S11" s="19"/>
      <c r="T11" s="2"/>
      <c r="U11" s="2" t="s">
        <v>6397</v>
      </c>
      <c r="V11" s="20"/>
      <c r="W11" s="20"/>
      <c r="X11" s="19"/>
      <c r="Y11" s="2"/>
      <c r="Z11" s="2"/>
      <c r="AA11" s="2"/>
      <c r="AB11" s="2"/>
      <c r="AC11" s="2"/>
    </row>
    <row r="12" spans="1:29" x14ac:dyDescent="0.2">
      <c r="A12" s="129" t="s">
        <v>5214</v>
      </c>
      <c r="B12" s="2" t="s">
        <v>1656</v>
      </c>
      <c r="C12" s="2" t="s">
        <v>1657</v>
      </c>
      <c r="D12" s="19">
        <v>43606</v>
      </c>
      <c r="E12" s="2">
        <v>50</v>
      </c>
      <c r="F12" s="2" t="s">
        <v>7708</v>
      </c>
      <c r="G12" s="2" t="s">
        <v>7676</v>
      </c>
      <c r="H12" s="2" t="s">
        <v>582</v>
      </c>
      <c r="I12" s="2" t="s">
        <v>2766</v>
      </c>
      <c r="J12" s="2" t="s">
        <v>2713</v>
      </c>
      <c r="K12" s="2" t="s">
        <v>393</v>
      </c>
      <c r="L12" s="2" t="s">
        <v>600</v>
      </c>
      <c r="M12" s="2" t="s">
        <v>34</v>
      </c>
      <c r="N12" s="2"/>
      <c r="O12" s="2">
        <v>7</v>
      </c>
      <c r="P12" s="2" t="s">
        <v>54</v>
      </c>
      <c r="Q12" s="19">
        <v>45412</v>
      </c>
      <c r="R12" s="2" t="s">
        <v>433</v>
      </c>
      <c r="S12" s="19"/>
      <c r="T12" s="2"/>
      <c r="U12" s="2" t="s">
        <v>4073</v>
      </c>
      <c r="V12" s="20"/>
      <c r="W12" s="20"/>
      <c r="X12" s="19"/>
      <c r="Y12" s="2"/>
      <c r="Z12" s="2"/>
      <c r="AA12" s="2"/>
      <c r="AB12" s="2"/>
      <c r="AC12" s="2"/>
    </row>
    <row r="13" spans="1:29" x14ac:dyDescent="0.2">
      <c r="A13" s="173" t="s">
        <v>2571</v>
      </c>
      <c r="B13" s="178" t="s">
        <v>2572</v>
      </c>
      <c r="C13" s="178" t="s">
        <v>1769</v>
      </c>
      <c r="D13" s="180">
        <v>43726</v>
      </c>
      <c r="E13" s="182">
        <v>100</v>
      </c>
      <c r="F13" s="184"/>
      <c r="G13" s="2" t="s">
        <v>7676</v>
      </c>
      <c r="H13" s="177" t="s">
        <v>582</v>
      </c>
      <c r="I13" s="177" t="s">
        <v>2800</v>
      </c>
      <c r="J13" s="177" t="s">
        <v>2713</v>
      </c>
      <c r="K13" s="177" t="s">
        <v>530</v>
      </c>
      <c r="L13" s="177" t="s">
        <v>2573</v>
      </c>
      <c r="M13" s="185" t="s">
        <v>157</v>
      </c>
      <c r="N13" s="185"/>
      <c r="O13" s="177">
        <v>0</v>
      </c>
      <c r="P13" s="177"/>
      <c r="Q13" s="19">
        <v>44316</v>
      </c>
      <c r="R13" s="2"/>
      <c r="S13" s="2"/>
      <c r="T13" s="19"/>
      <c r="U13" s="192"/>
      <c r="V13" s="196"/>
      <c r="W13" s="196"/>
      <c r="X13" s="192"/>
      <c r="Y13" s="192"/>
      <c r="Z13" s="192"/>
      <c r="AA13" s="192"/>
      <c r="AB13" s="192"/>
      <c r="AC13" s="192"/>
    </row>
    <row r="14" spans="1:29" x14ac:dyDescent="0.2">
      <c r="A14" s="129" t="s">
        <v>5256</v>
      </c>
      <c r="B14" s="2" t="s">
        <v>2883</v>
      </c>
      <c r="C14" s="2" t="s">
        <v>2883</v>
      </c>
      <c r="D14" s="19">
        <v>43852</v>
      </c>
      <c r="E14" s="2">
        <v>435</v>
      </c>
      <c r="F14" s="2" t="s">
        <v>7708</v>
      </c>
      <c r="G14" s="2" t="s">
        <v>7676</v>
      </c>
      <c r="H14" s="2" t="s">
        <v>582</v>
      </c>
      <c r="I14" s="2" t="s">
        <v>2800</v>
      </c>
      <c r="J14" s="2" t="s">
        <v>2713</v>
      </c>
      <c r="K14" s="2" t="s">
        <v>420</v>
      </c>
      <c r="L14" s="2" t="s">
        <v>4495</v>
      </c>
      <c r="M14" s="2" t="s">
        <v>41</v>
      </c>
      <c r="N14" s="2"/>
      <c r="O14" s="2">
        <v>12</v>
      </c>
      <c r="P14" s="2" t="s">
        <v>54</v>
      </c>
      <c r="Q14" s="19">
        <v>46234</v>
      </c>
      <c r="R14" s="2" t="s">
        <v>433</v>
      </c>
      <c r="S14" s="19"/>
      <c r="T14" s="2"/>
      <c r="U14" s="2" t="s">
        <v>4085</v>
      </c>
      <c r="V14" s="20"/>
      <c r="W14" s="20"/>
      <c r="X14" s="19"/>
      <c r="Y14" s="2"/>
      <c r="Z14" s="2"/>
      <c r="AA14" s="2"/>
      <c r="AB14" s="2"/>
      <c r="AC14" s="2"/>
    </row>
    <row r="15" spans="1:29" x14ac:dyDescent="0.2">
      <c r="A15" s="129" t="s">
        <v>5334</v>
      </c>
      <c r="B15" s="2" t="s">
        <v>6091</v>
      </c>
      <c r="C15" s="2" t="s">
        <v>3589</v>
      </c>
      <c r="D15" s="19">
        <v>44375</v>
      </c>
      <c r="E15" s="2">
        <v>200</v>
      </c>
      <c r="F15" s="2" t="s">
        <v>7708</v>
      </c>
      <c r="G15" s="2" t="s">
        <v>7676</v>
      </c>
      <c r="H15" s="2" t="s">
        <v>582</v>
      </c>
      <c r="I15" s="2" t="s">
        <v>2800</v>
      </c>
      <c r="J15" s="2" t="s">
        <v>2713</v>
      </c>
      <c r="K15" s="2" t="s">
        <v>420</v>
      </c>
      <c r="L15" s="2" t="s">
        <v>2573</v>
      </c>
      <c r="M15" s="2" t="s">
        <v>157</v>
      </c>
      <c r="N15" s="2"/>
      <c r="O15" s="2">
        <v>10</v>
      </c>
      <c r="P15" s="2" t="s">
        <v>54</v>
      </c>
      <c r="Q15" s="19">
        <v>44940</v>
      </c>
      <c r="R15" s="2" t="s">
        <v>433</v>
      </c>
      <c r="S15" s="19"/>
      <c r="T15" s="2"/>
      <c r="U15" s="2" t="s">
        <v>4067</v>
      </c>
      <c r="V15" s="20"/>
      <c r="W15" s="20"/>
      <c r="X15" s="19"/>
      <c r="Y15" s="2"/>
      <c r="Z15" s="2"/>
      <c r="AA15" s="2"/>
      <c r="AB15" s="2"/>
      <c r="AC15" s="2"/>
    </row>
    <row r="16" spans="1:29" x14ac:dyDescent="0.2">
      <c r="A16" s="129" t="s">
        <v>5360</v>
      </c>
      <c r="B16" s="2" t="s">
        <v>3842</v>
      </c>
      <c r="C16" s="2" t="s">
        <v>3843</v>
      </c>
      <c r="D16" s="19">
        <v>44550</v>
      </c>
      <c r="E16" s="2">
        <v>120</v>
      </c>
      <c r="F16" s="2" t="s">
        <v>7704</v>
      </c>
      <c r="G16" s="2" t="s">
        <v>7676</v>
      </c>
      <c r="H16" s="2" t="s">
        <v>582</v>
      </c>
      <c r="I16" s="2" t="s">
        <v>2800</v>
      </c>
      <c r="J16" s="2" t="s">
        <v>2713</v>
      </c>
      <c r="K16" s="2" t="s">
        <v>420</v>
      </c>
      <c r="L16" s="2" t="s">
        <v>4213</v>
      </c>
      <c r="M16" s="2" t="s">
        <v>41</v>
      </c>
      <c r="N16" s="2"/>
      <c r="O16" s="2">
        <v>6</v>
      </c>
      <c r="P16" s="2" t="s">
        <v>54</v>
      </c>
      <c r="Q16" s="19">
        <v>46234</v>
      </c>
      <c r="R16" s="2" t="s">
        <v>433</v>
      </c>
      <c r="S16" s="19"/>
      <c r="T16" s="2"/>
      <c r="U16" s="2" t="s">
        <v>7623</v>
      </c>
      <c r="V16" s="20"/>
      <c r="W16" s="20"/>
      <c r="X16" s="19"/>
      <c r="Y16" s="2"/>
      <c r="Z16" s="2"/>
      <c r="AA16" s="2"/>
      <c r="AB16" s="2"/>
      <c r="AC16" s="2"/>
    </row>
    <row r="17" spans="1:29" x14ac:dyDescent="0.2">
      <c r="A17" s="129" t="s">
        <v>5457</v>
      </c>
      <c r="B17" s="2" t="s">
        <v>4667</v>
      </c>
      <c r="C17" s="2" t="s">
        <v>4668</v>
      </c>
      <c r="D17" s="19">
        <v>44897</v>
      </c>
      <c r="E17" s="2">
        <v>300</v>
      </c>
      <c r="F17" s="2" t="s">
        <v>7704</v>
      </c>
      <c r="G17" s="2" t="s">
        <v>7676</v>
      </c>
      <c r="H17" s="2" t="s">
        <v>582</v>
      </c>
      <c r="I17" s="2" t="s">
        <v>2739</v>
      </c>
      <c r="J17" s="2" t="s">
        <v>2713</v>
      </c>
      <c r="K17" s="2" t="s">
        <v>540</v>
      </c>
      <c r="L17" s="2" t="s">
        <v>5840</v>
      </c>
      <c r="M17" s="2" t="s">
        <v>157</v>
      </c>
      <c r="N17" s="2"/>
      <c r="O17" s="2">
        <v>12</v>
      </c>
      <c r="P17" s="2" t="s">
        <v>54</v>
      </c>
      <c r="Q17" s="19">
        <v>45291</v>
      </c>
      <c r="R17" s="2" t="s">
        <v>433</v>
      </c>
      <c r="S17" s="19"/>
      <c r="T17" s="2"/>
      <c r="U17" s="2" t="s">
        <v>4086</v>
      </c>
      <c r="V17" s="20"/>
      <c r="W17" s="20"/>
      <c r="X17" s="19"/>
      <c r="Y17" s="2"/>
      <c r="Z17" s="2"/>
      <c r="AA17" s="2"/>
      <c r="AB17" s="2"/>
      <c r="AC17" s="2"/>
    </row>
    <row r="18" spans="1:29" x14ac:dyDescent="0.2">
      <c r="A18" s="173" t="s">
        <v>4696</v>
      </c>
      <c r="B18" s="176" t="s">
        <v>4697</v>
      </c>
      <c r="C18" s="176" t="s">
        <v>4698</v>
      </c>
      <c r="D18" s="180">
        <v>44971</v>
      </c>
      <c r="E18" s="176">
        <v>14.3</v>
      </c>
      <c r="F18" s="183"/>
      <c r="G18" s="2" t="s">
        <v>7676</v>
      </c>
      <c r="H18" s="2" t="s">
        <v>582</v>
      </c>
      <c r="I18" s="2" t="s">
        <v>2798</v>
      </c>
      <c r="J18" s="2" t="s">
        <v>2713</v>
      </c>
      <c r="K18" s="2" t="s">
        <v>471</v>
      </c>
      <c r="L18" s="2" t="s">
        <v>4699</v>
      </c>
      <c r="M18" s="19" t="s">
        <v>157</v>
      </c>
      <c r="N18" s="187"/>
      <c r="O18" s="2">
        <v>0</v>
      </c>
      <c r="P18" s="2"/>
      <c r="Q18" s="19"/>
      <c r="R18" s="189"/>
      <c r="S18" s="191"/>
      <c r="T18" s="189"/>
      <c r="U18" s="189"/>
      <c r="V18" s="194"/>
      <c r="W18" s="194"/>
      <c r="X18" s="189"/>
      <c r="Y18" s="189"/>
      <c r="Z18" s="189"/>
      <c r="AA18" s="189"/>
      <c r="AB18" s="189"/>
      <c r="AC18" s="189"/>
    </row>
    <row r="19" spans="1:29" x14ac:dyDescent="0.2">
      <c r="A19" s="173" t="s">
        <v>4700</v>
      </c>
      <c r="B19" s="176" t="s">
        <v>4697</v>
      </c>
      <c r="C19" s="176" t="s">
        <v>4701</v>
      </c>
      <c r="D19" s="180">
        <v>44972</v>
      </c>
      <c r="E19" s="176">
        <v>16.5</v>
      </c>
      <c r="F19" s="183"/>
      <c r="G19" s="2" t="s">
        <v>7676</v>
      </c>
      <c r="H19" s="2" t="s">
        <v>582</v>
      </c>
      <c r="I19" s="2" t="s">
        <v>2773</v>
      </c>
      <c r="J19" s="2" t="s">
        <v>2713</v>
      </c>
      <c r="K19" s="2" t="s">
        <v>539</v>
      </c>
      <c r="L19" s="2" t="s">
        <v>4702</v>
      </c>
      <c r="M19" s="19" t="s">
        <v>403</v>
      </c>
      <c r="N19" s="187"/>
      <c r="O19" s="2">
        <v>0</v>
      </c>
      <c r="P19" s="2"/>
      <c r="Q19" s="19"/>
      <c r="R19" s="189"/>
      <c r="S19" s="189"/>
      <c r="T19" s="189"/>
      <c r="U19" s="189"/>
      <c r="V19" s="194"/>
      <c r="W19" s="194"/>
      <c r="X19" s="189"/>
      <c r="Y19" s="189"/>
      <c r="Z19" s="189"/>
      <c r="AA19" s="189"/>
      <c r="AB19" s="189"/>
      <c r="AC19" s="189"/>
    </row>
    <row r="20" spans="1:29" x14ac:dyDescent="0.2">
      <c r="A20" s="129" t="s">
        <v>5490</v>
      </c>
      <c r="B20" s="2" t="s">
        <v>7650</v>
      </c>
      <c r="C20" s="2" t="s">
        <v>4765</v>
      </c>
      <c r="D20" s="19">
        <v>44996</v>
      </c>
      <c r="E20" s="2">
        <v>480</v>
      </c>
      <c r="F20" s="2" t="s">
        <v>7711</v>
      </c>
      <c r="G20" s="2" t="s">
        <v>7676</v>
      </c>
      <c r="H20" s="2" t="s">
        <v>582</v>
      </c>
      <c r="I20" s="2" t="s">
        <v>2742</v>
      </c>
      <c r="J20" s="2" t="s">
        <v>2713</v>
      </c>
      <c r="K20" s="2" t="s">
        <v>393</v>
      </c>
      <c r="L20" s="2" t="s">
        <v>4685</v>
      </c>
      <c r="M20" s="2" t="s">
        <v>157</v>
      </c>
      <c r="N20" s="2"/>
      <c r="O20" s="2">
        <v>12</v>
      </c>
      <c r="P20" s="2" t="s">
        <v>54</v>
      </c>
      <c r="Q20" s="19">
        <v>45351</v>
      </c>
      <c r="R20" s="2" t="s">
        <v>433</v>
      </c>
      <c r="S20" s="19"/>
      <c r="T20" s="2"/>
      <c r="U20" s="2" t="s">
        <v>4603</v>
      </c>
      <c r="V20" s="20"/>
      <c r="W20" s="20"/>
      <c r="X20" s="19"/>
      <c r="Y20" s="2"/>
      <c r="Z20" s="2"/>
      <c r="AA20" s="2"/>
      <c r="AB20" s="2"/>
      <c r="AC20" s="2"/>
    </row>
    <row r="21" spans="1:29" x14ac:dyDescent="0.2">
      <c r="A21" s="129" t="s">
        <v>5570</v>
      </c>
      <c r="B21" s="2" t="s">
        <v>7650</v>
      </c>
      <c r="C21" s="2" t="s">
        <v>5571</v>
      </c>
      <c r="D21" s="19">
        <v>45230</v>
      </c>
      <c r="E21" s="2">
        <v>576</v>
      </c>
      <c r="F21" s="2" t="s">
        <v>7711</v>
      </c>
      <c r="G21" s="2" t="s">
        <v>7676</v>
      </c>
      <c r="H21" s="2" t="s">
        <v>582</v>
      </c>
      <c r="I21" s="2" t="s">
        <v>2742</v>
      </c>
      <c r="J21" s="2" t="s">
        <v>2713</v>
      </c>
      <c r="K21" s="2" t="s">
        <v>393</v>
      </c>
      <c r="L21" s="2" t="s">
        <v>5572</v>
      </c>
      <c r="M21" s="2" t="s">
        <v>157</v>
      </c>
      <c r="N21" s="2"/>
      <c r="O21" s="2">
        <v>9</v>
      </c>
      <c r="P21" s="2" t="s">
        <v>54</v>
      </c>
      <c r="Q21" s="19">
        <v>45473</v>
      </c>
      <c r="R21" s="2" t="s">
        <v>433</v>
      </c>
      <c r="S21" s="19"/>
      <c r="T21" s="2"/>
      <c r="U21" s="2" t="s">
        <v>7779</v>
      </c>
      <c r="V21" s="20"/>
      <c r="W21" s="20"/>
      <c r="X21" s="19"/>
      <c r="Y21" s="2"/>
      <c r="Z21" s="2"/>
      <c r="AA21" s="2"/>
      <c r="AB21" s="2"/>
      <c r="AC21" s="2"/>
    </row>
    <row r="22" spans="1:29" x14ac:dyDescent="0.2">
      <c r="A22" s="173" t="s">
        <v>5644</v>
      </c>
      <c r="B22" s="176" t="s">
        <v>5645</v>
      </c>
      <c r="C22" s="176" t="s">
        <v>5632</v>
      </c>
      <c r="D22" s="180">
        <v>45243</v>
      </c>
      <c r="E22" s="176">
        <v>200</v>
      </c>
      <c r="F22" s="183"/>
      <c r="G22" s="2" t="s">
        <v>7676</v>
      </c>
      <c r="H22" s="2" t="s">
        <v>582</v>
      </c>
      <c r="I22" s="2" t="s">
        <v>2720</v>
      </c>
      <c r="J22" s="2" t="s">
        <v>2713</v>
      </c>
      <c r="K22" s="2" t="s">
        <v>539</v>
      </c>
      <c r="L22" s="2" t="s">
        <v>5646</v>
      </c>
      <c r="M22" s="19" t="s">
        <v>1162</v>
      </c>
      <c r="N22" s="187"/>
      <c r="O22" s="2">
        <v>0</v>
      </c>
      <c r="P22" s="19"/>
      <c r="Q22" s="19">
        <v>45321</v>
      </c>
      <c r="R22" s="189"/>
      <c r="S22" s="189"/>
      <c r="T22" s="189"/>
      <c r="U22" s="189"/>
      <c r="V22" s="194"/>
      <c r="W22" s="194"/>
      <c r="X22" s="189"/>
      <c r="Y22" s="189"/>
      <c r="Z22" s="189"/>
      <c r="AA22" s="189"/>
      <c r="AB22" s="189"/>
      <c r="AC22" s="189"/>
    </row>
    <row r="23" spans="1:29" x14ac:dyDescent="0.2">
      <c r="A23" s="129" t="s">
        <v>5601</v>
      </c>
      <c r="B23" s="2" t="s">
        <v>5612</v>
      </c>
      <c r="C23" s="2" t="s">
        <v>5613</v>
      </c>
      <c r="D23" s="19">
        <v>45260</v>
      </c>
      <c r="E23" s="2">
        <v>50</v>
      </c>
      <c r="F23" s="2" t="s">
        <v>7715</v>
      </c>
      <c r="G23" s="2" t="s">
        <v>7676</v>
      </c>
      <c r="H23" s="2" t="s">
        <v>582</v>
      </c>
      <c r="I23" s="2" t="s">
        <v>2759</v>
      </c>
      <c r="J23" s="2" t="s">
        <v>2713</v>
      </c>
      <c r="K23" s="2" t="s">
        <v>471</v>
      </c>
      <c r="L23" s="2" t="s">
        <v>6033</v>
      </c>
      <c r="M23" s="2" t="s">
        <v>157</v>
      </c>
      <c r="N23" s="2" t="s">
        <v>7348</v>
      </c>
      <c r="O23" s="2">
        <v>6</v>
      </c>
      <c r="P23" s="2" t="s">
        <v>54</v>
      </c>
      <c r="Q23" s="19">
        <v>45504</v>
      </c>
      <c r="R23" s="2" t="s">
        <v>433</v>
      </c>
      <c r="S23" s="19"/>
      <c r="T23" s="2"/>
      <c r="U23" s="2" t="s">
        <v>4499</v>
      </c>
      <c r="V23" s="20"/>
      <c r="W23" s="20"/>
      <c r="X23" s="19"/>
      <c r="Y23" s="2"/>
      <c r="Z23" s="2"/>
      <c r="AA23" s="2"/>
      <c r="AB23" s="2"/>
      <c r="AC23" s="2"/>
    </row>
    <row r="24" spans="1:29" x14ac:dyDescent="0.2">
      <c r="A24" s="129" t="s">
        <v>5714</v>
      </c>
      <c r="B24" s="2" t="s">
        <v>5728</v>
      </c>
      <c r="C24" s="2" t="s">
        <v>5729</v>
      </c>
      <c r="D24" s="19">
        <v>45314</v>
      </c>
      <c r="E24" s="2">
        <v>250</v>
      </c>
      <c r="F24" s="2" t="s">
        <v>7706</v>
      </c>
      <c r="G24" s="2" t="s">
        <v>7676</v>
      </c>
      <c r="H24" s="2" t="s">
        <v>582</v>
      </c>
      <c r="I24" s="2" t="s">
        <v>2722</v>
      </c>
      <c r="J24" s="2" t="s">
        <v>2713</v>
      </c>
      <c r="K24" s="2" t="s">
        <v>531</v>
      </c>
      <c r="L24" s="2" t="s">
        <v>5745</v>
      </c>
      <c r="M24" s="2" t="s">
        <v>34</v>
      </c>
      <c r="N24" s="2"/>
      <c r="O24" s="2">
        <v>6</v>
      </c>
      <c r="P24" s="2" t="s">
        <v>54</v>
      </c>
      <c r="Q24" s="19">
        <v>45777</v>
      </c>
      <c r="R24" s="2" t="s">
        <v>433</v>
      </c>
      <c r="S24" s="19"/>
      <c r="T24" s="2"/>
      <c r="U24" s="2" t="s">
        <v>4079</v>
      </c>
      <c r="V24" s="20"/>
      <c r="W24" s="20"/>
      <c r="X24" s="19"/>
      <c r="Y24" s="2"/>
      <c r="Z24" s="2"/>
      <c r="AA24" s="2"/>
      <c r="AB24" s="2"/>
      <c r="AC24" s="2"/>
    </row>
    <row r="25" spans="1:29" x14ac:dyDescent="0.2">
      <c r="A25" s="129" t="s">
        <v>5788</v>
      </c>
      <c r="B25" s="2" t="s">
        <v>5789</v>
      </c>
      <c r="C25" s="2" t="s">
        <v>5790</v>
      </c>
      <c r="D25" s="19">
        <v>45391</v>
      </c>
      <c r="E25" s="2">
        <v>140</v>
      </c>
      <c r="F25" s="2" t="s">
        <v>7704</v>
      </c>
      <c r="G25" s="2" t="s">
        <v>7676</v>
      </c>
      <c r="H25" s="2" t="s">
        <v>582</v>
      </c>
      <c r="I25" s="2" t="s">
        <v>2722</v>
      </c>
      <c r="J25" s="2" t="s">
        <v>2713</v>
      </c>
      <c r="K25" s="2" t="s">
        <v>531</v>
      </c>
      <c r="L25" s="2" t="s">
        <v>5844</v>
      </c>
      <c r="M25" s="2" t="s">
        <v>157</v>
      </c>
      <c r="N25" s="2"/>
      <c r="O25" s="2">
        <v>9</v>
      </c>
      <c r="P25" s="2" t="s">
        <v>54</v>
      </c>
      <c r="Q25" s="19">
        <v>45747</v>
      </c>
      <c r="R25" s="2" t="s">
        <v>433</v>
      </c>
      <c r="S25" s="19"/>
      <c r="T25" s="2"/>
      <c r="U25" s="2" t="s">
        <v>4088</v>
      </c>
      <c r="V25" s="20"/>
      <c r="W25" s="20"/>
      <c r="X25" s="19"/>
      <c r="Y25" s="2"/>
      <c r="Z25" s="2"/>
      <c r="AA25" s="2"/>
      <c r="AB25" s="2"/>
      <c r="AC25" s="2"/>
    </row>
    <row r="26" spans="1:29" x14ac:dyDescent="0.2">
      <c r="A26" s="173" t="s">
        <v>6078</v>
      </c>
      <c r="B26" s="176" t="s">
        <v>6079</v>
      </c>
      <c r="C26" s="176" t="s">
        <v>6029</v>
      </c>
      <c r="D26" s="180">
        <v>45406</v>
      </c>
      <c r="E26" s="176">
        <v>50</v>
      </c>
      <c r="F26" s="183"/>
      <c r="G26" s="2" t="s">
        <v>7676</v>
      </c>
      <c r="H26" s="2" t="s">
        <v>582</v>
      </c>
      <c r="I26" s="2" t="s">
        <v>2720</v>
      </c>
      <c r="J26" s="2" t="s">
        <v>2713</v>
      </c>
      <c r="K26" s="2" t="s">
        <v>539</v>
      </c>
      <c r="L26" s="2" t="s">
        <v>6080</v>
      </c>
      <c r="M26" s="19" t="s">
        <v>1162</v>
      </c>
      <c r="N26" s="187"/>
      <c r="O26" s="2">
        <v>0</v>
      </c>
      <c r="P26" s="2"/>
      <c r="Q26" s="19">
        <v>45504</v>
      </c>
      <c r="R26" s="189"/>
      <c r="S26" s="189"/>
      <c r="T26" s="189"/>
      <c r="U26" s="189"/>
      <c r="V26" s="194"/>
      <c r="W26" s="194"/>
      <c r="X26" s="189"/>
      <c r="Y26" s="189"/>
      <c r="Z26" s="189"/>
      <c r="AA26" s="189"/>
      <c r="AB26" s="189"/>
      <c r="AC26" s="189"/>
    </row>
    <row r="27" spans="1:29" x14ac:dyDescent="0.2">
      <c r="A27" s="129" t="s">
        <v>5791</v>
      </c>
      <c r="B27" s="2" t="s">
        <v>1656</v>
      </c>
      <c r="C27" s="2" t="s">
        <v>5792</v>
      </c>
      <c r="D27" s="19">
        <v>45406</v>
      </c>
      <c r="E27" s="2">
        <v>88</v>
      </c>
      <c r="F27" s="2" t="s">
        <v>7704</v>
      </c>
      <c r="G27" s="2" t="s">
        <v>7676</v>
      </c>
      <c r="H27" s="2" t="s">
        <v>582</v>
      </c>
      <c r="I27" s="2" t="s">
        <v>3145</v>
      </c>
      <c r="J27" s="2" t="s">
        <v>2713</v>
      </c>
      <c r="K27" s="2" t="s">
        <v>393</v>
      </c>
      <c r="L27" s="2" t="s">
        <v>5845</v>
      </c>
      <c r="M27" s="2" t="s">
        <v>34</v>
      </c>
      <c r="N27" s="2"/>
      <c r="O27" s="2">
        <v>6</v>
      </c>
      <c r="P27" s="2" t="s">
        <v>54</v>
      </c>
      <c r="Q27" s="19">
        <v>45808</v>
      </c>
      <c r="R27" s="2" t="s">
        <v>433</v>
      </c>
      <c r="S27" s="19"/>
      <c r="T27" s="2"/>
      <c r="U27" s="2" t="s">
        <v>4113</v>
      </c>
      <c r="V27" s="20"/>
      <c r="W27" s="20"/>
      <c r="X27" s="19"/>
      <c r="Y27" s="2"/>
      <c r="Z27" s="2"/>
      <c r="AA27" s="2"/>
      <c r="AB27" s="2"/>
      <c r="AC27" s="2"/>
    </row>
    <row r="28" spans="1:29" x14ac:dyDescent="0.2">
      <c r="A28" s="129" t="s">
        <v>5948</v>
      </c>
      <c r="B28" s="2" t="s">
        <v>5949</v>
      </c>
      <c r="C28" s="2" t="s">
        <v>5950</v>
      </c>
      <c r="D28" s="19">
        <v>45462</v>
      </c>
      <c r="E28" s="2">
        <v>22.3</v>
      </c>
      <c r="F28" s="2" t="s">
        <v>7704</v>
      </c>
      <c r="G28" s="2" t="s">
        <v>7676</v>
      </c>
      <c r="H28" s="2" t="s">
        <v>582</v>
      </c>
      <c r="I28" s="2" t="s">
        <v>2720</v>
      </c>
      <c r="J28" s="2" t="s">
        <v>2713</v>
      </c>
      <c r="K28" s="2" t="s">
        <v>539</v>
      </c>
      <c r="L28" s="2" t="s">
        <v>5953</v>
      </c>
      <c r="M28" s="2" t="s">
        <v>1162</v>
      </c>
      <c r="N28" s="2"/>
      <c r="O28" s="2">
        <v>10</v>
      </c>
      <c r="P28" s="2" t="s">
        <v>7740</v>
      </c>
      <c r="Q28" s="19">
        <v>46234</v>
      </c>
      <c r="R28" s="2" t="s">
        <v>433</v>
      </c>
      <c r="S28" s="19"/>
      <c r="T28" s="2"/>
      <c r="U28" s="2" t="s">
        <v>4067</v>
      </c>
      <c r="V28" s="20"/>
      <c r="W28" s="20"/>
      <c r="X28" s="19"/>
      <c r="Y28" s="2"/>
      <c r="Z28" s="2"/>
      <c r="AA28" s="2"/>
      <c r="AB28" s="2"/>
      <c r="AC28" s="2"/>
    </row>
    <row r="29" spans="1:29" x14ac:dyDescent="0.2">
      <c r="A29" s="129" t="s">
        <v>6028</v>
      </c>
      <c r="B29" s="2" t="s">
        <v>5645</v>
      </c>
      <c r="C29" s="2" t="s">
        <v>6029</v>
      </c>
      <c r="D29" s="19">
        <v>45475</v>
      </c>
      <c r="E29" s="2">
        <v>50</v>
      </c>
      <c r="F29" s="2" t="s">
        <v>7704</v>
      </c>
      <c r="G29" s="2" t="s">
        <v>7676</v>
      </c>
      <c r="H29" s="2" t="s">
        <v>582</v>
      </c>
      <c r="I29" s="2" t="s">
        <v>2720</v>
      </c>
      <c r="J29" s="2" t="s">
        <v>2713</v>
      </c>
      <c r="K29" s="2" t="s">
        <v>539</v>
      </c>
      <c r="L29" s="2" t="s">
        <v>6037</v>
      </c>
      <c r="M29" s="2" t="s">
        <v>1162</v>
      </c>
      <c r="N29" s="2"/>
      <c r="O29" s="2">
        <v>10</v>
      </c>
      <c r="P29" s="2" t="s">
        <v>7740</v>
      </c>
      <c r="Q29" s="19">
        <v>46234</v>
      </c>
      <c r="R29" s="2" t="s">
        <v>433</v>
      </c>
      <c r="S29" s="19"/>
      <c r="T29" s="2"/>
      <c r="U29" s="2" t="s">
        <v>4653</v>
      </c>
      <c r="V29" s="20"/>
      <c r="W29" s="20"/>
      <c r="X29" s="19"/>
      <c r="Y29" s="2"/>
      <c r="Z29" s="2"/>
      <c r="AA29" s="2"/>
      <c r="AB29" s="2"/>
      <c r="AC29" s="2"/>
    </row>
    <row r="30" spans="1:29" x14ac:dyDescent="0.2">
      <c r="A30" s="129" t="s">
        <v>6030</v>
      </c>
      <c r="B30" s="2" t="s">
        <v>6031</v>
      </c>
      <c r="C30" s="2" t="s">
        <v>6032</v>
      </c>
      <c r="D30" s="19">
        <v>45475</v>
      </c>
      <c r="E30" s="2">
        <v>30</v>
      </c>
      <c r="F30" s="2" t="s">
        <v>7704</v>
      </c>
      <c r="G30" s="2" t="s">
        <v>7676</v>
      </c>
      <c r="H30" s="2" t="s">
        <v>582</v>
      </c>
      <c r="I30" s="2" t="s">
        <v>2720</v>
      </c>
      <c r="J30" s="2" t="s">
        <v>2781</v>
      </c>
      <c r="K30" s="2" t="s">
        <v>539</v>
      </c>
      <c r="L30" s="2" t="s">
        <v>6050</v>
      </c>
      <c r="M30" s="2" t="s">
        <v>1162</v>
      </c>
      <c r="N30" s="2"/>
      <c r="O30" s="2">
        <v>10</v>
      </c>
      <c r="P30" s="2" t="s">
        <v>7740</v>
      </c>
      <c r="Q30" s="19">
        <v>46234</v>
      </c>
      <c r="R30" s="2" t="s">
        <v>433</v>
      </c>
      <c r="S30" s="19"/>
      <c r="T30" s="2"/>
      <c r="U30" s="2" t="s">
        <v>4499</v>
      </c>
      <c r="V30" s="20"/>
      <c r="W30" s="20"/>
      <c r="X30" s="19"/>
      <c r="Y30" s="2"/>
      <c r="Z30" s="2"/>
      <c r="AA30" s="2"/>
      <c r="AB30" s="2"/>
      <c r="AC30" s="2"/>
    </row>
    <row r="31" spans="1:29" x14ac:dyDescent="0.2">
      <c r="A31" s="173" t="s">
        <v>6039</v>
      </c>
      <c r="B31" s="176" t="s">
        <v>6040</v>
      </c>
      <c r="C31" s="176" t="s">
        <v>6041</v>
      </c>
      <c r="D31" s="180">
        <v>45509</v>
      </c>
      <c r="E31" s="176">
        <v>30</v>
      </c>
      <c r="F31" s="183"/>
      <c r="G31" s="2" t="s">
        <v>7676</v>
      </c>
      <c r="H31" s="2" t="s">
        <v>582</v>
      </c>
      <c r="I31" s="2" t="s">
        <v>2717</v>
      </c>
      <c r="J31" s="2" t="s">
        <v>2713</v>
      </c>
      <c r="K31" s="2" t="s">
        <v>539</v>
      </c>
      <c r="L31" s="2" t="s">
        <v>6051</v>
      </c>
      <c r="M31" s="19" t="s">
        <v>1162</v>
      </c>
      <c r="N31" s="187"/>
      <c r="O31" s="2">
        <v>0</v>
      </c>
      <c r="P31" s="2"/>
      <c r="Q31" s="19">
        <v>46203</v>
      </c>
      <c r="R31" s="189"/>
      <c r="S31" s="189"/>
      <c r="T31" s="189"/>
      <c r="U31" s="189"/>
      <c r="V31" s="194"/>
      <c r="W31" s="194"/>
      <c r="X31" s="189"/>
      <c r="Y31" s="189"/>
      <c r="Z31" s="189"/>
      <c r="AA31" s="189"/>
      <c r="AB31" s="189"/>
      <c r="AC31" s="189"/>
    </row>
    <row r="32" spans="1:29" x14ac:dyDescent="0.2">
      <c r="A32" s="129" t="s">
        <v>6084</v>
      </c>
      <c r="B32" s="2" t="s">
        <v>6085</v>
      </c>
      <c r="C32" s="2" t="s">
        <v>6086</v>
      </c>
      <c r="D32" s="19">
        <v>45511</v>
      </c>
      <c r="E32" s="2">
        <v>200</v>
      </c>
      <c r="F32" s="2" t="s">
        <v>7704</v>
      </c>
      <c r="G32" s="2" t="s">
        <v>7676</v>
      </c>
      <c r="H32" s="2" t="s">
        <v>582</v>
      </c>
      <c r="I32" s="2" t="s">
        <v>2811</v>
      </c>
      <c r="J32" s="2" t="s">
        <v>2713</v>
      </c>
      <c r="K32" s="2" t="s">
        <v>318</v>
      </c>
      <c r="L32" s="2" t="s">
        <v>6087</v>
      </c>
      <c r="M32" s="2" t="s">
        <v>403</v>
      </c>
      <c r="N32" s="2"/>
      <c r="O32" s="2">
        <v>6</v>
      </c>
      <c r="P32" s="2" t="s">
        <v>54</v>
      </c>
      <c r="Q32" s="19">
        <v>45930</v>
      </c>
      <c r="R32" s="2"/>
      <c r="S32" s="19"/>
      <c r="T32" s="2"/>
      <c r="U32" s="2" t="s">
        <v>6373</v>
      </c>
      <c r="V32" s="20"/>
      <c r="W32" s="20"/>
      <c r="X32" s="19"/>
      <c r="Y32" s="2"/>
      <c r="Z32" s="2"/>
      <c r="AA32" s="2"/>
      <c r="AB32" s="2"/>
      <c r="AC32" s="2"/>
    </row>
    <row r="33" spans="1:29" x14ac:dyDescent="0.2">
      <c r="A33" s="173" t="s">
        <v>6090</v>
      </c>
      <c r="B33" s="176" t="s">
        <v>6091</v>
      </c>
      <c r="C33" s="176" t="s">
        <v>7290</v>
      </c>
      <c r="D33" s="180">
        <v>45553</v>
      </c>
      <c r="E33" s="176">
        <v>300</v>
      </c>
      <c r="F33" s="183"/>
      <c r="G33" s="2" t="s">
        <v>7676</v>
      </c>
      <c r="H33" s="2" t="s">
        <v>582</v>
      </c>
      <c r="I33" s="2" t="s">
        <v>2800</v>
      </c>
      <c r="J33" s="2" t="s">
        <v>2713</v>
      </c>
      <c r="K33" s="2" t="s">
        <v>420</v>
      </c>
      <c r="L33" s="2" t="s">
        <v>2573</v>
      </c>
      <c r="M33" s="19" t="s">
        <v>157</v>
      </c>
      <c r="N33" s="187"/>
      <c r="O33" s="2">
        <v>0</v>
      </c>
      <c r="P33" s="2"/>
      <c r="Q33" s="19">
        <v>45716</v>
      </c>
      <c r="R33" s="189"/>
      <c r="S33" s="189"/>
      <c r="T33" s="189"/>
      <c r="U33" s="189"/>
      <c r="V33" s="194"/>
      <c r="W33" s="194"/>
      <c r="X33" s="189"/>
      <c r="Y33" s="189"/>
      <c r="Z33" s="189"/>
      <c r="AA33" s="189"/>
      <c r="AB33" s="189"/>
      <c r="AC33" s="189"/>
    </row>
    <row r="34" spans="1:29" x14ac:dyDescent="0.2">
      <c r="A34" s="129" t="s">
        <v>7149</v>
      </c>
      <c r="B34" s="2" t="s">
        <v>7150</v>
      </c>
      <c r="C34" s="2" t="s">
        <v>7151</v>
      </c>
      <c r="D34" s="19">
        <v>45593</v>
      </c>
      <c r="E34" s="2">
        <v>176.6</v>
      </c>
      <c r="F34" s="2" t="s">
        <v>7704</v>
      </c>
      <c r="G34" s="2" t="s">
        <v>7676</v>
      </c>
      <c r="H34" s="2" t="s">
        <v>582</v>
      </c>
      <c r="I34" s="2" t="s">
        <v>2716</v>
      </c>
      <c r="J34" s="2" t="s">
        <v>2713</v>
      </c>
      <c r="K34" s="2" t="s">
        <v>532</v>
      </c>
      <c r="L34" s="2" t="s">
        <v>7616</v>
      </c>
      <c r="M34" s="2" t="s">
        <v>87</v>
      </c>
      <c r="N34" s="2"/>
      <c r="O34" s="2">
        <v>9</v>
      </c>
      <c r="P34" s="2" t="s">
        <v>54</v>
      </c>
      <c r="Q34" s="19">
        <v>46234</v>
      </c>
      <c r="R34" s="2" t="s">
        <v>433</v>
      </c>
      <c r="S34" s="19"/>
      <c r="T34" s="2"/>
      <c r="U34" s="2" t="s">
        <v>4499</v>
      </c>
      <c r="V34" s="20"/>
      <c r="W34" s="20"/>
      <c r="X34" s="19"/>
      <c r="Y34" s="2"/>
      <c r="Z34" s="2"/>
      <c r="AA34" s="2"/>
      <c r="AB34" s="2"/>
      <c r="AC34" s="2"/>
    </row>
    <row r="35" spans="1:29" x14ac:dyDescent="0.2">
      <c r="A35" s="173" t="s">
        <v>7152</v>
      </c>
      <c r="B35" s="176" t="s">
        <v>7153</v>
      </c>
      <c r="C35" s="176" t="s">
        <v>7154</v>
      </c>
      <c r="D35" s="180">
        <v>45603</v>
      </c>
      <c r="E35" s="176">
        <v>300</v>
      </c>
      <c r="F35" s="183"/>
      <c r="G35" s="2" t="s">
        <v>7676</v>
      </c>
      <c r="H35" s="2" t="s">
        <v>582</v>
      </c>
      <c r="I35" s="2" t="s">
        <v>2741</v>
      </c>
      <c r="J35" s="2" t="s">
        <v>2713</v>
      </c>
      <c r="K35" s="2" t="s">
        <v>531</v>
      </c>
      <c r="L35" s="2" t="s">
        <v>4939</v>
      </c>
      <c r="M35" s="19" t="s">
        <v>157</v>
      </c>
      <c r="N35" s="187"/>
      <c r="O35" s="2">
        <v>0</v>
      </c>
      <c r="P35" s="2"/>
      <c r="Q35" s="19">
        <v>45716</v>
      </c>
      <c r="R35" s="189"/>
      <c r="S35" s="189"/>
      <c r="T35" s="189"/>
      <c r="U35" s="189"/>
      <c r="V35" s="194"/>
      <c r="W35" s="194"/>
      <c r="X35" s="189"/>
      <c r="Y35" s="189"/>
      <c r="Z35" s="189"/>
      <c r="AA35" s="189"/>
      <c r="AB35" s="189"/>
      <c r="AC35" s="189"/>
    </row>
    <row r="36" spans="1:29" x14ac:dyDescent="0.2">
      <c r="A36" s="173" t="s">
        <v>7283</v>
      </c>
      <c r="B36" s="176" t="s">
        <v>7284</v>
      </c>
      <c r="C36" s="176" t="s">
        <v>7285</v>
      </c>
      <c r="D36" s="180">
        <v>45635</v>
      </c>
      <c r="E36" s="176">
        <v>200</v>
      </c>
      <c r="F36" s="183"/>
      <c r="G36" s="2" t="s">
        <v>7676</v>
      </c>
      <c r="H36" s="2" t="s">
        <v>582</v>
      </c>
      <c r="I36" s="2" t="s">
        <v>2800</v>
      </c>
      <c r="J36" s="2" t="s">
        <v>2713</v>
      </c>
      <c r="K36" s="2" t="s">
        <v>420</v>
      </c>
      <c r="L36" s="2" t="s">
        <v>7286</v>
      </c>
      <c r="M36" s="19" t="s">
        <v>41</v>
      </c>
      <c r="N36" s="187"/>
      <c r="O36" s="2">
        <v>0</v>
      </c>
      <c r="P36" s="2"/>
      <c r="Q36" s="19">
        <v>45688</v>
      </c>
      <c r="R36" s="189"/>
      <c r="S36" s="189"/>
      <c r="T36" s="189"/>
      <c r="U36" s="189"/>
      <c r="V36" s="194"/>
      <c r="W36" s="194"/>
      <c r="X36" s="189"/>
      <c r="Y36" s="189"/>
      <c r="Z36" s="189"/>
      <c r="AA36" s="189"/>
      <c r="AB36" s="189"/>
      <c r="AC36" s="189"/>
    </row>
    <row r="37" spans="1:29" x14ac:dyDescent="0.2">
      <c r="A37" s="129" t="s">
        <v>7337</v>
      </c>
      <c r="B37" s="2" t="s">
        <v>7338</v>
      </c>
      <c r="C37" s="2" t="s">
        <v>7339</v>
      </c>
      <c r="D37" s="19">
        <v>45646</v>
      </c>
      <c r="E37" s="2">
        <v>200</v>
      </c>
      <c r="F37" s="2" t="s">
        <v>7704</v>
      </c>
      <c r="G37" s="2" t="s">
        <v>7676</v>
      </c>
      <c r="H37" s="2" t="s">
        <v>582</v>
      </c>
      <c r="I37" s="2" t="s">
        <v>2727</v>
      </c>
      <c r="J37" s="2" t="s">
        <v>2713</v>
      </c>
      <c r="K37" s="2" t="s">
        <v>393</v>
      </c>
      <c r="L37" s="2" t="s">
        <v>7677</v>
      </c>
      <c r="M37" s="2" t="s">
        <v>34</v>
      </c>
      <c r="N37" s="2" t="s">
        <v>194</v>
      </c>
      <c r="O37" s="2">
        <v>5</v>
      </c>
      <c r="P37" s="2" t="s">
        <v>7741</v>
      </c>
      <c r="Q37" s="19">
        <v>46022</v>
      </c>
      <c r="R37" s="2"/>
      <c r="S37" s="19"/>
      <c r="T37" s="2"/>
      <c r="U37" s="2" t="s">
        <v>4248</v>
      </c>
      <c r="V37" s="20"/>
      <c r="W37" s="20"/>
      <c r="X37" s="19"/>
      <c r="Y37" s="2"/>
      <c r="Z37" s="2"/>
      <c r="AA37" s="2"/>
      <c r="AB37" s="2"/>
      <c r="AC37" s="2"/>
    </row>
    <row r="38" spans="1:29" x14ac:dyDescent="0.2">
      <c r="A38" s="129" t="s">
        <v>7312</v>
      </c>
      <c r="B38" s="2" t="s">
        <v>7313</v>
      </c>
      <c r="C38" s="2" t="s">
        <v>7314</v>
      </c>
      <c r="D38" s="19">
        <v>45688</v>
      </c>
      <c r="E38" s="2">
        <v>300</v>
      </c>
      <c r="F38" s="2" t="s">
        <v>7704</v>
      </c>
      <c r="G38" s="2" t="s">
        <v>7676</v>
      </c>
      <c r="H38" s="2" t="s">
        <v>582</v>
      </c>
      <c r="I38" s="2" t="s">
        <v>2775</v>
      </c>
      <c r="J38" s="2" t="s">
        <v>2713</v>
      </c>
      <c r="K38" s="2" t="s">
        <v>531</v>
      </c>
      <c r="L38" s="2" t="s">
        <v>7534</v>
      </c>
      <c r="M38" s="2" t="s">
        <v>157</v>
      </c>
      <c r="N38" s="2" t="s">
        <v>34</v>
      </c>
      <c r="O38" s="2">
        <v>5</v>
      </c>
      <c r="P38" s="2" t="s">
        <v>7741</v>
      </c>
      <c r="Q38" s="19">
        <v>46022</v>
      </c>
      <c r="R38" s="2"/>
      <c r="S38" s="19"/>
      <c r="T38" s="2"/>
      <c r="U38" s="2" t="s">
        <v>4499</v>
      </c>
      <c r="V38" s="20"/>
      <c r="W38" s="20"/>
      <c r="X38" s="19"/>
      <c r="Y38" s="2"/>
      <c r="Z38" s="2"/>
      <c r="AA38" s="2"/>
      <c r="AB38" s="2"/>
      <c r="AC38" s="2"/>
    </row>
    <row r="39" spans="1:29" x14ac:dyDescent="0.2">
      <c r="A39" s="129" t="s">
        <v>7349</v>
      </c>
      <c r="B39" s="2" t="s">
        <v>7350</v>
      </c>
      <c r="C39" s="2" t="s">
        <v>7351</v>
      </c>
      <c r="D39" s="19">
        <v>45723</v>
      </c>
      <c r="E39" s="2">
        <v>233</v>
      </c>
      <c r="F39" s="2" t="s">
        <v>7706</v>
      </c>
      <c r="G39" s="2" t="s">
        <v>7676</v>
      </c>
      <c r="H39" s="2" t="s">
        <v>582</v>
      </c>
      <c r="I39" s="2" t="s">
        <v>4276</v>
      </c>
      <c r="J39" s="2" t="s">
        <v>2713</v>
      </c>
      <c r="K39" s="2" t="s">
        <v>530</v>
      </c>
      <c r="L39" s="2" t="s">
        <v>7535</v>
      </c>
      <c r="M39" s="2" t="s">
        <v>41</v>
      </c>
      <c r="N39" s="2" t="s">
        <v>194</v>
      </c>
      <c r="O39" s="2">
        <v>5</v>
      </c>
      <c r="P39" s="2" t="s">
        <v>7741</v>
      </c>
      <c r="Q39" s="19">
        <v>46022</v>
      </c>
      <c r="R39" s="2"/>
      <c r="S39" s="19"/>
      <c r="T39" s="2"/>
      <c r="U39" s="2" t="s">
        <v>4129</v>
      </c>
      <c r="V39" s="20"/>
      <c r="W39" s="20"/>
      <c r="X39" s="19"/>
      <c r="Y39" s="2"/>
      <c r="Z39" s="2"/>
      <c r="AA39" s="2"/>
      <c r="AB39" s="2"/>
      <c r="AC39" s="2"/>
    </row>
    <row r="40" spans="1:29" x14ac:dyDescent="0.2">
      <c r="A40" s="129" t="s">
        <v>7352</v>
      </c>
      <c r="B40" s="2" t="s">
        <v>7350</v>
      </c>
      <c r="C40" s="2" t="s">
        <v>7353</v>
      </c>
      <c r="D40" s="19">
        <v>45723</v>
      </c>
      <c r="E40" s="2">
        <v>233</v>
      </c>
      <c r="F40" s="2" t="s">
        <v>7706</v>
      </c>
      <c r="G40" s="2" t="s">
        <v>7676</v>
      </c>
      <c r="H40" s="2" t="s">
        <v>582</v>
      </c>
      <c r="I40" s="2" t="s">
        <v>4276</v>
      </c>
      <c r="J40" s="2" t="s">
        <v>2713</v>
      </c>
      <c r="K40" s="2" t="s">
        <v>530</v>
      </c>
      <c r="L40" s="2" t="s">
        <v>7535</v>
      </c>
      <c r="M40" s="2" t="s">
        <v>41</v>
      </c>
      <c r="N40" s="2" t="s">
        <v>194</v>
      </c>
      <c r="O40" s="2">
        <v>5</v>
      </c>
      <c r="P40" s="2" t="s">
        <v>7741</v>
      </c>
      <c r="Q40" s="19">
        <v>46022</v>
      </c>
      <c r="R40" s="2"/>
      <c r="S40" s="19"/>
      <c r="T40" s="2"/>
      <c r="U40" s="2" t="s">
        <v>4129</v>
      </c>
      <c r="V40" s="20"/>
      <c r="W40" s="20"/>
      <c r="X40" s="19"/>
      <c r="Y40" s="2"/>
      <c r="Z40" s="2"/>
      <c r="AA40" s="2"/>
      <c r="AB40" s="2"/>
      <c r="AC40" s="2"/>
    </row>
    <row r="41" spans="1:29" x14ac:dyDescent="0.2">
      <c r="A41" s="129" t="s">
        <v>7354</v>
      </c>
      <c r="B41" s="2" t="s">
        <v>7350</v>
      </c>
      <c r="C41" s="2" t="s">
        <v>7355</v>
      </c>
      <c r="D41" s="19">
        <v>45723</v>
      </c>
      <c r="E41" s="2">
        <v>467</v>
      </c>
      <c r="F41" s="2" t="s">
        <v>7706</v>
      </c>
      <c r="G41" s="2" t="s">
        <v>7676</v>
      </c>
      <c r="H41" s="2" t="s">
        <v>582</v>
      </c>
      <c r="I41" s="2" t="s">
        <v>4276</v>
      </c>
      <c r="J41" s="2" t="s">
        <v>2713</v>
      </c>
      <c r="K41" s="2" t="s">
        <v>530</v>
      </c>
      <c r="L41" s="2" t="s">
        <v>7535</v>
      </c>
      <c r="M41" s="2" t="s">
        <v>41</v>
      </c>
      <c r="N41" s="2" t="s">
        <v>194</v>
      </c>
      <c r="O41" s="2">
        <v>5</v>
      </c>
      <c r="P41" s="2" t="s">
        <v>7741</v>
      </c>
      <c r="Q41" s="19">
        <v>46022</v>
      </c>
      <c r="R41" s="2"/>
      <c r="S41" s="19"/>
      <c r="T41" s="2"/>
      <c r="U41" s="2" t="s">
        <v>4129</v>
      </c>
      <c r="V41" s="20"/>
      <c r="W41" s="20"/>
      <c r="X41" s="19"/>
      <c r="Y41" s="2"/>
      <c r="Z41" s="2"/>
      <c r="AA41" s="2"/>
      <c r="AB41" s="2"/>
      <c r="AC41" s="2"/>
    </row>
    <row r="42" spans="1:29" x14ac:dyDescent="0.2">
      <c r="A42" s="129" t="s">
        <v>7340</v>
      </c>
      <c r="B42" s="2" t="s">
        <v>6091</v>
      </c>
      <c r="C42" s="2" t="s">
        <v>7290</v>
      </c>
      <c r="D42" s="19">
        <v>45730</v>
      </c>
      <c r="E42" s="2">
        <v>300</v>
      </c>
      <c r="F42" s="2" t="s">
        <v>7706</v>
      </c>
      <c r="G42" s="2" t="s">
        <v>7676</v>
      </c>
      <c r="H42" s="2" t="s">
        <v>582</v>
      </c>
      <c r="I42" s="2" t="s">
        <v>2800</v>
      </c>
      <c r="J42" s="2" t="s">
        <v>2713</v>
      </c>
      <c r="K42" s="2" t="s">
        <v>530</v>
      </c>
      <c r="L42" s="2" t="s">
        <v>7536</v>
      </c>
      <c r="M42" s="2" t="s">
        <v>41</v>
      </c>
      <c r="N42" s="2" t="s">
        <v>194</v>
      </c>
      <c r="O42" s="2">
        <v>5</v>
      </c>
      <c r="P42" s="2" t="s">
        <v>7741</v>
      </c>
      <c r="Q42" s="19">
        <v>46022</v>
      </c>
      <c r="R42" s="2"/>
      <c r="S42" s="19"/>
      <c r="T42" s="2"/>
      <c r="U42" s="2" t="s">
        <v>4113</v>
      </c>
      <c r="V42" s="20"/>
      <c r="W42" s="20"/>
      <c r="X42" s="19"/>
      <c r="Y42" s="2"/>
      <c r="Z42" s="2"/>
      <c r="AA42" s="2"/>
      <c r="AB42" s="2"/>
      <c r="AC42" s="2"/>
    </row>
    <row r="43" spans="1:29" x14ac:dyDescent="0.2">
      <c r="A43" s="129" t="s">
        <v>7356</v>
      </c>
      <c r="B43" s="2" t="s">
        <v>7537</v>
      </c>
      <c r="C43" s="2" t="s">
        <v>7357</v>
      </c>
      <c r="D43" s="19">
        <v>45745</v>
      </c>
      <c r="E43" s="2">
        <v>250</v>
      </c>
      <c r="F43" s="2" t="s">
        <v>7706</v>
      </c>
      <c r="G43" s="2" t="s">
        <v>7676</v>
      </c>
      <c r="H43" s="2" t="s">
        <v>582</v>
      </c>
      <c r="I43" s="2" t="s">
        <v>2722</v>
      </c>
      <c r="J43" s="2" t="s">
        <v>2713</v>
      </c>
      <c r="K43" s="2" t="s">
        <v>531</v>
      </c>
      <c r="L43" s="2" t="s">
        <v>7538</v>
      </c>
      <c r="M43" s="2" t="s">
        <v>34</v>
      </c>
      <c r="N43" s="2" t="s">
        <v>4156</v>
      </c>
      <c r="O43" s="2">
        <v>5</v>
      </c>
      <c r="P43" s="2" t="s">
        <v>7741</v>
      </c>
      <c r="Q43" s="19">
        <v>46022</v>
      </c>
      <c r="R43" s="2"/>
      <c r="S43" s="19"/>
      <c r="T43" s="2"/>
      <c r="U43" s="2" t="s">
        <v>4104</v>
      </c>
      <c r="V43" s="20"/>
      <c r="W43" s="20"/>
      <c r="X43" s="19"/>
      <c r="Y43" s="2"/>
      <c r="Z43" s="2"/>
      <c r="AA43" s="2"/>
      <c r="AB43" s="2"/>
      <c r="AC43" s="2"/>
    </row>
    <row r="44" spans="1:29" x14ac:dyDescent="0.2">
      <c r="A44" s="129" t="s">
        <v>7358</v>
      </c>
      <c r="B44" s="2" t="s">
        <v>1656</v>
      </c>
      <c r="C44" s="2" t="s">
        <v>7359</v>
      </c>
      <c r="D44" s="19">
        <v>45745</v>
      </c>
      <c r="E44" s="2">
        <v>162</v>
      </c>
      <c r="F44" s="2" t="s">
        <v>7706</v>
      </c>
      <c r="G44" s="2" t="s">
        <v>7676</v>
      </c>
      <c r="H44" s="2" t="s">
        <v>582</v>
      </c>
      <c r="I44" s="2" t="s">
        <v>3145</v>
      </c>
      <c r="J44" s="2" t="s">
        <v>2713</v>
      </c>
      <c r="K44" s="2" t="s">
        <v>393</v>
      </c>
      <c r="L44" s="2" t="s">
        <v>7539</v>
      </c>
      <c r="M44" s="2" t="s">
        <v>34</v>
      </c>
      <c r="N44" s="2" t="s">
        <v>194</v>
      </c>
      <c r="O44" s="2">
        <v>5</v>
      </c>
      <c r="P44" s="2" t="s">
        <v>7741</v>
      </c>
      <c r="Q44" s="19">
        <v>46022</v>
      </c>
      <c r="R44" s="2"/>
      <c r="S44" s="19"/>
      <c r="T44" s="2"/>
      <c r="U44" s="2" t="s">
        <v>4119</v>
      </c>
      <c r="V44" s="20"/>
      <c r="W44" s="20"/>
      <c r="X44" s="19"/>
      <c r="Y44" s="2"/>
      <c r="Z44" s="2"/>
      <c r="AA44" s="2"/>
      <c r="AB44" s="2"/>
      <c r="AC44" s="2"/>
    </row>
    <row r="45" spans="1:29" x14ac:dyDescent="0.2">
      <c r="A45" s="129" t="s">
        <v>7371</v>
      </c>
      <c r="B45" s="2" t="s">
        <v>7372</v>
      </c>
      <c r="C45" s="2" t="s">
        <v>7373</v>
      </c>
      <c r="D45" s="19">
        <v>45779</v>
      </c>
      <c r="E45" s="2">
        <v>100</v>
      </c>
      <c r="F45" s="2" t="s">
        <v>7704</v>
      </c>
      <c r="G45" s="2" t="s">
        <v>7676</v>
      </c>
      <c r="H45" s="2" t="s">
        <v>582</v>
      </c>
      <c r="I45" s="2" t="s">
        <v>2737</v>
      </c>
      <c r="J45" s="2" t="s">
        <v>2713</v>
      </c>
      <c r="K45" s="2" t="s">
        <v>530</v>
      </c>
      <c r="L45" s="2" t="s">
        <v>7617</v>
      </c>
      <c r="M45" s="2" t="s">
        <v>7618</v>
      </c>
      <c r="N45" s="2" t="s">
        <v>7540</v>
      </c>
      <c r="O45" s="2">
        <v>5</v>
      </c>
      <c r="P45" s="2" t="s">
        <v>7742</v>
      </c>
      <c r="Q45" s="19">
        <v>46142</v>
      </c>
      <c r="R45" s="2"/>
      <c r="S45" s="19"/>
      <c r="T45" s="2"/>
      <c r="U45" s="2" t="s">
        <v>6093</v>
      </c>
      <c r="V45" s="20"/>
      <c r="W45" s="20"/>
      <c r="X45" s="19"/>
      <c r="Y45" s="2"/>
      <c r="Z45" s="2"/>
      <c r="AA45" s="2"/>
      <c r="AB45" s="2"/>
      <c r="AC45" s="2"/>
    </row>
    <row r="46" spans="1:29" x14ac:dyDescent="0.2">
      <c r="A46" s="129" t="s">
        <v>7374</v>
      </c>
      <c r="B46" s="2" t="s">
        <v>7375</v>
      </c>
      <c r="C46" s="2" t="s">
        <v>7376</v>
      </c>
      <c r="D46" s="19">
        <v>45784</v>
      </c>
      <c r="E46" s="2">
        <v>270</v>
      </c>
      <c r="F46" s="2" t="s">
        <v>7704</v>
      </c>
      <c r="G46" s="2" t="s">
        <v>7676</v>
      </c>
      <c r="H46" s="2" t="s">
        <v>582</v>
      </c>
      <c r="I46" s="2" t="s">
        <v>2742</v>
      </c>
      <c r="J46" s="2" t="s">
        <v>2713</v>
      </c>
      <c r="K46" s="2" t="s">
        <v>393</v>
      </c>
      <c r="L46" s="2" t="s">
        <v>7541</v>
      </c>
      <c r="M46" s="2" t="s">
        <v>41</v>
      </c>
      <c r="N46" s="2" t="s">
        <v>7542</v>
      </c>
      <c r="O46" s="2">
        <v>5</v>
      </c>
      <c r="P46" s="2" t="s">
        <v>7743</v>
      </c>
      <c r="Q46" s="19">
        <v>46203</v>
      </c>
      <c r="R46" s="2"/>
      <c r="S46" s="19"/>
      <c r="T46" s="2"/>
      <c r="U46" s="2" t="s">
        <v>4603</v>
      </c>
      <c r="V46" s="20"/>
      <c r="W46" s="20"/>
      <c r="X46" s="19"/>
      <c r="Y46" s="2"/>
      <c r="Z46" s="2"/>
      <c r="AA46" s="2"/>
      <c r="AB46" s="2"/>
      <c r="AC46" s="2"/>
    </row>
    <row r="47" spans="1:29" x14ac:dyDescent="0.2">
      <c r="A47" s="129" t="s">
        <v>7392</v>
      </c>
      <c r="B47" s="2" t="s">
        <v>7393</v>
      </c>
      <c r="C47" s="2" t="s">
        <v>7394</v>
      </c>
      <c r="D47" s="19">
        <v>45811</v>
      </c>
      <c r="E47" s="2">
        <v>66</v>
      </c>
      <c r="F47" s="2" t="s">
        <v>7713</v>
      </c>
      <c r="G47" s="2" t="s">
        <v>7676</v>
      </c>
      <c r="H47" s="2" t="s">
        <v>582</v>
      </c>
      <c r="I47" s="2" t="s">
        <v>2788</v>
      </c>
      <c r="J47" s="2" t="s">
        <v>2713</v>
      </c>
      <c r="K47" s="2" t="s">
        <v>530</v>
      </c>
      <c r="L47" s="2" t="s">
        <v>7543</v>
      </c>
      <c r="M47" s="2" t="s">
        <v>157</v>
      </c>
      <c r="N47" s="2"/>
      <c r="O47" s="2">
        <v>5</v>
      </c>
      <c r="P47" s="2" t="s">
        <v>7743</v>
      </c>
      <c r="Q47" s="19">
        <v>46203</v>
      </c>
      <c r="R47" s="2"/>
      <c r="S47" s="19"/>
      <c r="T47" s="2"/>
      <c r="U47" s="2" t="s">
        <v>4088</v>
      </c>
      <c r="V47" s="20"/>
      <c r="W47" s="20"/>
      <c r="X47" s="19"/>
      <c r="Y47" s="2"/>
      <c r="Z47" s="2"/>
      <c r="AA47" s="2"/>
      <c r="AB47" s="2"/>
      <c r="AC47" s="2"/>
    </row>
    <row r="48" spans="1:29" x14ac:dyDescent="0.2">
      <c r="A48" s="129" t="s">
        <v>7544</v>
      </c>
      <c r="B48" s="2" t="s">
        <v>7545</v>
      </c>
      <c r="C48" s="2" t="s">
        <v>7546</v>
      </c>
      <c r="D48" s="19">
        <v>45855</v>
      </c>
      <c r="E48" s="2">
        <v>1000</v>
      </c>
      <c r="F48" s="2" t="s">
        <v>7704</v>
      </c>
      <c r="G48" s="2" t="s">
        <v>7676</v>
      </c>
      <c r="H48" s="2" t="s">
        <v>582</v>
      </c>
      <c r="I48" s="2" t="s">
        <v>2773</v>
      </c>
      <c r="J48" s="2" t="s">
        <v>2713</v>
      </c>
      <c r="K48" s="2" t="s">
        <v>318</v>
      </c>
      <c r="L48" s="2" t="s">
        <v>7619</v>
      </c>
      <c r="M48" s="2" t="s">
        <v>86</v>
      </c>
      <c r="N48" s="2" t="s">
        <v>7547</v>
      </c>
      <c r="O48" s="2">
        <v>5</v>
      </c>
      <c r="P48" s="2" t="s">
        <v>7744</v>
      </c>
      <c r="Q48" s="19">
        <v>46203</v>
      </c>
      <c r="R48" s="2"/>
      <c r="S48" s="19"/>
      <c r="T48" s="2"/>
      <c r="U48" s="2" t="s">
        <v>6152</v>
      </c>
      <c r="V48" s="20"/>
      <c r="W48" s="20"/>
      <c r="X48" s="19"/>
      <c r="Y48" s="2"/>
      <c r="Z48" s="2"/>
      <c r="AA48" s="2"/>
      <c r="AB48" s="2"/>
      <c r="AC48" s="2"/>
    </row>
    <row r="49" spans="1:29" x14ac:dyDescent="0.2">
      <c r="A49" s="173" t="s">
        <v>7443</v>
      </c>
      <c r="B49" s="176" t="s">
        <v>7444</v>
      </c>
      <c r="C49" s="176" t="s">
        <v>7445</v>
      </c>
      <c r="D49" s="180">
        <v>45868</v>
      </c>
      <c r="E49" s="176">
        <v>120</v>
      </c>
      <c r="F49" s="183"/>
      <c r="G49" s="2" t="s">
        <v>7676</v>
      </c>
      <c r="H49" s="2" t="s">
        <v>582</v>
      </c>
      <c r="I49" s="2" t="s">
        <v>2716</v>
      </c>
      <c r="J49" s="2" t="s">
        <v>2713</v>
      </c>
      <c r="K49" s="2" t="s">
        <v>532</v>
      </c>
      <c r="L49" s="2" t="s">
        <v>7446</v>
      </c>
      <c r="M49" s="19" t="s">
        <v>87</v>
      </c>
      <c r="N49" s="187"/>
      <c r="O49" s="2">
        <v>0</v>
      </c>
      <c r="P49" s="2"/>
      <c r="Q49" s="19">
        <v>45991</v>
      </c>
      <c r="R49" s="189"/>
      <c r="S49" s="189"/>
      <c r="T49" s="189"/>
      <c r="U49" s="189"/>
      <c r="V49" s="194"/>
      <c r="W49" s="194"/>
      <c r="X49" s="189"/>
      <c r="Y49" s="189"/>
      <c r="Z49" s="189"/>
      <c r="AA49" s="189"/>
      <c r="AB49" s="189"/>
      <c r="AC49" s="189"/>
    </row>
    <row r="50" spans="1:29" x14ac:dyDescent="0.2">
      <c r="A50" s="129" t="s">
        <v>7447</v>
      </c>
      <c r="B50" s="2" t="s">
        <v>7372</v>
      </c>
      <c r="C50" s="2" t="s">
        <v>7448</v>
      </c>
      <c r="D50" s="19">
        <v>45898</v>
      </c>
      <c r="E50" s="2">
        <v>400</v>
      </c>
      <c r="F50" s="2" t="s">
        <v>7704</v>
      </c>
      <c r="G50" s="2" t="s">
        <v>7676</v>
      </c>
      <c r="H50" s="2" t="s">
        <v>582</v>
      </c>
      <c r="I50" s="2" t="s">
        <v>2737</v>
      </c>
      <c r="J50" s="2" t="s">
        <v>2713</v>
      </c>
      <c r="K50" s="2" t="s">
        <v>530</v>
      </c>
      <c r="L50" s="2" t="s">
        <v>7449</v>
      </c>
      <c r="M50" s="2" t="s">
        <v>41</v>
      </c>
      <c r="N50" s="2" t="s">
        <v>7620</v>
      </c>
      <c r="O50" s="2">
        <v>5</v>
      </c>
      <c r="P50" s="2" t="s">
        <v>7742</v>
      </c>
      <c r="Q50" s="19">
        <v>46142</v>
      </c>
      <c r="R50" s="2"/>
      <c r="S50" s="19"/>
      <c r="T50" s="2"/>
      <c r="U50" s="2" t="s">
        <v>6211</v>
      </c>
      <c r="V50" s="20"/>
      <c r="W50" s="20"/>
      <c r="X50" s="19"/>
      <c r="Y50" s="2"/>
      <c r="Z50" s="2"/>
      <c r="AA50" s="2"/>
      <c r="AB50" s="2"/>
      <c r="AC50" s="2"/>
    </row>
    <row r="51" spans="1:29" x14ac:dyDescent="0.2">
      <c r="A51" s="129" t="s">
        <v>7450</v>
      </c>
      <c r="B51" s="2" t="s">
        <v>7451</v>
      </c>
      <c r="C51" s="2" t="s">
        <v>7452</v>
      </c>
      <c r="D51" s="19">
        <v>45898</v>
      </c>
      <c r="E51" s="2">
        <v>500</v>
      </c>
      <c r="F51" s="2" t="s">
        <v>7704</v>
      </c>
      <c r="G51" s="2" t="s">
        <v>7676</v>
      </c>
      <c r="H51" s="2" t="s">
        <v>582</v>
      </c>
      <c r="I51" s="2" t="s">
        <v>2722</v>
      </c>
      <c r="J51" s="2" t="s">
        <v>2713</v>
      </c>
      <c r="K51" s="2" t="s">
        <v>531</v>
      </c>
      <c r="L51" s="2" t="s">
        <v>7621</v>
      </c>
      <c r="M51" s="2" t="s">
        <v>157</v>
      </c>
      <c r="N51" s="2"/>
      <c r="O51" s="2">
        <v>4</v>
      </c>
      <c r="P51" s="2"/>
      <c r="Q51" s="19">
        <v>46203</v>
      </c>
      <c r="R51" s="2"/>
      <c r="S51" s="19"/>
      <c r="T51" s="2"/>
      <c r="U51" s="2" t="s">
        <v>4516</v>
      </c>
      <c r="V51" s="20"/>
      <c r="W51" s="20"/>
      <c r="X51" s="19"/>
      <c r="Y51" s="2"/>
      <c r="Z51" s="2"/>
      <c r="AA51" s="2"/>
      <c r="AB51" s="2"/>
      <c r="AC51" s="2"/>
    </row>
    <row r="52" spans="1:29" x14ac:dyDescent="0.2">
      <c r="A52" s="129" t="s">
        <v>7453</v>
      </c>
      <c r="B52" s="2" t="s">
        <v>7454</v>
      </c>
      <c r="C52" s="2" t="s">
        <v>7455</v>
      </c>
      <c r="D52" s="19">
        <v>45902</v>
      </c>
      <c r="E52" s="2">
        <v>860</v>
      </c>
      <c r="F52" s="2" t="s">
        <v>7706</v>
      </c>
      <c r="G52" s="2" t="s">
        <v>7676</v>
      </c>
      <c r="H52" s="2" t="s">
        <v>582</v>
      </c>
      <c r="I52" s="2" t="s">
        <v>2800</v>
      </c>
      <c r="J52" s="2" t="s">
        <v>2713</v>
      </c>
      <c r="K52" s="2" t="s">
        <v>530</v>
      </c>
      <c r="L52" s="2" t="s">
        <v>7456</v>
      </c>
      <c r="M52" s="2" t="s">
        <v>41</v>
      </c>
      <c r="N52" s="2"/>
      <c r="O52" s="2">
        <v>4</v>
      </c>
      <c r="P52" s="2" t="s">
        <v>7745</v>
      </c>
      <c r="Q52" s="19">
        <v>46142</v>
      </c>
      <c r="R52" s="2"/>
      <c r="S52" s="19"/>
      <c r="T52" s="2"/>
      <c r="U52" s="2" t="s">
        <v>6145</v>
      </c>
      <c r="V52" s="20"/>
      <c r="W52" s="20"/>
      <c r="X52" s="19"/>
      <c r="Y52" s="2"/>
      <c r="Z52" s="2"/>
      <c r="AA52" s="2"/>
      <c r="AB52" s="2"/>
      <c r="AC52" s="2"/>
    </row>
    <row r="53" spans="1:29" s="167" customFormat="1" x14ac:dyDescent="0.2">
      <c r="A53" s="163" t="s">
        <v>7457</v>
      </c>
      <c r="B53" s="85" t="s">
        <v>7454</v>
      </c>
      <c r="C53" s="85" t="s">
        <v>7458</v>
      </c>
      <c r="D53" s="164">
        <v>45902</v>
      </c>
      <c r="E53" s="85">
        <v>1935</v>
      </c>
      <c r="F53" s="85" t="s">
        <v>7706</v>
      </c>
      <c r="G53" s="2" t="s">
        <v>7676</v>
      </c>
      <c r="H53" s="85" t="s">
        <v>582</v>
      </c>
      <c r="I53" s="85" t="s">
        <v>2800</v>
      </c>
      <c r="J53" s="85" t="s">
        <v>2713</v>
      </c>
      <c r="K53" s="85" t="s">
        <v>420</v>
      </c>
      <c r="L53" s="85" t="s">
        <v>7459</v>
      </c>
      <c r="M53" s="85" t="s">
        <v>41</v>
      </c>
      <c r="N53" s="85"/>
      <c r="O53" s="85">
        <v>4</v>
      </c>
      <c r="P53" s="85" t="s">
        <v>7745</v>
      </c>
      <c r="Q53" s="19">
        <v>46053</v>
      </c>
      <c r="R53" s="85"/>
      <c r="S53" s="164"/>
      <c r="T53" s="85"/>
      <c r="U53" s="85" t="s">
        <v>6271</v>
      </c>
      <c r="V53" s="164"/>
      <c r="W53" s="164"/>
      <c r="X53" s="164"/>
      <c r="Y53" s="85"/>
      <c r="Z53" s="85"/>
      <c r="AA53" s="85"/>
      <c r="AB53" s="85"/>
      <c r="AC53" s="85"/>
    </row>
    <row r="54" spans="1:29" s="167" customFormat="1" x14ac:dyDescent="0.2">
      <c r="A54" s="166" t="s">
        <v>7548</v>
      </c>
      <c r="B54" s="60" t="s">
        <v>7549</v>
      </c>
      <c r="C54" s="60" t="s">
        <v>7550</v>
      </c>
      <c r="D54" s="165">
        <v>45905</v>
      </c>
      <c r="E54" s="60">
        <v>300</v>
      </c>
      <c r="F54" s="64"/>
      <c r="G54" s="2" t="s">
        <v>7676</v>
      </c>
      <c r="H54" s="85" t="s">
        <v>582</v>
      </c>
      <c r="I54" s="85" t="s">
        <v>2716</v>
      </c>
      <c r="J54" s="85" t="s">
        <v>2713</v>
      </c>
      <c r="K54" s="85" t="s">
        <v>532</v>
      </c>
      <c r="L54" s="85" t="s">
        <v>7551</v>
      </c>
      <c r="M54" s="164" t="s">
        <v>87</v>
      </c>
      <c r="N54" s="63"/>
      <c r="O54" s="85">
        <v>0</v>
      </c>
      <c r="P54" s="85"/>
      <c r="Q54" s="19">
        <v>45991</v>
      </c>
      <c r="R54"/>
      <c r="S54"/>
      <c r="T54"/>
      <c r="U54"/>
      <c r="V54"/>
      <c r="W54"/>
      <c r="X54"/>
      <c r="Y54"/>
      <c r="Z54"/>
      <c r="AA54"/>
      <c r="AB54"/>
      <c r="AC54"/>
    </row>
    <row r="55" spans="1:29" s="167" customFormat="1" x14ac:dyDescent="0.2">
      <c r="A55" s="163" t="s">
        <v>7552</v>
      </c>
      <c r="B55" s="85" t="s">
        <v>7553</v>
      </c>
      <c r="C55" s="85" t="s">
        <v>7554</v>
      </c>
      <c r="D55" s="164">
        <v>45939</v>
      </c>
      <c r="E55" s="85">
        <v>250</v>
      </c>
      <c r="F55" s="85" t="s">
        <v>7704</v>
      </c>
      <c r="G55" s="2" t="s">
        <v>7676</v>
      </c>
      <c r="H55" s="85" t="s">
        <v>582</v>
      </c>
      <c r="I55" s="85" t="s">
        <v>4276</v>
      </c>
      <c r="J55" s="85" t="s">
        <v>2713</v>
      </c>
      <c r="K55" s="85" t="s">
        <v>530</v>
      </c>
      <c r="L55" s="85" t="s">
        <v>7555</v>
      </c>
      <c r="M55" s="85" t="s">
        <v>41</v>
      </c>
      <c r="N55" s="85"/>
      <c r="O55" s="85">
        <v>4</v>
      </c>
      <c r="P55" s="85" t="s">
        <v>7745</v>
      </c>
      <c r="Q55" s="19">
        <v>46053</v>
      </c>
      <c r="R55" s="85"/>
      <c r="S55" s="164"/>
      <c r="T55" s="85"/>
      <c r="U55" s="85" t="s">
        <v>4088</v>
      </c>
      <c r="V55" s="164"/>
      <c r="W55" s="164"/>
      <c r="X55" s="164"/>
      <c r="Y55" s="85"/>
      <c r="Z55" s="85"/>
      <c r="AA55" s="85"/>
      <c r="AB55" s="85"/>
      <c r="AC55" s="85"/>
    </row>
    <row r="56" spans="1:29" s="167" customFormat="1" x14ac:dyDescent="0.2">
      <c r="A56" s="163" t="s">
        <v>7556</v>
      </c>
      <c r="B56" s="85" t="s">
        <v>7557</v>
      </c>
      <c r="C56" s="85" t="s">
        <v>7558</v>
      </c>
      <c r="D56" s="164">
        <v>45945</v>
      </c>
      <c r="E56" s="85">
        <v>50</v>
      </c>
      <c r="F56" s="85" t="s">
        <v>6715</v>
      </c>
      <c r="G56" s="2" t="s">
        <v>7676</v>
      </c>
      <c r="H56" s="85" t="s">
        <v>582</v>
      </c>
      <c r="I56" s="85" t="s">
        <v>2742</v>
      </c>
      <c r="J56" s="85" t="s">
        <v>2713</v>
      </c>
      <c r="K56" s="85" t="s">
        <v>393</v>
      </c>
      <c r="L56" s="85" t="s">
        <v>7559</v>
      </c>
      <c r="M56" s="85" t="s">
        <v>194</v>
      </c>
      <c r="N56" s="85" t="s">
        <v>41</v>
      </c>
      <c r="O56" s="85">
        <v>4</v>
      </c>
      <c r="P56" s="85" t="s">
        <v>7746</v>
      </c>
      <c r="Q56" s="19">
        <v>46081</v>
      </c>
      <c r="R56" s="85"/>
      <c r="S56" s="164"/>
      <c r="T56" s="85"/>
      <c r="U56" s="85" t="s">
        <v>6104</v>
      </c>
      <c r="V56" s="164"/>
      <c r="W56" s="164"/>
      <c r="X56" s="164"/>
      <c r="Y56" s="85"/>
      <c r="Z56" s="85"/>
      <c r="AA56" s="85"/>
      <c r="AB56" s="85"/>
      <c r="AC56" s="85"/>
    </row>
    <row r="57" spans="1:29" x14ac:dyDescent="0.2">
      <c r="A57" s="163" t="s">
        <v>7560</v>
      </c>
      <c r="B57" s="85" t="s">
        <v>7615</v>
      </c>
      <c r="C57" s="85" t="s">
        <v>7561</v>
      </c>
      <c r="D57" s="164">
        <v>45947</v>
      </c>
      <c r="E57" s="85">
        <v>200</v>
      </c>
      <c r="F57" s="85" t="s">
        <v>7706</v>
      </c>
      <c r="G57" s="2" t="s">
        <v>7676</v>
      </c>
      <c r="H57" s="2" t="s">
        <v>582</v>
      </c>
      <c r="I57" s="2" t="s">
        <v>2722</v>
      </c>
      <c r="J57" s="2" t="s">
        <v>2713</v>
      </c>
      <c r="K57" s="2" t="s">
        <v>531</v>
      </c>
      <c r="L57" s="2" t="s">
        <v>7642</v>
      </c>
      <c r="M57" s="2" t="s">
        <v>194</v>
      </c>
      <c r="N57" s="85"/>
      <c r="O57" s="2">
        <v>4</v>
      </c>
      <c r="P57" s="85"/>
      <c r="Q57" s="19">
        <v>46203</v>
      </c>
      <c r="R57" s="85"/>
      <c r="S57" s="164"/>
      <c r="T57" s="85"/>
      <c r="U57" s="85" t="s">
        <v>4168</v>
      </c>
      <c r="V57" s="164"/>
      <c r="W57" s="164"/>
      <c r="X57" s="164"/>
      <c r="Y57" s="85"/>
      <c r="Z57" s="85"/>
      <c r="AA57" s="85"/>
      <c r="AB57" s="85"/>
      <c r="AC57" s="85"/>
    </row>
    <row r="58" spans="1:29" x14ac:dyDescent="0.2">
      <c r="A58" s="163" t="s">
        <v>7562</v>
      </c>
      <c r="B58" s="85" t="s">
        <v>7615</v>
      </c>
      <c r="C58" s="85" t="s">
        <v>7563</v>
      </c>
      <c r="D58" s="164">
        <v>45947</v>
      </c>
      <c r="E58" s="85">
        <v>200</v>
      </c>
      <c r="F58" s="85" t="s">
        <v>7706</v>
      </c>
      <c r="G58" s="2" t="s">
        <v>7676</v>
      </c>
      <c r="H58" s="2" t="s">
        <v>582</v>
      </c>
      <c r="I58" s="2" t="s">
        <v>7564</v>
      </c>
      <c r="J58" s="2" t="s">
        <v>2713</v>
      </c>
      <c r="K58" s="2" t="s">
        <v>531</v>
      </c>
      <c r="L58" s="2" t="s">
        <v>7642</v>
      </c>
      <c r="M58" s="2" t="s">
        <v>194</v>
      </c>
      <c r="N58" s="85"/>
      <c r="O58" s="2">
        <v>4</v>
      </c>
      <c r="P58" s="85"/>
      <c r="Q58" s="19">
        <v>46203</v>
      </c>
      <c r="R58" s="85"/>
      <c r="S58" s="164"/>
      <c r="T58" s="85"/>
      <c r="U58" s="85" t="s">
        <v>4168</v>
      </c>
      <c r="V58" s="164"/>
      <c r="W58" s="164"/>
      <c r="X58" s="164"/>
      <c r="Y58" s="85"/>
      <c r="Z58" s="85"/>
      <c r="AA58" s="85"/>
      <c r="AB58" s="85"/>
      <c r="AC58" s="85"/>
    </row>
    <row r="59" spans="1:29" x14ac:dyDescent="0.2">
      <c r="A59" s="163" t="s">
        <v>7565</v>
      </c>
      <c r="B59" s="85" t="s">
        <v>7615</v>
      </c>
      <c r="C59" s="85" t="s">
        <v>7566</v>
      </c>
      <c r="D59" s="164">
        <v>45947</v>
      </c>
      <c r="E59" s="85">
        <v>200</v>
      </c>
      <c r="F59" s="85" t="s">
        <v>7706</v>
      </c>
      <c r="G59" s="2" t="s">
        <v>7676</v>
      </c>
      <c r="H59" s="2" t="s">
        <v>582</v>
      </c>
      <c r="I59" s="2" t="s">
        <v>7567</v>
      </c>
      <c r="J59" s="2" t="s">
        <v>2713</v>
      </c>
      <c r="K59" s="2" t="s">
        <v>531</v>
      </c>
      <c r="L59" s="2" t="s">
        <v>7643</v>
      </c>
      <c r="M59" s="2" t="s">
        <v>194</v>
      </c>
      <c r="N59" s="85" t="s">
        <v>41</v>
      </c>
      <c r="O59" s="2">
        <v>4</v>
      </c>
      <c r="P59" s="85"/>
      <c r="Q59" s="19">
        <v>46203</v>
      </c>
      <c r="R59" s="85"/>
      <c r="S59" s="164"/>
      <c r="T59" s="85"/>
      <c r="U59" s="85" t="s">
        <v>4113</v>
      </c>
      <c r="V59" s="164"/>
      <c r="W59" s="164"/>
      <c r="X59" s="164"/>
      <c r="Y59" s="85"/>
      <c r="Z59" s="85"/>
      <c r="AA59" s="85"/>
      <c r="AB59" s="85"/>
      <c r="AC59" s="85"/>
    </row>
    <row r="60" spans="1:29" x14ac:dyDescent="0.2">
      <c r="A60" s="163" t="s">
        <v>7568</v>
      </c>
      <c r="B60" s="85" t="s">
        <v>7569</v>
      </c>
      <c r="C60" s="85" t="s">
        <v>7570</v>
      </c>
      <c r="D60" s="164">
        <v>45951</v>
      </c>
      <c r="E60" s="85">
        <v>60</v>
      </c>
      <c r="F60" s="85" t="s">
        <v>7717</v>
      </c>
      <c r="G60" s="2" t="s">
        <v>7676</v>
      </c>
      <c r="H60" s="2" t="s">
        <v>582</v>
      </c>
      <c r="I60" s="2" t="s">
        <v>2759</v>
      </c>
      <c r="J60" s="2" t="s">
        <v>2713</v>
      </c>
      <c r="K60" s="2" t="s">
        <v>471</v>
      </c>
      <c r="L60" s="2" t="s">
        <v>7571</v>
      </c>
      <c r="M60" s="2" t="s">
        <v>157</v>
      </c>
      <c r="N60" s="85"/>
      <c r="O60" s="2">
        <v>4</v>
      </c>
      <c r="P60" s="2"/>
      <c r="Q60" s="19">
        <v>46022</v>
      </c>
      <c r="R60" s="85"/>
      <c r="S60" s="164"/>
      <c r="T60" s="85"/>
      <c r="U60" s="85" t="s">
        <v>4168</v>
      </c>
      <c r="V60" s="164"/>
      <c r="W60" s="164"/>
      <c r="X60" s="164"/>
      <c r="Y60" s="85"/>
      <c r="Z60" s="85"/>
      <c r="AA60" s="85"/>
      <c r="AB60" s="85"/>
      <c r="AC60" s="85"/>
    </row>
    <row r="61" spans="1:29" x14ac:dyDescent="0.2">
      <c r="A61" s="163" t="s">
        <v>7572</v>
      </c>
      <c r="B61" s="85" t="s">
        <v>7748</v>
      </c>
      <c r="C61" s="85" t="s">
        <v>7638</v>
      </c>
      <c r="D61" s="164">
        <v>45951</v>
      </c>
      <c r="E61" s="85">
        <v>200</v>
      </c>
      <c r="F61" s="85" t="s">
        <v>7704</v>
      </c>
      <c r="G61" s="2" t="s">
        <v>7676</v>
      </c>
      <c r="H61" s="2" t="s">
        <v>582</v>
      </c>
      <c r="I61" s="2" t="s">
        <v>7573</v>
      </c>
      <c r="J61" s="2" t="s">
        <v>2713</v>
      </c>
      <c r="K61" s="2" t="s">
        <v>420</v>
      </c>
      <c r="L61" s="2" t="s">
        <v>7574</v>
      </c>
      <c r="M61" s="2" t="s">
        <v>41</v>
      </c>
      <c r="N61" s="85"/>
      <c r="O61" s="2">
        <v>4</v>
      </c>
      <c r="P61" s="85" t="s">
        <v>7745</v>
      </c>
      <c r="Q61" s="19">
        <v>46203</v>
      </c>
      <c r="R61" s="85"/>
      <c r="S61" s="164"/>
      <c r="T61" s="85"/>
      <c r="U61" s="85" t="s">
        <v>6093</v>
      </c>
      <c r="V61" s="164"/>
      <c r="W61" s="164"/>
      <c r="X61" s="164"/>
      <c r="Y61" s="85"/>
      <c r="Z61" s="85"/>
      <c r="AA61" s="85"/>
      <c r="AB61" s="85"/>
      <c r="AC61" s="85"/>
    </row>
    <row r="62" spans="1:29" x14ac:dyDescent="0.2">
      <c r="A62" s="163" t="s">
        <v>7575</v>
      </c>
      <c r="B62" s="85" t="s">
        <v>7576</v>
      </c>
      <c r="C62" s="85" t="s">
        <v>7577</v>
      </c>
      <c r="D62" s="164">
        <v>45960</v>
      </c>
      <c r="E62" s="85">
        <v>250</v>
      </c>
      <c r="F62" s="85" t="s">
        <v>7717</v>
      </c>
      <c r="G62" s="2" t="s">
        <v>7676</v>
      </c>
      <c r="H62" s="2" t="s">
        <v>582</v>
      </c>
      <c r="I62" s="2" t="s">
        <v>2763</v>
      </c>
      <c r="J62" s="2" t="s">
        <v>2713</v>
      </c>
      <c r="K62" s="2" t="s">
        <v>393</v>
      </c>
      <c r="L62" s="2" t="s">
        <v>7578</v>
      </c>
      <c r="M62" s="2" t="s">
        <v>34</v>
      </c>
      <c r="N62" s="85" t="s">
        <v>7646</v>
      </c>
      <c r="O62" s="2">
        <v>4</v>
      </c>
      <c r="P62" s="85" t="s">
        <v>7746</v>
      </c>
      <c r="Q62" s="19">
        <v>46053</v>
      </c>
      <c r="R62" s="85"/>
      <c r="S62" s="164"/>
      <c r="T62" s="85"/>
      <c r="U62" s="85" t="s">
        <v>6145</v>
      </c>
      <c r="V62" s="164"/>
      <c r="W62" s="164"/>
      <c r="X62" s="164"/>
      <c r="Y62" s="85"/>
      <c r="Z62" s="85"/>
      <c r="AA62" s="85"/>
      <c r="AB62" s="85"/>
      <c r="AC62" s="85"/>
    </row>
    <row r="63" spans="1:29" x14ac:dyDescent="0.2">
      <c r="A63" s="163" t="s">
        <v>7579</v>
      </c>
      <c r="B63" s="85" t="s">
        <v>7652</v>
      </c>
      <c r="C63" s="85" t="s">
        <v>7653</v>
      </c>
      <c r="D63" s="164">
        <v>45965</v>
      </c>
      <c r="E63" s="85">
        <v>20</v>
      </c>
      <c r="F63" s="85" t="s">
        <v>7717</v>
      </c>
      <c r="G63" s="2" t="s">
        <v>7676</v>
      </c>
      <c r="H63" s="2" t="s">
        <v>582</v>
      </c>
      <c r="I63" s="2" t="s">
        <v>2759</v>
      </c>
      <c r="J63" s="2" t="s">
        <v>2713</v>
      </c>
      <c r="K63" s="2" t="s">
        <v>471</v>
      </c>
      <c r="L63" s="2" t="s">
        <v>7580</v>
      </c>
      <c r="M63" s="2" t="s">
        <v>194</v>
      </c>
      <c r="N63" s="85"/>
      <c r="O63" s="2">
        <v>4</v>
      </c>
      <c r="P63" s="85"/>
      <c r="Q63" s="19">
        <v>46173</v>
      </c>
      <c r="R63" s="85"/>
      <c r="S63" s="164"/>
      <c r="T63" s="85"/>
      <c r="U63" s="85" t="s">
        <v>5701</v>
      </c>
      <c r="V63" s="164"/>
      <c r="W63" s="164"/>
      <c r="X63" s="164"/>
      <c r="Y63" s="85"/>
      <c r="Z63" s="85"/>
      <c r="AA63" s="85"/>
      <c r="AB63" s="85"/>
      <c r="AC63" s="85"/>
    </row>
    <row r="64" spans="1:29" x14ac:dyDescent="0.2">
      <c r="A64" s="163" t="s">
        <v>7581</v>
      </c>
      <c r="B64" s="85" t="s">
        <v>7582</v>
      </c>
      <c r="C64" s="85" t="s">
        <v>7583</v>
      </c>
      <c r="D64" s="164">
        <v>45972</v>
      </c>
      <c r="E64" s="85">
        <v>180</v>
      </c>
      <c r="F64" s="85" t="s">
        <v>7704</v>
      </c>
      <c r="G64" s="2" t="s">
        <v>7676</v>
      </c>
      <c r="H64" s="2" t="s">
        <v>582</v>
      </c>
      <c r="I64" s="2" t="s">
        <v>2759</v>
      </c>
      <c r="J64" s="2" t="s">
        <v>2713</v>
      </c>
      <c r="K64" s="2" t="s">
        <v>471</v>
      </c>
      <c r="L64" s="2" t="s">
        <v>7622</v>
      </c>
      <c r="M64" s="2" t="s">
        <v>194</v>
      </c>
      <c r="N64" s="85"/>
      <c r="O64" s="2">
        <v>4</v>
      </c>
      <c r="P64" s="85"/>
      <c r="Q64" s="19">
        <v>46053</v>
      </c>
      <c r="R64" s="85"/>
      <c r="S64" s="164"/>
      <c r="T64" s="85"/>
      <c r="U64" s="85" t="s">
        <v>4174</v>
      </c>
      <c r="V64" s="164"/>
      <c r="W64" s="164"/>
      <c r="X64" s="164"/>
      <c r="Y64" s="85"/>
      <c r="Z64" s="85"/>
      <c r="AA64" s="85"/>
      <c r="AB64" s="85"/>
      <c r="AC64" s="85"/>
    </row>
    <row r="65" spans="1:31" x14ac:dyDescent="0.2">
      <c r="A65" s="163" t="s">
        <v>7599</v>
      </c>
      <c r="B65" s="85" t="s">
        <v>7600</v>
      </c>
      <c r="C65" s="85" t="s">
        <v>7601</v>
      </c>
      <c r="D65" s="164">
        <v>46009</v>
      </c>
      <c r="E65" s="85">
        <v>45</v>
      </c>
      <c r="F65" s="85" t="s">
        <v>7717</v>
      </c>
      <c r="G65" s="2" t="s">
        <v>7676</v>
      </c>
      <c r="H65" s="2" t="s">
        <v>582</v>
      </c>
      <c r="I65" s="2" t="s">
        <v>2759</v>
      </c>
      <c r="J65" s="2" t="s">
        <v>2713</v>
      </c>
      <c r="K65" s="2" t="s">
        <v>471</v>
      </c>
      <c r="L65" s="2" t="s">
        <v>7602</v>
      </c>
      <c r="M65" s="2" t="s">
        <v>194</v>
      </c>
      <c r="N65" s="85"/>
      <c r="O65" s="2">
        <v>4</v>
      </c>
      <c r="P65" s="85"/>
      <c r="Q65" s="19">
        <v>46053</v>
      </c>
      <c r="R65" s="85"/>
      <c r="S65" s="164"/>
      <c r="T65" s="85"/>
      <c r="U65" s="85" t="s">
        <v>4932</v>
      </c>
      <c r="V65" s="164"/>
      <c r="W65" s="164"/>
      <c r="X65" s="164"/>
      <c r="Y65" s="85"/>
      <c r="Z65" s="85"/>
      <c r="AA65" s="85"/>
      <c r="AB65" s="85"/>
      <c r="AC65" s="85"/>
    </row>
    <row r="66" spans="1:31" x14ac:dyDescent="0.2">
      <c r="A66" s="166" t="s">
        <v>7603</v>
      </c>
      <c r="B66" s="60" t="s">
        <v>7600</v>
      </c>
      <c r="C66" s="60" t="s">
        <v>7604</v>
      </c>
      <c r="D66" s="165">
        <v>46009</v>
      </c>
      <c r="E66" s="60">
        <v>90</v>
      </c>
      <c r="F66" s="64"/>
      <c r="G66" s="2" t="s">
        <v>7676</v>
      </c>
      <c r="H66" s="2" t="s">
        <v>582</v>
      </c>
      <c r="I66" s="2" t="s">
        <v>2759</v>
      </c>
      <c r="J66" s="2" t="s">
        <v>2713</v>
      </c>
      <c r="K66" s="2" t="s">
        <v>471</v>
      </c>
      <c r="L66" s="2" t="s">
        <v>7602</v>
      </c>
      <c r="M66" s="19" t="s">
        <v>194</v>
      </c>
      <c r="N66" s="63"/>
      <c r="O66" s="2">
        <v>0</v>
      </c>
      <c r="P66" s="85"/>
      <c r="Q66" s="19">
        <v>46053</v>
      </c>
    </row>
    <row r="67" spans="1:31" x14ac:dyDescent="0.2">
      <c r="A67" s="166" t="s">
        <v>7608</v>
      </c>
      <c r="B67" s="60" t="s">
        <v>7609</v>
      </c>
      <c r="C67" s="60" t="s">
        <v>7610</v>
      </c>
      <c r="D67" s="165">
        <v>46029</v>
      </c>
      <c r="E67" s="60">
        <v>1000</v>
      </c>
      <c r="F67" s="64"/>
      <c r="G67" s="2" t="s">
        <v>7676</v>
      </c>
      <c r="H67" s="2" t="s">
        <v>582</v>
      </c>
      <c r="I67" s="2" t="s">
        <v>2777</v>
      </c>
      <c r="J67" s="2" t="s">
        <v>2713</v>
      </c>
      <c r="K67" s="2" t="s">
        <v>471</v>
      </c>
      <c r="L67" s="2" t="s">
        <v>4816</v>
      </c>
      <c r="M67" s="19" t="s">
        <v>194</v>
      </c>
      <c r="N67" s="63"/>
      <c r="O67" s="2">
        <v>0</v>
      </c>
      <c r="P67" s="85"/>
      <c r="Q67" s="19">
        <v>46053</v>
      </c>
    </row>
    <row r="68" spans="1:31" x14ac:dyDescent="0.2">
      <c r="A68" s="163" t="s">
        <v>7624</v>
      </c>
      <c r="B68" s="85" t="s">
        <v>7625</v>
      </c>
      <c r="C68" s="85" t="s">
        <v>7626</v>
      </c>
      <c r="D68" s="164">
        <v>46051</v>
      </c>
      <c r="E68" s="85">
        <v>20</v>
      </c>
      <c r="F68" s="85" t="s">
        <v>7717</v>
      </c>
      <c r="G68" s="2" t="s">
        <v>7676</v>
      </c>
      <c r="H68" s="2" t="s">
        <v>582</v>
      </c>
      <c r="I68" s="2" t="s">
        <v>2721</v>
      </c>
      <c r="J68" s="2" t="s">
        <v>2713</v>
      </c>
      <c r="K68" s="2" t="s">
        <v>471</v>
      </c>
      <c r="L68" s="2" t="s">
        <v>7627</v>
      </c>
      <c r="M68" s="2" t="s">
        <v>194</v>
      </c>
      <c r="N68" s="85"/>
      <c r="O68" s="2">
        <v>4</v>
      </c>
      <c r="P68" s="85"/>
      <c r="Q68" s="19">
        <v>46112</v>
      </c>
      <c r="R68" s="85"/>
      <c r="S68" s="164"/>
      <c r="T68" s="85"/>
      <c r="U68" s="85" t="s">
        <v>6210</v>
      </c>
      <c r="V68" s="164"/>
      <c r="W68" s="164"/>
      <c r="X68" s="164"/>
      <c r="Y68" s="85"/>
      <c r="Z68" s="85"/>
      <c r="AA68" s="85"/>
      <c r="AB68" s="85"/>
      <c r="AC68" s="85"/>
    </row>
    <row r="69" spans="1:31" x14ac:dyDescent="0.2">
      <c r="A69" s="163" t="s">
        <v>7629</v>
      </c>
      <c r="B69" s="85" t="s">
        <v>7630</v>
      </c>
      <c r="C69" s="85" t="s">
        <v>7631</v>
      </c>
      <c r="D69" s="164">
        <v>46106</v>
      </c>
      <c r="E69" s="85">
        <v>40</v>
      </c>
      <c r="F69" s="85" t="s">
        <v>7713</v>
      </c>
      <c r="G69" s="2" t="s">
        <v>7676</v>
      </c>
      <c r="H69" s="2" t="s">
        <v>582</v>
      </c>
      <c r="I69" s="2" t="s">
        <v>2723</v>
      </c>
      <c r="J69" s="2" t="s">
        <v>2713</v>
      </c>
      <c r="K69" s="2" t="s">
        <v>471</v>
      </c>
      <c r="L69" s="2" t="s">
        <v>7632</v>
      </c>
      <c r="M69" s="2" t="s">
        <v>194</v>
      </c>
      <c r="N69" s="85"/>
      <c r="O69" s="2">
        <v>4</v>
      </c>
      <c r="P69" s="85"/>
      <c r="Q69" s="19">
        <v>46203</v>
      </c>
      <c r="R69" s="85"/>
      <c r="S69" s="164"/>
      <c r="T69" s="85"/>
      <c r="U69" s="85" t="s">
        <v>4931</v>
      </c>
      <c r="V69" s="164"/>
      <c r="W69" s="164"/>
      <c r="X69" s="164"/>
      <c r="Y69" s="85"/>
      <c r="Z69" s="85"/>
      <c r="AA69" s="85"/>
      <c r="AB69" s="85"/>
      <c r="AC69" s="85"/>
    </row>
    <row r="70" spans="1:31" s="43" customFormat="1" ht="17.25" customHeight="1" x14ac:dyDescent="0.2">
      <c r="A70" s="163" t="s">
        <v>7633</v>
      </c>
      <c r="B70" s="85" t="s">
        <v>7634</v>
      </c>
      <c r="C70" s="85" t="s">
        <v>7635</v>
      </c>
      <c r="D70" s="164">
        <v>46106</v>
      </c>
      <c r="E70" s="85">
        <v>150</v>
      </c>
      <c r="F70" s="85" t="s">
        <v>7704</v>
      </c>
      <c r="G70" s="2" t="s">
        <v>7676</v>
      </c>
      <c r="H70" s="85" t="s">
        <v>582</v>
      </c>
      <c r="I70" s="85" t="s">
        <v>2773</v>
      </c>
      <c r="J70" s="85" t="s">
        <v>2713</v>
      </c>
      <c r="K70" s="85" t="s">
        <v>539</v>
      </c>
      <c r="L70" s="85" t="s">
        <v>7636</v>
      </c>
      <c r="M70" s="85" t="s">
        <v>1025</v>
      </c>
      <c r="N70" s="85"/>
      <c r="O70" s="85">
        <v>5</v>
      </c>
      <c r="P70" s="85" t="s">
        <v>7744</v>
      </c>
      <c r="Q70" s="164">
        <v>46203</v>
      </c>
      <c r="R70" s="85"/>
      <c r="S70" s="164"/>
      <c r="T70" s="85"/>
      <c r="U70" s="85" t="s">
        <v>6152</v>
      </c>
      <c r="V70" s="164"/>
      <c r="W70" s="164"/>
      <c r="X70" s="164"/>
      <c r="Y70" s="85"/>
      <c r="Z70" s="85"/>
      <c r="AA70" s="85"/>
      <c r="AB70" s="85"/>
      <c r="AC70" s="85"/>
    </row>
    <row r="71" spans="1:31" s="102" customFormat="1" ht="17.100000000000001" customHeight="1" x14ac:dyDescent="0.2">
      <c r="A71" s="163" t="s">
        <v>7639</v>
      </c>
      <c r="B71" s="85" t="s">
        <v>7640</v>
      </c>
      <c r="C71" s="85" t="s">
        <v>7641</v>
      </c>
      <c r="D71" s="164">
        <v>46124</v>
      </c>
      <c r="E71" s="85">
        <v>150</v>
      </c>
      <c r="F71" s="85" t="s">
        <v>7704</v>
      </c>
      <c r="G71" s="2" t="s">
        <v>7676</v>
      </c>
      <c r="H71" s="85" t="s">
        <v>582</v>
      </c>
      <c r="I71" s="85" t="s">
        <v>7644</v>
      </c>
      <c r="J71" s="85" t="s">
        <v>2713</v>
      </c>
      <c r="K71" s="85" t="s">
        <v>393</v>
      </c>
      <c r="L71" s="85" t="s">
        <v>7645</v>
      </c>
      <c r="M71" s="85" t="s">
        <v>34</v>
      </c>
      <c r="N71" s="85"/>
      <c r="O71" s="85">
        <v>1</v>
      </c>
      <c r="P71" s="85"/>
      <c r="Q71" s="164"/>
      <c r="R71" s="85"/>
      <c r="S71" s="164"/>
      <c r="T71" s="85"/>
      <c r="U71" s="85" t="s">
        <v>4499</v>
      </c>
      <c r="V71" s="164"/>
      <c r="W71" s="164"/>
      <c r="X71" s="164"/>
      <c r="Y71" s="85"/>
      <c r="Z71" s="85"/>
      <c r="AA71" s="85"/>
      <c r="AB71" s="85"/>
      <c r="AC71" s="85"/>
    </row>
    <row r="72" spans="1:31" s="102" customFormat="1" ht="17.25" customHeight="1" x14ac:dyDescent="0.2">
      <c r="A72" s="163" t="s">
        <v>7678</v>
      </c>
      <c r="B72" s="85" t="s">
        <v>7679</v>
      </c>
      <c r="C72" s="85" t="s">
        <v>7680</v>
      </c>
      <c r="D72" s="164">
        <v>46154</v>
      </c>
      <c r="E72" s="85">
        <v>400</v>
      </c>
      <c r="F72" s="85" t="s">
        <v>7704</v>
      </c>
      <c r="G72" s="2" t="s">
        <v>7676</v>
      </c>
      <c r="H72" s="85" t="s">
        <v>582</v>
      </c>
      <c r="I72" s="85" t="s">
        <v>3300</v>
      </c>
      <c r="J72" s="85" t="s">
        <v>2749</v>
      </c>
      <c r="K72" s="85" t="s">
        <v>393</v>
      </c>
      <c r="L72" s="85" t="s">
        <v>7681</v>
      </c>
      <c r="M72" s="85" t="s">
        <v>34</v>
      </c>
      <c r="N72" s="85"/>
      <c r="O72" s="85">
        <v>4</v>
      </c>
      <c r="P72" s="85"/>
      <c r="Q72" s="164">
        <v>46203</v>
      </c>
      <c r="R72" s="85"/>
      <c r="S72" s="164"/>
      <c r="T72" s="85"/>
      <c r="U72" s="85" t="s">
        <v>6124</v>
      </c>
      <c r="V72" s="164"/>
      <c r="W72" s="164"/>
      <c r="X72" s="164"/>
      <c r="Y72" s="85"/>
      <c r="Z72" s="85"/>
      <c r="AA72" s="85"/>
      <c r="AB72" s="85"/>
      <c r="AC72" s="85"/>
    </row>
    <row r="73" spans="1:31" s="102" customFormat="1" ht="17.25" customHeight="1" x14ac:dyDescent="0.2">
      <c r="A73" s="163" t="s">
        <v>7682</v>
      </c>
      <c r="B73" s="85" t="s">
        <v>7683</v>
      </c>
      <c r="C73" s="85" t="s">
        <v>7684</v>
      </c>
      <c r="D73" s="164">
        <v>46171</v>
      </c>
      <c r="E73" s="85">
        <v>350</v>
      </c>
      <c r="F73" s="85" t="s">
        <v>7704</v>
      </c>
      <c r="G73" s="2" t="s">
        <v>7676</v>
      </c>
      <c r="H73" s="85" t="s">
        <v>582</v>
      </c>
      <c r="I73" s="85" t="s">
        <v>2748</v>
      </c>
      <c r="J73" s="85" t="s">
        <v>2749</v>
      </c>
      <c r="K73" s="85" t="s">
        <v>393</v>
      </c>
      <c r="L73" s="85" t="s">
        <v>7778</v>
      </c>
      <c r="M73" s="164" t="s">
        <v>34</v>
      </c>
      <c r="N73" s="85"/>
      <c r="O73" s="85">
        <v>4</v>
      </c>
      <c r="P73" s="85"/>
      <c r="Q73" s="164">
        <v>46203</v>
      </c>
      <c r="R73" s="85"/>
      <c r="S73" s="164"/>
      <c r="T73" s="85"/>
      <c r="U73" s="2" t="s">
        <v>6104</v>
      </c>
      <c r="V73" s="164"/>
      <c r="W73" s="164"/>
      <c r="X73" s="164"/>
      <c r="Y73" s="85"/>
      <c r="Z73" s="85"/>
      <c r="AA73" s="85"/>
      <c r="AB73" s="85"/>
      <c r="AC73" s="85"/>
    </row>
    <row r="74" spans="1:31" s="102" customFormat="1" ht="17.25" customHeight="1" x14ac:dyDescent="0.2">
      <c r="A74" s="163" t="s">
        <v>7772</v>
      </c>
      <c r="B74" s="85" t="s">
        <v>7773</v>
      </c>
      <c r="C74" s="85" t="s">
        <v>7774</v>
      </c>
      <c r="D74" s="164">
        <v>46219</v>
      </c>
      <c r="E74" s="85">
        <v>15</v>
      </c>
      <c r="F74" s="85"/>
      <c r="G74" s="2" t="s">
        <v>7676</v>
      </c>
      <c r="H74" s="2" t="s">
        <v>582</v>
      </c>
      <c r="I74" s="85" t="s">
        <v>7775</v>
      </c>
      <c r="J74" s="85" t="s">
        <v>2713</v>
      </c>
      <c r="K74" s="85" t="s">
        <v>530</v>
      </c>
      <c r="L74" s="85" t="s">
        <v>7776</v>
      </c>
      <c r="M74" s="85" t="s">
        <v>194</v>
      </c>
      <c r="N74" s="164"/>
      <c r="O74" s="85" t="s">
        <v>7777</v>
      </c>
      <c r="P74" s="85"/>
      <c r="Q74" s="164">
        <v>46234</v>
      </c>
      <c r="R74" s="85"/>
      <c r="S74" s="164"/>
      <c r="T74" s="85"/>
      <c r="U74" s="164" t="s">
        <v>4129</v>
      </c>
      <c r="V74" s="85"/>
      <c r="W74" s="2"/>
      <c r="X74" s="164"/>
      <c r="Y74" s="164"/>
      <c r="Z74" s="164"/>
      <c r="AA74" s="85"/>
      <c r="AB74" s="85"/>
      <c r="AC74" s="85"/>
      <c r="AD74" s="85"/>
      <c r="AE74" s="85"/>
    </row>
    <row r="75" spans="1:31" x14ac:dyDescent="0.2">
      <c r="A75" s="163"/>
      <c r="B75" s="85"/>
      <c r="C75" s="85"/>
      <c r="D75" s="164"/>
      <c r="E75" s="85"/>
      <c r="F75" s="85"/>
      <c r="G75" s="85"/>
      <c r="H75" s="85"/>
      <c r="I75" s="85"/>
      <c r="J75" s="85"/>
      <c r="K75" s="85"/>
      <c r="L75" s="85"/>
      <c r="M75" s="85"/>
      <c r="N75" s="85"/>
    </row>
    <row r="76" spans="1:31" x14ac:dyDescent="0.2">
      <c r="B76" s="129" t="s">
        <v>7724</v>
      </c>
      <c r="V76" s="19"/>
      <c r="W76" s="19"/>
      <c r="X76" s="2"/>
      <c r="Y76" s="2"/>
      <c r="Z76" s="2"/>
      <c r="AA76" s="2"/>
      <c r="AB76" s="2"/>
    </row>
    <row r="77" spans="1:31" x14ac:dyDescent="0.2">
      <c r="B77" s="2" t="s">
        <v>7725</v>
      </c>
      <c r="V77" s="19"/>
      <c r="W77" s="19"/>
      <c r="X77" s="2"/>
      <c r="Y77" s="2"/>
      <c r="Z77" s="2"/>
      <c r="AA77" s="2"/>
      <c r="AB77" s="2"/>
    </row>
    <row r="78" spans="1:31" x14ac:dyDescent="0.2">
      <c r="B78" s="2" t="s">
        <v>7726</v>
      </c>
      <c r="V78" s="19"/>
      <c r="W78" s="19"/>
      <c r="X78" s="2"/>
      <c r="Y78" s="2"/>
      <c r="Z78" s="2"/>
      <c r="AA78" s="2"/>
      <c r="AB78" s="2"/>
    </row>
    <row r="79" spans="1:31" x14ac:dyDescent="0.2">
      <c r="B79" s="2" t="s">
        <v>7727</v>
      </c>
      <c r="V79" s="19"/>
      <c r="W79" s="19"/>
      <c r="X79" s="2"/>
      <c r="Y79" s="2"/>
      <c r="Z79" s="2"/>
      <c r="AA79" s="2"/>
      <c r="AB79" s="2"/>
    </row>
    <row r="80" spans="1:31" x14ac:dyDescent="0.2">
      <c r="B80" s="2" t="s">
        <v>7728</v>
      </c>
      <c r="V80" s="19"/>
      <c r="W80" s="19"/>
      <c r="X80" s="2"/>
      <c r="Y80" s="2"/>
      <c r="Z80" s="2"/>
      <c r="AA80" s="2"/>
      <c r="AB80" s="2"/>
    </row>
    <row r="81" spans="1:2" x14ac:dyDescent="0.2">
      <c r="B81" s="2" t="s">
        <v>7729</v>
      </c>
    </row>
    <row r="82" spans="1:2" x14ac:dyDescent="0.2">
      <c r="B82" s="2" t="s">
        <v>7730</v>
      </c>
    </row>
    <row r="83" spans="1:2" x14ac:dyDescent="0.2">
      <c r="B83" s="2" t="s">
        <v>7731</v>
      </c>
    </row>
    <row r="84" spans="1:2" x14ac:dyDescent="0.2">
      <c r="B84" s="2" t="s">
        <v>7732</v>
      </c>
    </row>
    <row r="85" spans="1:2" x14ac:dyDescent="0.2">
      <c r="B85" s="2" t="s">
        <v>7733</v>
      </c>
    </row>
    <row r="86" spans="1:2" x14ac:dyDescent="0.2">
      <c r="B86" s="2" t="s">
        <v>7734</v>
      </c>
    </row>
    <row r="88" spans="1:2" x14ac:dyDescent="0.2">
      <c r="A88" s="162" t="s">
        <v>2815</v>
      </c>
      <c r="B88" s="8"/>
    </row>
    <row r="89" spans="1:2" x14ac:dyDescent="0.2">
      <c r="B89" s="8" t="s">
        <v>7752</v>
      </c>
    </row>
    <row r="90" spans="1:2" x14ac:dyDescent="0.2">
      <c r="B90" s="8" t="s">
        <v>5638</v>
      </c>
    </row>
    <row r="91" spans="1:2" x14ac:dyDescent="0.2">
      <c r="B91" s="8" t="s">
        <v>7735</v>
      </c>
    </row>
    <row r="92" spans="1:2" x14ac:dyDescent="0.2">
      <c r="B92" s="8" t="s">
        <v>7736</v>
      </c>
    </row>
    <row r="93" spans="1:2" x14ac:dyDescent="0.2">
      <c r="B93" s="8" t="s">
        <v>7737</v>
      </c>
    </row>
  </sheetData>
  <conditionalFormatting sqref="A1">
    <cfRule type="duplicateValues" dxfId="74" priority="23"/>
    <cfRule type="duplicateValues" dxfId="73" priority="24"/>
  </conditionalFormatting>
  <conditionalFormatting sqref="A53:A56">
    <cfRule type="duplicateValues" dxfId="72" priority="4"/>
    <cfRule type="duplicateValues" dxfId="71" priority="5"/>
    <cfRule type="duplicateValues" dxfId="70" priority="6"/>
    <cfRule type="duplicateValues" dxfId="69" priority="7"/>
    <cfRule type="duplicateValues" dxfId="68" priority="8"/>
    <cfRule type="duplicateValues" dxfId="67" priority="9"/>
  </conditionalFormatting>
  <conditionalFormatting sqref="A57:A69">
    <cfRule type="duplicateValues" dxfId="66" priority="1382"/>
    <cfRule type="duplicateValues" dxfId="65" priority="1383"/>
    <cfRule type="duplicateValues" dxfId="64" priority="1384"/>
    <cfRule type="duplicateValues" dxfId="63" priority="1385"/>
    <cfRule type="duplicateValues" dxfId="62" priority="1386"/>
    <cfRule type="duplicateValues" dxfId="61" priority="1387"/>
    <cfRule type="duplicateValues" dxfId="60" priority="1388"/>
  </conditionalFormatting>
  <conditionalFormatting sqref="A70:A74">
    <cfRule type="duplicateValues" dxfId="59" priority="1"/>
    <cfRule type="duplicateValues" dxfId="58" priority="2"/>
    <cfRule type="duplicateValues" dxfId="57" priority="3"/>
  </conditionalFormatting>
  <conditionalFormatting sqref="A75 A2:A52">
    <cfRule type="duplicateValues" dxfId="56" priority="1320"/>
    <cfRule type="duplicateValues" dxfId="55" priority="1321"/>
    <cfRule type="duplicateValues" dxfId="54" priority="1322"/>
    <cfRule type="duplicateValues" dxfId="53" priority="1323"/>
  </conditionalFormatting>
  <conditionalFormatting sqref="A88">
    <cfRule type="duplicateValues" dxfId="52" priority="17"/>
    <cfRule type="duplicateValues" dxfId="51" priority="18"/>
  </conditionalFormatting>
  <pageMargins left="0.7" right="0.7" top="0.75" bottom="0.75" header="0.3" footer="0.3"/>
  <pageSetup orientation="portrait" r:id="rId1"/>
  <headerFooter>
    <oddFooter>&amp;RUpdated: 07/31/2026</oddFooter>
  </headerFooter>
  <ignoredErrors>
    <ignoredError sqref="AD53:XFD56 A7:A74 O7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36F7-0940-4BEB-B83A-55357CF4B044}">
  <dimension ref="B2:Q91"/>
  <sheetViews>
    <sheetView zoomScale="85" zoomScaleNormal="85" workbookViewId="0">
      <selection activeCell="R11" sqref="R11"/>
    </sheetView>
  </sheetViews>
  <sheetFormatPr defaultColWidth="8.88671875" defaultRowHeight="15" x14ac:dyDescent="0.2"/>
  <cols>
    <col min="1" max="1" width="1.88671875" style="16" customWidth="1"/>
    <col min="2" max="2" width="8.88671875" style="16"/>
    <col min="3" max="3" width="32.33203125" style="16" customWidth="1"/>
    <col min="4" max="15" width="8.88671875" style="16"/>
    <col min="16" max="16" width="13.21875" style="16" customWidth="1"/>
    <col min="17" max="16384" width="8.88671875" style="16"/>
  </cols>
  <sheetData>
    <row r="2" spans="2:15" ht="26.45" customHeight="1" x14ac:dyDescent="0.2">
      <c r="B2" s="202" t="s">
        <v>7753</v>
      </c>
      <c r="C2" s="202"/>
      <c r="D2" s="202"/>
      <c r="E2" s="202"/>
      <c r="F2" s="202"/>
      <c r="G2" s="202"/>
      <c r="H2" s="202"/>
      <c r="I2" s="202"/>
      <c r="J2" s="202"/>
      <c r="K2" s="202"/>
      <c r="L2" s="202"/>
      <c r="M2" s="202"/>
      <c r="N2" s="202"/>
      <c r="O2" s="202"/>
    </row>
    <row r="3" spans="2:15" x14ac:dyDescent="0.2">
      <c r="B3" s="203" t="s">
        <v>7759</v>
      </c>
      <c r="C3" s="203"/>
      <c r="D3" s="143" t="s">
        <v>531</v>
      </c>
      <c r="E3" s="143" t="s">
        <v>540</v>
      </c>
      <c r="F3" s="143" t="s">
        <v>393</v>
      </c>
      <c r="G3" s="143" t="s">
        <v>420</v>
      </c>
      <c r="H3" s="143" t="s">
        <v>530</v>
      </c>
      <c r="I3" s="143" t="s">
        <v>471</v>
      </c>
      <c r="J3" s="143" t="s">
        <v>539</v>
      </c>
      <c r="K3" s="143" t="s">
        <v>318</v>
      </c>
      <c r="L3" s="143" t="s">
        <v>1596</v>
      </c>
      <c r="M3" s="143" t="s">
        <v>533</v>
      </c>
      <c r="N3" s="143" t="s">
        <v>532</v>
      </c>
      <c r="O3" s="143" t="s">
        <v>7692</v>
      </c>
    </row>
    <row r="4" spans="2:15" x14ac:dyDescent="0.2">
      <c r="B4" s="144" t="s">
        <v>7693</v>
      </c>
      <c r="C4" s="145" t="s">
        <v>7694</v>
      </c>
      <c r="D4" s="146">
        <f>SUMIFS('Load Projects'!$E:$E,'Load Projects'!$O:$O,0,'Load Projects'!$K:$K,"A")</f>
        <v>375</v>
      </c>
      <c r="E4" s="146">
        <f>SUMIFS('Load Projects'!$E:$E,'Load Projects'!$O:$O,0,'Load Projects'!$K:$K,"B")</f>
        <v>25</v>
      </c>
      <c r="F4" s="146">
        <f>SUMIFS('Load Projects'!$E:$E,'Load Projects'!$O:$O,0,'Load Projects'!$K:$K,"V")</f>
        <v>0</v>
      </c>
      <c r="G4" s="146">
        <f>SUMIFS('Load Projects'!$E:$E,'Load Projects'!$O:$O,0,'Load Projects'!$K:$K,"D")</f>
        <v>500</v>
      </c>
      <c r="H4" s="146">
        <f>SUMIFS('Load Projects'!$E:$E,'Load Projects'!$O:$O,0,'Load Projects'!$K:$K,"E")</f>
        <v>258</v>
      </c>
      <c r="I4" s="146">
        <f>SUMIFS('Load Projects'!$E:$E,'Load Projects'!$O:$O,0,'Load Projects'!$K:$K,"F")</f>
        <v>1104.3</v>
      </c>
      <c r="J4" s="146">
        <f>SUMIFS('Load Projects'!$E:$E,'Load Projects'!$O:$O,0,'Load Projects'!$K:$K,"G")</f>
        <v>296.5</v>
      </c>
      <c r="K4" s="146">
        <f>SUMIFS('Load Projects'!$E:$E,'Load Projects'!$O:$O,0,'Load Projects'!$K:$K,"H")</f>
        <v>0</v>
      </c>
      <c r="L4" s="146">
        <f>SUMIFS('Load Projects'!$E:$E,'Load Projects'!$O:$O,0,'Load Projects'!$K:$K,"I")</f>
        <v>0</v>
      </c>
      <c r="M4" s="146">
        <f>SUMIFS('Load Projects'!$E:$E,'Load Projects'!$O:$O,0,'Load Projects'!$K:$K,"J")</f>
        <v>0</v>
      </c>
      <c r="N4" s="146">
        <f>SUMIFS('Load Projects'!$E:$E,'Load Projects'!$O:$O,0,'Load Projects'!$K:$K,"K")</f>
        <v>420</v>
      </c>
      <c r="O4" s="147">
        <f>SUM(D4:N4)</f>
        <v>2978.8</v>
      </c>
    </row>
    <row r="5" spans="2:15" x14ac:dyDescent="0.2">
      <c r="B5" s="148">
        <v>1</v>
      </c>
      <c r="C5" s="149" t="s">
        <v>7695</v>
      </c>
      <c r="D5" s="146">
        <f>SUMIFS('Load Projects'!$E:$E,'Load Projects'!$O:$O,1,'Load Projects'!$K:$K,"A")</f>
        <v>0</v>
      </c>
      <c r="E5" s="146">
        <f>SUMIFS('Load Projects'!$E:$E,'Load Projects'!$O:$O,1,'Load Projects'!$K:$K,"B")</f>
        <v>0</v>
      </c>
      <c r="F5" s="146">
        <f>SUMIFS('Load Projects'!$E:$E,'Load Projects'!$O:$O,1,'Load Projects'!$K:$K,"C")</f>
        <v>150</v>
      </c>
      <c r="G5" s="146">
        <f>SUMIFS('Load Projects'!$E:$E,'Load Projects'!$O:$O,1,'Load Projects'!$K:$K,"D")</f>
        <v>0</v>
      </c>
      <c r="H5" s="146">
        <f>SUMIFS('Load Projects'!$E:$E,'Load Projects'!$O:$O,1,'Load Projects'!$K:$K,"E")</f>
        <v>15</v>
      </c>
      <c r="I5" s="146">
        <f>SUMIFS('Load Projects'!$E:$E,'Load Projects'!$O:$O,1,'Load Projects'!$K:$K,"F")</f>
        <v>0</v>
      </c>
      <c r="J5" s="146">
        <f>SUMIFS('Load Projects'!$E:$E,'Load Projects'!$O:$O,1,'Load Projects'!$K:$K,"G")</f>
        <v>0</v>
      </c>
      <c r="K5" s="146">
        <f>SUMIFS('Load Projects'!$E:$E,'Load Projects'!$O:$O,1,'Load Projects'!$K:$K,"H")</f>
        <v>0</v>
      </c>
      <c r="L5" s="146">
        <f>SUMIFS('Load Projects'!$E:$E,'Load Projects'!$O:$O,1,'Load Projects'!$K:$K,"I")</f>
        <v>0</v>
      </c>
      <c r="M5" s="146">
        <f>SUMIFS('Load Projects'!$E:$E,'Load Projects'!$O:$O,1,'Load Projects'!$K:$K,"J")</f>
        <v>0</v>
      </c>
      <c r="N5" s="146">
        <f>SUMIFS('Load Projects'!$E:$E,'Load Projects'!$O:$O,1,'Load Projects'!$K:$K,"K")</f>
        <v>0</v>
      </c>
      <c r="O5" s="147">
        <f t="shared" ref="O5:O13" si="0">SUM(D5:N5)</f>
        <v>165</v>
      </c>
    </row>
    <row r="6" spans="2:15" x14ac:dyDescent="0.2">
      <c r="B6" s="148">
        <v>4</v>
      </c>
      <c r="C6" s="148" t="s">
        <v>7696</v>
      </c>
      <c r="D6" s="146">
        <f>SUMIFS('Load Projects'!$E:$E,'Load Projects'!$O:$O,4,'Load Projects'!$K:$K,"A")</f>
        <v>1100</v>
      </c>
      <c r="E6" s="146">
        <f>SUMIFS('Load Projects'!$E:$E,'Load Projects'!$O:$O,4,'Load Projects'!$K:$K,"B")</f>
        <v>0</v>
      </c>
      <c r="F6" s="146">
        <f>SUMIFS('Load Projects'!$E:$E,'Load Projects'!$O:$O,4,'Load Projects'!$K:$K,"C")</f>
        <v>1050</v>
      </c>
      <c r="G6" s="146">
        <f>SUMIFS('Load Projects'!$E:$E,'Load Projects'!$O:$O,4,'Load Projects'!$K:$K,"D")</f>
        <v>2135</v>
      </c>
      <c r="H6" s="146">
        <f>SUMIFS('Load Projects'!$E:$E,'Load Projects'!$O:$O,4,'Load Projects'!$K:$K,"E")</f>
        <v>1110</v>
      </c>
      <c r="I6" s="146">
        <f>SUMIFS('Load Projects'!$E:$E,'Load Projects'!$O:$O,4,'Load Projects'!$K:$K,"F")</f>
        <v>365</v>
      </c>
      <c r="J6" s="146">
        <f>SUMIFS('Load Projects'!$E:$E,'Load Projects'!$O:$O,4,'Load Projects'!$K:$K,"G")</f>
        <v>0</v>
      </c>
      <c r="K6" s="146">
        <f>SUMIFS('Load Projects'!$E:$E,'Load Projects'!$O:$O,4,'Load Projects'!$K:$K,"H")</f>
        <v>0</v>
      </c>
      <c r="L6" s="146">
        <f>SUMIFS('Load Projects'!$E:$E,'Load Projects'!$O:$O,4,'Load Projects'!$K:$K,"I")</f>
        <v>0</v>
      </c>
      <c r="M6" s="146">
        <f>SUMIFS('Load Projects'!$E:$E,'Load Projects'!$O:$O,4,'Load Projects'!$K:$K,"J")</f>
        <v>0</v>
      </c>
      <c r="N6" s="146">
        <f>SUMIFS('Load Projects'!$E:$E,'Load Projects'!$O:$O,4,'Load Projects'!$K:$K,"K")</f>
        <v>0</v>
      </c>
      <c r="O6" s="147">
        <f t="shared" si="0"/>
        <v>5760</v>
      </c>
    </row>
    <row r="7" spans="2:15" x14ac:dyDescent="0.2">
      <c r="B7" s="148">
        <v>5</v>
      </c>
      <c r="C7" s="148" t="s">
        <v>7697</v>
      </c>
      <c r="D7" s="146">
        <f>SUMIFS('Load Projects'!$E:$E,'Load Projects'!$O:$O,5,'Load Projects'!$K:$K,"A")</f>
        <v>550</v>
      </c>
      <c r="E7" s="146">
        <f>SUMIFS('Load Projects'!$E:$E,'Load Projects'!$O:$O,5,'Load Projects'!$K:$K,"B")</f>
        <v>0</v>
      </c>
      <c r="F7" s="146">
        <f>SUMIFS('Load Projects'!$E:$E,'Load Projects'!$O:$O,5,'Load Projects'!$K:$K,"C")</f>
        <v>632</v>
      </c>
      <c r="G7" s="146">
        <f>SUMIFS('Load Projects'!$E:$E,'Load Projects'!$O:$O,5,'Load Projects'!$K:$K,"D")</f>
        <v>0</v>
      </c>
      <c r="H7" s="146">
        <f>SUMIFS('Load Projects'!$E:$E,'Load Projects'!$O:$O,5,'Load Projects'!$K:$K,"E")</f>
        <v>1799</v>
      </c>
      <c r="I7" s="146">
        <f>SUMIFS('Load Projects'!$E:$E,'Load Projects'!$O:$O,5,'Load Projects'!$K:$K,"F")</f>
        <v>0</v>
      </c>
      <c r="J7" s="146">
        <f>SUMIFS('Load Projects'!$E:$E,'Load Projects'!$O:$O,5,'Load Projects'!$K:$K,"G")</f>
        <v>150</v>
      </c>
      <c r="K7" s="146">
        <f>SUMIFS('Load Projects'!$E:$E,'Load Projects'!$O:$O,5,'Load Projects'!$K:$K,"H")</f>
        <v>1000</v>
      </c>
      <c r="L7" s="146">
        <f>SUMIFS('Load Projects'!$E:$E,'Load Projects'!$O:$O,5,'Load Projects'!$K:$K,"I")</f>
        <v>0</v>
      </c>
      <c r="M7" s="146">
        <f>SUMIFS('Load Projects'!$E:$E,'Load Projects'!$O:$O,5,'Load Projects'!$K:$K,"J")</f>
        <v>0</v>
      </c>
      <c r="N7" s="146">
        <f>SUMIFS('Load Projects'!$E:$E,'Load Projects'!$O:$O,5,'Load Projects'!$K:$K,"K")</f>
        <v>0</v>
      </c>
      <c r="O7" s="147">
        <f t="shared" si="0"/>
        <v>4131</v>
      </c>
    </row>
    <row r="8" spans="2:15" x14ac:dyDescent="0.2">
      <c r="B8" s="148">
        <v>6</v>
      </c>
      <c r="C8" s="148" t="s">
        <v>7698</v>
      </c>
      <c r="D8" s="146">
        <f>SUMIFS('Load Projects'!$E:$E,'Load Projects'!$O:$O,6,'Load Projects'!$K:$K,"A")</f>
        <v>250</v>
      </c>
      <c r="E8" s="146">
        <f>SUMIFS('Load Projects'!$E:$E,'Load Projects'!$O:$O,6,'Load Projects'!$K:$K,"B")</f>
        <v>0</v>
      </c>
      <c r="F8" s="146">
        <f>SUMIFS('Load Projects'!$E:$E,'Load Projects'!$O:$O,6,'Load Projects'!$K:$K,"C")</f>
        <v>88</v>
      </c>
      <c r="G8" s="146">
        <f>SUMIFS('Load Projects'!$E:$E,'Load Projects'!$O:$O,6,'Load Projects'!$K:$K,"D")</f>
        <v>120</v>
      </c>
      <c r="H8" s="146">
        <f>SUMIFS('Load Projects'!$E:$E,'Load Projects'!$O:$O,6,'Load Projects'!$K:$K,"E")</f>
        <v>0</v>
      </c>
      <c r="I8" s="146">
        <f>SUMIFS('Load Projects'!$E:$E,'Load Projects'!$O:$O,6,'Load Projects'!$K:$K,"F")</f>
        <v>50</v>
      </c>
      <c r="J8" s="146">
        <f>SUMIFS('Load Projects'!$E:$E,'Load Projects'!$O:$O,6,'Load Projects'!$K:$K,"G")</f>
        <v>0</v>
      </c>
      <c r="K8" s="146">
        <f>SUMIFS('Load Projects'!$E:$E,'Load Projects'!$O:$O,6,'Load Projects'!$K:$K,"H")</f>
        <v>200</v>
      </c>
      <c r="L8" s="146">
        <f>SUMIFS('Load Projects'!$E:$E,'Load Projects'!$O:$O,6,'Load Projects'!$K:$K,"I")</f>
        <v>0</v>
      </c>
      <c r="M8" s="146">
        <f>SUMIFS('Load Projects'!$E:$E,'Load Projects'!$O:$O,6,'Load Projects'!$K:$K,"J")</f>
        <v>0</v>
      </c>
      <c r="N8" s="146">
        <f>SUMIFS('Load Projects'!$E:$E,'Load Projects'!$O:$O,6,'Load Projects'!$K:$K,"K")</f>
        <v>0</v>
      </c>
      <c r="O8" s="147">
        <f t="shared" si="0"/>
        <v>708</v>
      </c>
    </row>
    <row r="9" spans="2:15" x14ac:dyDescent="0.2">
      <c r="B9" s="148">
        <v>7</v>
      </c>
      <c r="C9" s="149" t="s">
        <v>7699</v>
      </c>
      <c r="D9" s="146">
        <f>SUMIFS('Load Projects'!$E:$E,'Load Projects'!$O:$O,7,'Load Projects'!$K:$K,"A")</f>
        <v>0</v>
      </c>
      <c r="E9" s="146">
        <f>SUMIFS('Load Projects'!$E:$E,'Load Projects'!$O:$O,7,'Load Projects'!$K:$K,"B")</f>
        <v>0</v>
      </c>
      <c r="F9" s="146">
        <f>SUMIFS('Load Projects'!$E:$E,'Load Projects'!$O:$O,7,'Load Projects'!$K:$K,"C")</f>
        <v>110</v>
      </c>
      <c r="G9" s="146">
        <f>SUMIFS('Load Projects'!$E:$E,'Load Projects'!$O:$O,7,'Load Projects'!$K:$K,"D")</f>
        <v>0</v>
      </c>
      <c r="H9" s="146">
        <f>SUMIFS('Load Projects'!$E:$E,'Load Projects'!$O:$O,7,'Load Projects'!$K:$K,"E")</f>
        <v>0</v>
      </c>
      <c r="I9" s="146">
        <f>SUMIFS('Load Projects'!$E:$E,'Load Projects'!$O:$O,7,'Load Projects'!$K:$K,"F")</f>
        <v>0</v>
      </c>
      <c r="J9" s="146">
        <f>SUMIFS('Load Projects'!$E:$E,'Load Projects'!$O:$O,7,'Load Projects'!$K:$K,"G")</f>
        <v>0</v>
      </c>
      <c r="K9" s="146">
        <f>SUMIFS('Load Projects'!$E:$E,'Load Projects'!$O:$O,7,'Load Projects'!$K:$K,"H")</f>
        <v>0</v>
      </c>
      <c r="L9" s="146">
        <f>SUMIFS('Load Projects'!$E:$E,'Load Projects'!$O:$O,7,'Load Projects'!$K:$K,"I")</f>
        <v>0</v>
      </c>
      <c r="M9" s="146">
        <f>SUMIFS('Load Projects'!$E:$E,'Load Projects'!$O:$O,7,'Load Projects'!$K:$K,"J")</f>
        <v>0</v>
      </c>
      <c r="N9" s="146">
        <f>SUMIFS('Load Projects'!$E:$E,'Load Projects'!$O:$O,7,'Load Projects'!$K:$K,"K")</f>
        <v>0</v>
      </c>
      <c r="O9" s="147">
        <f t="shared" si="0"/>
        <v>110</v>
      </c>
    </row>
    <row r="10" spans="2:15" x14ac:dyDescent="0.2">
      <c r="B10" s="148">
        <v>9</v>
      </c>
      <c r="C10" s="149" t="s">
        <v>7700</v>
      </c>
      <c r="D10" s="146">
        <f>SUMIFS('Load Projects'!$E:$E,'Load Projects'!$O:$O,9,'Load Projects'!$K:$K,"A")</f>
        <v>140</v>
      </c>
      <c r="E10" s="146">
        <f>SUMIFS('Load Projects'!$E:$E,'Load Projects'!$O:$O,9,'Load Projects'!$K:$K,"B")</f>
        <v>0</v>
      </c>
      <c r="F10" s="146">
        <f>SUMIFS('Load Projects'!$E:$E,'Load Projects'!$O:$O,9,'Load Projects'!$K:$K,"C")</f>
        <v>576</v>
      </c>
      <c r="G10" s="146">
        <f>SUMIFS('Load Projects'!$E:$E,'Load Projects'!$O:$O,9,'Load Projects'!$K:$K,"D")</f>
        <v>0</v>
      </c>
      <c r="H10" s="146">
        <f>SUMIFS('Load Projects'!$E:$E,'Load Projects'!$O:$O,9,'Load Projects'!$K:$K,"E")</f>
        <v>0</v>
      </c>
      <c r="I10" s="146">
        <f>SUMIFS('Load Projects'!$E:$E,'Load Projects'!$O:$O,9,'Load Projects'!$K:$K,"F")</f>
        <v>0</v>
      </c>
      <c r="J10" s="146">
        <f>SUMIFS('Load Projects'!$E:$E,'Load Projects'!$O:$O,9,'Load Projects'!$K:$K,"G")</f>
        <v>0</v>
      </c>
      <c r="K10" s="146">
        <f>SUMIFS('Load Projects'!$E:$E,'Load Projects'!$O:$O,9,'Load Projects'!$K:$K,"H")</f>
        <v>0</v>
      </c>
      <c r="L10" s="146">
        <f>SUMIFS('Load Projects'!$E:$E,'Load Projects'!$O:$O,9,'Load Projects'!$K:$K,"I")</f>
        <v>0</v>
      </c>
      <c r="M10" s="146">
        <f>SUMIFS('Load Projects'!$E:$E,'Load Projects'!$O:$O,9,'Load Projects'!$K:$K,"J")</f>
        <v>0</v>
      </c>
      <c r="N10" s="146">
        <f>SUMIFS('Load Projects'!$E:$E,'Load Projects'!$O:$O,9,'Load Projects'!$K:$K,"K")</f>
        <v>176.6</v>
      </c>
      <c r="O10" s="147">
        <f t="shared" si="0"/>
        <v>892.6</v>
      </c>
    </row>
    <row r="11" spans="2:15" x14ac:dyDescent="0.2">
      <c r="B11" s="148">
        <v>10</v>
      </c>
      <c r="C11" s="149" t="s">
        <v>7756</v>
      </c>
      <c r="D11" s="146">
        <f>SUMIFS('Load Projects'!$E:$E,'Load Projects'!$O:$O,10,'Load Projects'!$K:$K,"A")</f>
        <v>0</v>
      </c>
      <c r="E11" s="146">
        <f>SUMIFS('Load Projects'!$E:$E,'Load Projects'!$O:$O,10,'Load Projects'!$K:$K,"B")</f>
        <v>0</v>
      </c>
      <c r="F11" s="146">
        <f>SUMIFS('Load Projects'!$E:$E,'Load Projects'!$O:$O,10,'Load Projects'!$K:$K,"C")</f>
        <v>0</v>
      </c>
      <c r="G11" s="146">
        <f>SUMIFS('Load Projects'!$E:$E,'Load Projects'!$O:$O,10,'Load Projects'!$K:$K,"D")</f>
        <v>200</v>
      </c>
      <c r="H11" s="146">
        <f>SUMIFS('Load Projects'!$E:$E,'Load Projects'!$O:$O,10,'Load Projects'!$K:$K,"E")</f>
        <v>0</v>
      </c>
      <c r="I11" s="146">
        <f>SUMIFS('Load Projects'!$E:$E,'Load Projects'!$O:$O,10,'Load Projects'!$K:$K,"F")</f>
        <v>0</v>
      </c>
      <c r="J11" s="146">
        <f>SUMIFS('Load Projects'!$E:$E,'Load Projects'!$O:$O,10,'Load Projects'!$K:$K,"G")</f>
        <v>102.3</v>
      </c>
      <c r="K11" s="146">
        <f>SUMIFS('Load Projects'!$E:$E,'Load Projects'!$O:$O,10,'Load Projects'!$K:$K,"H")</f>
        <v>0</v>
      </c>
      <c r="L11" s="146">
        <f>SUMIFS('Load Projects'!$E:$E,'Load Projects'!$O:$O,10,'Load Projects'!$K:$K,"I")</f>
        <v>0</v>
      </c>
      <c r="M11" s="146">
        <f>SUMIFS('Load Projects'!$E:$E,'Load Projects'!$O:$O,10,'Load Projects'!$K:$K,"J")</f>
        <v>0</v>
      </c>
      <c r="N11" s="146">
        <f>SUMIFS('Load Projects'!$E:$E,'Load Projects'!$O:$O,10,'Load Projects'!$K:$K,"K")</f>
        <v>0</v>
      </c>
      <c r="O11" s="147">
        <f t="shared" si="0"/>
        <v>302.3</v>
      </c>
    </row>
    <row r="12" spans="2:15" x14ac:dyDescent="0.2">
      <c r="B12" s="148">
        <v>12</v>
      </c>
      <c r="C12" s="149" t="s">
        <v>7701</v>
      </c>
      <c r="D12" s="146">
        <f>SUMIFS('Load Projects'!$E:$E,'Load Projects'!$O:$O,12,'Load Projects'!$K:$K,"A")</f>
        <v>0</v>
      </c>
      <c r="E12" s="146">
        <f>SUMIFS('Load Projects'!$E:$E,'Load Projects'!$O:$O,12,'Load Projects'!$K:$K,"B")</f>
        <v>600</v>
      </c>
      <c r="F12" s="146">
        <f>SUMIFS('Load Projects'!$E:$E,'Load Projects'!$O:$O,12,'Load Projects'!$K:$K,"C")</f>
        <v>480</v>
      </c>
      <c r="G12" s="146">
        <f>SUMIFS('Load Projects'!$E:$E,'Load Projects'!$O:$O,12,'Load Projects'!$K:$K,"D")</f>
        <v>435</v>
      </c>
      <c r="H12" s="146">
        <f>SUMIFS('Load Projects'!$E:$E,'Load Projects'!$O:$O,12,'Load Projects'!$K:$K,"E")</f>
        <v>0</v>
      </c>
      <c r="I12" s="146">
        <f>SUMIFS('Load Projects'!$E:$E,'Load Projects'!$O:$O,12,'Load Projects'!$K:$K,"F")</f>
        <v>0</v>
      </c>
      <c r="J12" s="146">
        <f>SUMIFS('Load Projects'!$E:$E,'Load Projects'!$O:$O,12,'Load Projects'!$K:$K,"G")</f>
        <v>0</v>
      </c>
      <c r="K12" s="146">
        <f>SUMIFS('Load Projects'!$E:$E,'Load Projects'!$O:$O,12,'Load Projects'!$K:$K,"H")</f>
        <v>0</v>
      </c>
      <c r="L12" s="146">
        <f>SUMIFS('Load Projects'!$E:$E,'Load Projects'!$O:$O,12,'Load Projects'!$K:$K,"I")</f>
        <v>0</v>
      </c>
      <c r="M12" s="146">
        <f>SUMIFS('Load Projects'!$E:$E,'Load Projects'!$O:$O,12,'Load Projects'!$K:$K,"J")</f>
        <v>0</v>
      </c>
      <c r="N12" s="146">
        <f>SUMIFS('Load Projects'!$E:$E,'Load Projects'!$O:$O,12,'Load Projects'!$K:$K,"K")</f>
        <v>0</v>
      </c>
      <c r="O12" s="147">
        <f t="shared" si="0"/>
        <v>1515</v>
      </c>
    </row>
    <row r="13" spans="2:15" x14ac:dyDescent="0.2">
      <c r="B13" s="148" t="s">
        <v>1041</v>
      </c>
      <c r="C13" s="149" t="s">
        <v>7702</v>
      </c>
      <c r="D13" s="146">
        <f>SUMIFS('Load Projects'!$E:$E,'Load Projects'!$O:$O,14,'Load Projects'!$K:$K,"A")</f>
        <v>300.2</v>
      </c>
      <c r="E13" s="146">
        <f>SUMIFS('Load Projects'!$E:$E,'Load Projects'!$O:$O,14,'Load Projects'!$K:$K,"B")</f>
        <v>0</v>
      </c>
      <c r="F13" s="146">
        <f>SUMIFS('Load Projects'!$E:$E,'Load Projects'!$O:$O,14,'Load Projects'!$K:$K,"C")</f>
        <v>0</v>
      </c>
      <c r="G13" s="146">
        <f>SUMIFS('Load Projects'!$E:$E,'Load Projects'!$O:$O,14,'Load Projects'!$K:$K,"D")</f>
        <v>0</v>
      </c>
      <c r="H13" s="146">
        <f>SUMIFS('Load Projects'!$E:$E,'Load Projects'!$O:$O,14,'Load Projects'!$K:$K,"E")</f>
        <v>0</v>
      </c>
      <c r="I13" s="146">
        <f>SUMIFS('Load Projects'!$E:$E,'Load Projects'!$O:$O,14,'Load Projects'!$K:$K,"F")</f>
        <v>60</v>
      </c>
      <c r="J13" s="146">
        <f>SUMIFS('Load Projects'!$E:$E,'Load Projects'!$O:$O,14,'Load Projects'!$K:$K,"G")</f>
        <v>0</v>
      </c>
      <c r="K13" s="146">
        <f>SUMIFS('Load Projects'!$E:$E,'Load Projects'!$O:$O,14,'Load Projects'!$K:$K,"H")</f>
        <v>0</v>
      </c>
      <c r="L13" s="146">
        <f>SUMIFS('Load Projects'!$E:$E,'Load Projects'!$O:$O,14,'Load Projects'!$K:$K,"I")</f>
        <v>0</v>
      </c>
      <c r="M13" s="146">
        <f>SUMIFS('Load Projects'!$E:$E,'Load Projects'!$O:$O,14,'Load Projects'!$K:$K,"J")</f>
        <v>0</v>
      </c>
      <c r="N13" s="146">
        <f>SUMIFS('Load Projects'!$E:$E,'Load Projects'!$O:$O,14,'Load Projects'!$K:$K,"K")</f>
        <v>0</v>
      </c>
      <c r="O13" s="147">
        <f t="shared" si="0"/>
        <v>360.2</v>
      </c>
    </row>
    <row r="14" spans="2:15" x14ac:dyDescent="0.2">
      <c r="B14" s="149"/>
      <c r="C14" s="151" t="s">
        <v>7703</v>
      </c>
      <c r="D14" s="150">
        <f t="shared" ref="D14:N14" si="1">SUM(D5:D12)</f>
        <v>2040</v>
      </c>
      <c r="E14" s="150">
        <f t="shared" si="1"/>
        <v>600</v>
      </c>
      <c r="F14" s="150">
        <f t="shared" si="1"/>
        <v>3086</v>
      </c>
      <c r="G14" s="150">
        <f t="shared" si="1"/>
        <v>2890</v>
      </c>
      <c r="H14" s="150">
        <f t="shared" si="1"/>
        <v>2924</v>
      </c>
      <c r="I14" s="150">
        <f t="shared" si="1"/>
        <v>415</v>
      </c>
      <c r="J14" s="150">
        <f t="shared" si="1"/>
        <v>252.3</v>
      </c>
      <c r="K14" s="150">
        <f t="shared" si="1"/>
        <v>1200</v>
      </c>
      <c r="L14" s="150">
        <f t="shared" si="1"/>
        <v>0</v>
      </c>
      <c r="M14" s="150">
        <f t="shared" si="1"/>
        <v>0</v>
      </c>
      <c r="N14" s="150">
        <f t="shared" si="1"/>
        <v>176.6</v>
      </c>
      <c r="O14" s="150">
        <f>SUM(O5:O13)</f>
        <v>13944.1</v>
      </c>
    </row>
    <row r="15" spans="2:15" x14ac:dyDescent="0.2">
      <c r="B15" s="152"/>
      <c r="C15" s="152"/>
      <c r="D15" s="153"/>
      <c r="E15" s="153"/>
      <c r="F15" s="153"/>
      <c r="G15" s="153"/>
      <c r="H15" s="153"/>
    </row>
    <row r="16" spans="2:15" x14ac:dyDescent="0.2">
      <c r="B16" s="154"/>
      <c r="C16" s="154"/>
      <c r="D16" s="155"/>
      <c r="E16" s="155"/>
      <c r="F16" s="155"/>
      <c r="G16" s="155"/>
      <c r="H16" s="155"/>
    </row>
    <row r="17" spans="2:8" x14ac:dyDescent="0.2">
      <c r="B17" s="154"/>
      <c r="C17" s="154"/>
      <c r="D17" s="155"/>
      <c r="E17" s="155"/>
      <c r="F17" s="155"/>
      <c r="G17" s="155"/>
      <c r="H17" s="155"/>
    </row>
    <row r="18" spans="2:8" x14ac:dyDescent="0.2">
      <c r="B18" s="154"/>
      <c r="C18" s="154"/>
      <c r="D18" s="155"/>
      <c r="E18" s="155"/>
      <c r="F18" s="155"/>
      <c r="G18" s="155"/>
      <c r="H18" s="155"/>
    </row>
    <row r="19" spans="2:8" x14ac:dyDescent="0.2">
      <c r="B19" s="154"/>
      <c r="C19" s="154"/>
      <c r="D19" s="155"/>
      <c r="E19" s="155"/>
      <c r="F19" s="155"/>
      <c r="G19" s="155"/>
      <c r="H19" s="155"/>
    </row>
    <row r="20" spans="2:8" x14ac:dyDescent="0.2">
      <c r="B20" s="154"/>
      <c r="C20" s="154"/>
      <c r="D20" s="155"/>
      <c r="E20" s="155"/>
      <c r="F20" s="155"/>
      <c r="G20" s="155"/>
      <c r="H20" s="155"/>
    </row>
    <row r="21" spans="2:8" x14ac:dyDescent="0.2">
      <c r="B21" s="154"/>
      <c r="C21" s="154"/>
      <c r="D21" s="155"/>
      <c r="E21" s="155"/>
      <c r="F21" s="155"/>
      <c r="G21" s="155"/>
      <c r="H21" s="155"/>
    </row>
    <row r="22" spans="2:8" x14ac:dyDescent="0.2">
      <c r="B22" s="154"/>
      <c r="C22" s="154"/>
      <c r="D22" s="155"/>
      <c r="E22" s="155"/>
      <c r="F22" s="155"/>
      <c r="G22" s="155"/>
      <c r="H22" s="155"/>
    </row>
    <row r="23" spans="2:8" x14ac:dyDescent="0.2">
      <c r="B23" s="154"/>
      <c r="C23" s="154"/>
      <c r="D23" s="155"/>
      <c r="E23" s="155"/>
      <c r="F23" s="155"/>
      <c r="G23" s="155"/>
      <c r="H23" s="155"/>
    </row>
    <row r="24" spans="2:8" x14ac:dyDescent="0.2">
      <c r="B24" s="154"/>
      <c r="C24" s="154"/>
      <c r="D24" s="155"/>
      <c r="E24" s="155"/>
      <c r="F24" s="155"/>
      <c r="G24" s="155"/>
      <c r="H24" s="155"/>
    </row>
    <row r="25" spans="2:8" x14ac:dyDescent="0.2">
      <c r="B25" s="154"/>
      <c r="C25" s="154"/>
      <c r="D25" s="155"/>
      <c r="E25" s="155"/>
      <c r="F25" s="155"/>
      <c r="G25" s="155"/>
      <c r="H25" s="155"/>
    </row>
    <row r="26" spans="2:8" x14ac:dyDescent="0.2">
      <c r="B26" s="154"/>
      <c r="C26" s="154"/>
      <c r="D26" s="155"/>
      <c r="E26" s="155"/>
      <c r="F26" s="155"/>
      <c r="G26" s="155"/>
      <c r="H26" s="155"/>
    </row>
    <row r="27" spans="2:8" x14ac:dyDescent="0.2">
      <c r="B27" s="154"/>
      <c r="C27" s="154"/>
      <c r="D27" s="155"/>
      <c r="E27" s="155"/>
      <c r="F27" s="155"/>
      <c r="G27" s="155"/>
      <c r="H27" s="155"/>
    </row>
    <row r="28" spans="2:8" x14ac:dyDescent="0.2">
      <c r="B28" s="154"/>
      <c r="C28" s="154"/>
      <c r="D28" s="155"/>
      <c r="E28" s="155"/>
      <c r="F28" s="155"/>
      <c r="G28" s="155"/>
      <c r="H28" s="155"/>
    </row>
    <row r="29" spans="2:8" x14ac:dyDescent="0.2">
      <c r="B29" s="154"/>
      <c r="C29" s="154"/>
      <c r="D29" s="155"/>
      <c r="E29" s="155"/>
      <c r="F29" s="155"/>
      <c r="G29" s="155"/>
      <c r="H29" s="155"/>
    </row>
    <row r="30" spans="2:8" x14ac:dyDescent="0.2">
      <c r="B30" s="154"/>
      <c r="C30" s="154"/>
      <c r="D30" s="155"/>
      <c r="E30" s="155"/>
      <c r="F30" s="155"/>
      <c r="G30" s="155"/>
      <c r="H30" s="155"/>
    </row>
    <row r="31" spans="2:8" x14ac:dyDescent="0.2">
      <c r="B31" s="154"/>
      <c r="C31" s="154"/>
      <c r="D31" s="155"/>
      <c r="E31" s="155"/>
      <c r="F31" s="155"/>
      <c r="G31" s="155"/>
      <c r="H31" s="155"/>
    </row>
    <row r="32" spans="2:8" x14ac:dyDescent="0.2">
      <c r="B32" s="154"/>
      <c r="C32" s="154"/>
      <c r="D32" s="155"/>
      <c r="E32" s="155"/>
      <c r="F32" s="155"/>
      <c r="G32" s="155"/>
      <c r="H32" s="155"/>
    </row>
    <row r="33" spans="2:15" x14ac:dyDescent="0.2">
      <c r="B33" s="154"/>
      <c r="C33" s="154"/>
      <c r="D33" s="155"/>
      <c r="E33" s="155"/>
      <c r="F33" s="155"/>
      <c r="G33" s="155"/>
      <c r="H33" s="155"/>
    </row>
    <row r="34" spans="2:15" x14ac:dyDescent="0.2">
      <c r="B34" s="154"/>
      <c r="C34" s="154"/>
      <c r="D34" s="155"/>
      <c r="E34" s="155"/>
      <c r="F34" s="155"/>
      <c r="G34" s="155"/>
      <c r="H34" s="155"/>
    </row>
    <row r="35" spans="2:15" x14ac:dyDescent="0.2">
      <c r="B35" s="154"/>
      <c r="C35" s="154"/>
      <c r="D35" s="155"/>
      <c r="E35" s="155"/>
      <c r="F35" s="155"/>
      <c r="G35" s="155"/>
      <c r="H35" s="155"/>
    </row>
    <row r="36" spans="2:15" x14ac:dyDescent="0.2">
      <c r="B36" s="154"/>
      <c r="C36" s="154"/>
      <c r="D36" s="155"/>
      <c r="E36" s="155"/>
      <c r="F36" s="155"/>
      <c r="G36" s="155"/>
      <c r="H36" s="155"/>
    </row>
    <row r="37" spans="2:15" x14ac:dyDescent="0.2">
      <c r="B37" s="154"/>
      <c r="C37" s="154"/>
      <c r="D37" s="155"/>
      <c r="E37" s="155"/>
      <c r="F37" s="155"/>
      <c r="G37" s="155"/>
      <c r="H37" s="155"/>
    </row>
    <row r="38" spans="2:15" x14ac:dyDescent="0.2">
      <c r="B38" s="154"/>
      <c r="C38" s="154"/>
      <c r="D38" s="155"/>
      <c r="E38" s="155"/>
      <c r="F38" s="155"/>
      <c r="G38" s="155"/>
      <c r="H38" s="155"/>
    </row>
    <row r="39" spans="2:15" x14ac:dyDescent="0.2">
      <c r="B39" s="154"/>
      <c r="C39" s="154"/>
      <c r="D39" s="155"/>
      <c r="E39" s="155"/>
      <c r="F39" s="155"/>
      <c r="G39" s="155"/>
      <c r="H39" s="155"/>
    </row>
    <row r="40" spans="2:15" x14ac:dyDescent="0.2">
      <c r="B40" s="154"/>
      <c r="C40" s="154"/>
      <c r="D40" s="155"/>
      <c r="E40" s="155"/>
      <c r="F40" s="155"/>
      <c r="G40" s="155"/>
      <c r="H40" s="155"/>
    </row>
    <row r="41" spans="2:15" x14ac:dyDescent="0.2">
      <c r="B41" s="154"/>
      <c r="C41" s="154"/>
      <c r="D41" s="155"/>
      <c r="E41" s="155"/>
      <c r="F41" s="155"/>
      <c r="G41" s="155"/>
      <c r="H41" s="155"/>
    </row>
    <row r="42" spans="2:15" ht="15" customHeight="1" x14ac:dyDescent="0.2">
      <c r="B42" s="203" t="s">
        <v>7758</v>
      </c>
      <c r="C42" s="203"/>
      <c r="D42" s="143" t="s">
        <v>531</v>
      </c>
      <c r="E42" s="143" t="s">
        <v>540</v>
      </c>
      <c r="F42" s="143" t="s">
        <v>393</v>
      </c>
      <c r="G42" s="143" t="s">
        <v>420</v>
      </c>
      <c r="H42" s="143" t="s">
        <v>530</v>
      </c>
      <c r="I42" s="143" t="s">
        <v>471</v>
      </c>
      <c r="J42" s="143" t="s">
        <v>539</v>
      </c>
      <c r="K42" s="143" t="s">
        <v>318</v>
      </c>
      <c r="L42" s="143" t="s">
        <v>1596</v>
      </c>
      <c r="M42" s="143" t="s">
        <v>533</v>
      </c>
      <c r="N42" s="143" t="s">
        <v>532</v>
      </c>
      <c r="O42" s="143" t="s">
        <v>7692</v>
      </c>
    </row>
    <row r="43" spans="2:15" x14ac:dyDescent="0.2">
      <c r="B43" s="148" t="s">
        <v>7704</v>
      </c>
      <c r="C43" s="149" t="s">
        <v>7705</v>
      </c>
      <c r="D43" s="146" cm="1">
        <f t="array" ref="D43">SUM(SUMIFS('Load Projects'!$E:$E,'Load Projects'!$O:$O,{1,2,3,4,5,6,7,8,9,10,11,12},'Load Projects'!$F:$F,"DAT",'Load Projects'!$K:$K,"A"))</f>
        <v>940</v>
      </c>
      <c r="E43" s="146" cm="1">
        <f t="array" ref="E43">SUM(SUMIFS('Load Projects'!$E:$E,'Load Projects'!$O:$O,{1,2,3,4,5,6,7,8,9,10,11,12},'Load Projects'!$F:$F,"DAT",'Load Projects'!$K:$K,"B"))</f>
        <v>600</v>
      </c>
      <c r="F43" s="146" cm="1">
        <f t="array" ref="F43">SUM(SUMIFS('Load Projects'!$E:$E,'Load Projects'!$O:$O,{1,2,3,4,5,6,7,8,9,10,11,12},'Load Projects'!$F:$F,"DAT",'Load Projects'!$K:$K,"C"))</f>
        <v>1458</v>
      </c>
      <c r="G43" s="146" cm="1">
        <f t="array" ref="G43">SUM(SUMIFS('Load Projects'!$E:$E,'Load Projects'!$O:$O,{1,2,3,4,5,6,7,8,9,10,11,12},'Load Projects'!$F:$F,"DAT",'Load Projects'!$K:$K,"D"))</f>
        <v>320</v>
      </c>
      <c r="H43" s="146" cm="1">
        <f t="array" ref="H43">SUM(SUMIFS('Load Projects'!$E:$E,'Load Projects'!$O:$O,{1,2,3,4,5,6,7,8,9,10,11,12},'Load Projects'!$F:$F,"DAT",'Load Projects'!$K:$K,"E"))</f>
        <v>750</v>
      </c>
      <c r="I43" s="146" cm="1">
        <f t="array" ref="I43">SUM(SUMIFS('Load Projects'!$E:$E,'Load Projects'!$O:$O,{1,2,3,4,5,6,7,8,9,10,11,12},'Load Projects'!$F:$F,"DAT",'Load Projects'!$K:$K,"F"))</f>
        <v>180</v>
      </c>
      <c r="J43" s="146" cm="1">
        <f t="array" ref="J43">SUM(SUMIFS('Load Projects'!$E:$E,'Load Projects'!$O:$O,{1,2,3,4,5,6,7,8,9,10,11,12},'Load Projects'!$F:$F,"DAT",'Load Projects'!$K:$K,"G"))</f>
        <v>252.3</v>
      </c>
      <c r="K43" s="146" cm="1">
        <f t="array" ref="K43">SUM(SUMIFS('Load Projects'!$E:$E,'Load Projects'!$O:$O,{1,2,3,4,5,6,7,8,9,10,11,12},'Load Projects'!$F:$F,"DAT",'Load Projects'!$K:$K,"H"))</f>
        <v>1200</v>
      </c>
      <c r="L43" s="146" cm="1">
        <f t="array" ref="L43">SUM(SUMIFS('Load Projects'!$E:$E,'Load Projects'!$O:$O,{1,2,3,4,5,6,7,8,9,10,11,12},'Load Projects'!$F:$F,"DAT",'Load Projects'!$K:$K,"i"))</f>
        <v>0</v>
      </c>
      <c r="M43" s="146" cm="1">
        <f t="array" ref="M43">SUM(SUMIFS('Load Projects'!$E:$E,'Load Projects'!$O:$O,{1,2,3,4,5,6,7,8,9,10,11,12},'Load Projects'!$F:$F,"DAT",'Load Projects'!$K:$K,"J"))</f>
        <v>0</v>
      </c>
      <c r="N43" s="146" cm="1">
        <f t="array" ref="N43">SUM(SUMIFS('Load Projects'!$E:$E,'Load Projects'!$O:$O,{1,2,3,4,5,6,7,8,9,10,11,12},'Load Projects'!$F:$F,"DAT",'Load Projects'!$K:$K,"K"))</f>
        <v>176.6</v>
      </c>
      <c r="O43" s="150">
        <f>SUM(D43:N43)</f>
        <v>5876.9000000000005</v>
      </c>
    </row>
    <row r="44" spans="2:15" x14ac:dyDescent="0.2">
      <c r="B44" s="148" t="s">
        <v>7706</v>
      </c>
      <c r="C44" s="149" t="s">
        <v>7707</v>
      </c>
      <c r="D44" s="146" cm="1">
        <f t="array" ref="D44">SUM(SUMIFS('Load Projects'!$E:$E,'Load Projects'!$O:$O,{1,2,3,4,5,6,7,8,9,10,11,12},'Load Projects'!$F:$F,"DAT-AI",'Load Projects'!$K:$K,"A"))</f>
        <v>1100</v>
      </c>
      <c r="E44" s="146" cm="1">
        <f t="array" ref="E44">SUM(SUMIFS('Load Projects'!$E:$E,'Load Projects'!$O:$O,{1,2,3,4,5,6,7,8,9,10,11,12},'Load Projects'!$F:$F,"DAT-AI",'Load Projects'!$K:$K,"B"))</f>
        <v>0</v>
      </c>
      <c r="F44" s="146" cm="1">
        <f t="array" ref="F44">SUM(SUMIFS('Load Projects'!$E:$E,'Load Projects'!$O:$O,{1,2,3,4,5,6,7,8,9,10,11,12},'Load Projects'!$F:$F,"DAT-AI",'Load Projects'!$K:$K,"C"))</f>
        <v>162</v>
      </c>
      <c r="G44" s="146" cm="1">
        <f t="array" ref="G44">SUM(SUMIFS('Load Projects'!$E:$E,'Load Projects'!$O:$O,{1,2,3,4,5,6,7,8,9,10,11,12},'Load Projects'!$F:$F,"DAT-AI",'Load Projects'!$K:$K,"D"))</f>
        <v>1935</v>
      </c>
      <c r="H44" s="146" cm="1">
        <f t="array" ref="H44">SUM(SUMIFS('Load Projects'!$E:$E,'Load Projects'!$O:$O,{1,2,3,4,5,6,7,8,9,10,11,12},'Load Projects'!$F:$F,"DAT-AI",'Load Projects'!$K:$K,"E"))</f>
        <v>2093</v>
      </c>
      <c r="I44" s="146" cm="1">
        <f t="array" ref="I44">SUM(SUMIFS('Load Projects'!$E:$E,'Load Projects'!$O:$O,{1,2,3,4,5,6,7,8,9,10,11,12},'Load Projects'!$F:$F,"DAT-AI",'Load Projects'!$K:$K,"F"))</f>
        <v>0</v>
      </c>
      <c r="J44" s="146" cm="1">
        <f t="array" ref="J44">SUM(SUMIFS('Load Projects'!$E:$E,'Load Projects'!$O:$O,{1,2,3,4,5,6,7,8,9,10,11,12},'Load Projects'!$F:$F,"DAT-AI",'Load Projects'!$K:$K,"G"))</f>
        <v>0</v>
      </c>
      <c r="K44" s="146" cm="1">
        <f t="array" ref="K44">SUM(SUMIFS('Load Projects'!$E:$E,'Load Projects'!$O:$O,{1,2,3,4,5,6,7,8,9,10,11,12},'Load Projects'!$F:$F,"DAT-AI",'Load Projects'!$K:$K,"H"))</f>
        <v>0</v>
      </c>
      <c r="L44" s="146" cm="1">
        <f t="array" ref="L44">SUM(SUMIFS('Load Projects'!$E:$E,'Load Projects'!$O:$O,{1,2,3,4,5,6,7,8,9,10,11,12},'Load Projects'!$F:$F,"DAT-AI",'Load Projects'!$K:$K,"i"))</f>
        <v>0</v>
      </c>
      <c r="M44" s="146" cm="1">
        <f t="array" ref="M44">SUM(SUMIFS('Load Projects'!$E:$E,'Load Projects'!$O:$O,{1,2,3,4,5,6,7,8,9,10,11,12},'Load Projects'!$F:$F,"DAT-AI",'Load Projects'!$K:$K,"J"))</f>
        <v>0</v>
      </c>
      <c r="N44" s="146" cm="1">
        <f t="array" ref="N44">SUM(SUMIFS('Load Projects'!$E:$E,'Load Projects'!$O:$O,{1,2,3,4,5,6,7,8,9,10,11,12},'Load Projects'!$F:$F,"DAT-AI",'Load Projects'!$K:$K,"K"))</f>
        <v>0</v>
      </c>
      <c r="O44" s="150">
        <f t="shared" ref="O44:O52" si="2">SUM(D44:N44)</f>
        <v>5290</v>
      </c>
    </row>
    <row r="45" spans="2:15" x14ac:dyDescent="0.2">
      <c r="B45" s="148" t="s">
        <v>7708</v>
      </c>
      <c r="C45" s="156" t="s">
        <v>7709</v>
      </c>
      <c r="D45" s="146" cm="1">
        <f t="array" ref="D45">SUM(SUMIFS('Load Projects'!$E:$E,'Load Projects'!$O:$O,{1,2,3,4,5,6,7,8,9,10,11,12},'Load Projects'!$F:$F,"DAT-CM",'Load Projects'!$K:$K,"A"))</f>
        <v>0</v>
      </c>
      <c r="E45" s="146" cm="1">
        <f t="array" ref="E45">SUM(SUMIFS('Load Projects'!$E:$E,'Load Projects'!$O:$O,{1,2,3,4,5,6,7,8,9,10,11,12},'Load Projects'!$F:$F,"DAT-CM",'Load Projects'!$K:$K,"B"))</f>
        <v>0</v>
      </c>
      <c r="F45" s="146" cm="1">
        <f t="array" ref="F45">SUM(SUMIFS('Load Projects'!$E:$E,'Load Projects'!$O:$O,{1,2,3,4,5,6,7,8,9,10,11,12},'Load Projects'!$F:$F,"DAT-CM",'Load Projects'!$K:$K,"C"))</f>
        <v>110</v>
      </c>
      <c r="G45" s="146" cm="1">
        <f t="array" ref="G45">SUM(SUMIFS('Load Projects'!$E:$E,'Load Projects'!$O:$O,{1,2,3,4,5,6,7,8,9,10,11,12},'Load Projects'!$F:$F,"DAT-CM",'Load Projects'!$K:$K,"D"))</f>
        <v>635</v>
      </c>
      <c r="H45" s="146" cm="1">
        <f t="array" ref="H45">SUM(SUMIFS('Load Projects'!$E:$E,'Load Projects'!$O:$O,{1,2,3,4,5,6,7,8,9,10,11,12},'Load Projects'!$F:$F,"DAT-CM",'Load Projects'!$K:$K,"E"))</f>
        <v>0</v>
      </c>
      <c r="I45" s="146" cm="1">
        <f t="array" ref="I45">SUM(SUMIFS('Load Projects'!$E:$E,'Load Projects'!$O:$O,{1,2,3,4,5,6,7,8,9,10,11,12},'Load Projects'!$F:$F,"DAT-CM",'Load Projects'!$K:$K,"F"))</f>
        <v>0</v>
      </c>
      <c r="J45" s="146" cm="1">
        <f t="array" ref="J45">SUM(SUMIFS('Load Projects'!$E:$E,'Load Projects'!$O:$O,{1,2,3,4,5,6,7,8,9,10,11,12},'Load Projects'!$F:$F,"DAT-CM",'Load Projects'!$K:$K,"G"))</f>
        <v>0</v>
      </c>
      <c r="K45" s="146" cm="1">
        <f t="array" ref="K45">SUM(SUMIFS('Load Projects'!$E:$E,'Load Projects'!$O:$O,{1,2,3,4,5,6,7,8,9,10,11,12},'Load Projects'!$F:$F,"DAT-CM",'Load Projects'!$K:$K,"H"))</f>
        <v>0</v>
      </c>
      <c r="L45" s="146" cm="1">
        <f t="array" ref="L45">SUM(SUMIFS('Load Projects'!$E:$E,'Load Projects'!$O:$O,{1,2,3,4,5,6,7,8,9,10,11,12},'Load Projects'!$F:$F,"DAT-CM",'Load Projects'!$K:$K,"i"))</f>
        <v>0</v>
      </c>
      <c r="M45" s="146" cm="1">
        <f t="array" ref="M45">SUM(SUMIFS('Load Projects'!$E:$E,'Load Projects'!$O:$O,{1,2,3,4,5,6,7,8,9,10,11,12},'Load Projects'!$F:$F,"DAT-CM",'Load Projects'!$K:$K,"J"))</f>
        <v>0</v>
      </c>
      <c r="N45" s="146" cm="1">
        <f t="array" ref="N45">SUM(SUMIFS('Load Projects'!$E:$E,'Load Projects'!$O:$O,{1,2,3,4,5,6,7,8,9,10,11,12},'Load Projects'!$F:$F,"DAT-CM",'Load Projects'!$K:$K,"K"))</f>
        <v>0</v>
      </c>
      <c r="O45" s="150">
        <f t="shared" si="2"/>
        <v>745</v>
      </c>
    </row>
    <row r="46" spans="2:15" x14ac:dyDescent="0.2">
      <c r="B46" s="148" t="s">
        <v>440</v>
      </c>
      <c r="C46" s="149" t="s">
        <v>7710</v>
      </c>
      <c r="D46" s="146" cm="1">
        <f t="array" ref="D46">SUM(SUMIFS('Load Projects'!$E:$E,'Load Projects'!$O:$O,{1,2,3,4,5,6,7,8,9,10,11,12},'Load Projects'!$F:$F,"M",'Load Projects'!$K:$K,"A"))</f>
        <v>0</v>
      </c>
      <c r="E46" s="146" cm="1">
        <f t="array" ref="E46">SUM(SUMIFS('Load Projects'!$E:$E,'Load Projects'!$O:$O,{1,2,3,4,5,6,7,8,9,10,11,12},'Load Projects'!$F:$F,"M",'Load Projects'!$K:$K,"B"))</f>
        <v>0</v>
      </c>
      <c r="F46" s="146" cm="1">
        <f t="array" ref="F46">SUM(SUMIFS('Load Projects'!$E:$E,'Load Projects'!$O:$O,{1,2,3,4,5,6,7,8,9,10,11,12},'Load Projects'!$F:$F,"M",'Load Projects'!$K:$K,"C"))</f>
        <v>0</v>
      </c>
      <c r="G46" s="146" cm="1">
        <f t="array" ref="G46">SUM(SUMIFS('Load Projects'!$E:$E,'Load Projects'!$O:$O,{1,2,3,4,5,6,7,8,9,10,11,12},'Load Projects'!$F:$F,"M",'Load Projects'!$K:$K,"D"))</f>
        <v>0</v>
      </c>
      <c r="H46" s="146" cm="1">
        <f t="array" ref="H46">SUM(SUMIFS('Load Projects'!$E:$E,'Load Projects'!$O:$O,{1,2,3,4,5,6,7,8,9,10,11,12},'Load Projects'!$F:$F,"M",'Load Projects'!$K:$K,"E"))</f>
        <v>0</v>
      </c>
      <c r="I46" s="146" cm="1">
        <f t="array" ref="I46">SUM(SUMIFS('Load Projects'!$E:$E,'Load Projects'!$O:$O,{1,2,3,4,5,6,7,8,9,10,11,12},'Load Projects'!$F:$F,"M",'Load Projects'!$K:$K,"F"))</f>
        <v>0</v>
      </c>
      <c r="J46" s="146" cm="1">
        <f t="array" ref="J46">SUM(SUMIFS('Load Projects'!$E:$E,'Load Projects'!$O:$O,{1,2,3,4,5,6,7,8,9,10,11,12},'Load Projects'!$F:$F,"M",'Load Projects'!$K:$K,"G"))</f>
        <v>0</v>
      </c>
      <c r="K46" s="146" cm="1">
        <f t="array" ref="K46">SUM(SUMIFS('Load Projects'!$E:$E,'Load Projects'!$O:$O,{1,2,3,4,5,6,7,8,9,10,11,12},'Load Projects'!$F:$F,"M",'Load Projects'!$K:$K,"H"))</f>
        <v>0</v>
      </c>
      <c r="L46" s="146" cm="1">
        <f t="array" ref="L46">SUM(SUMIFS('Load Projects'!$E:$E,'Load Projects'!$O:$O,{1,2,3,4,5,6,7,8,9,10,11,12},'Load Projects'!$F:$F,"M",'Load Projects'!$K:$K,"i"))</f>
        <v>0</v>
      </c>
      <c r="M46" s="146" cm="1">
        <f t="array" ref="M46">SUM(SUMIFS('Load Projects'!$E:$E,'Load Projects'!$O:$O,{1,2,3,4,5,6,7,8,9,10,11,12},'Load Projects'!$F:$F,"M",'Load Projects'!$K:$K,"J"))</f>
        <v>0</v>
      </c>
      <c r="N46" s="146" cm="1">
        <f t="array" ref="N46">SUM(SUMIFS('Load Projects'!$E:$E,'Load Projects'!$O:$O,{1,2,3,4,5,6,7,8,9,10,11,12},'Load Projects'!$F:$F,"M",'Load Projects'!$K:$K,"K"))</f>
        <v>0</v>
      </c>
      <c r="O46" s="150">
        <f t="shared" si="2"/>
        <v>0</v>
      </c>
    </row>
    <row r="47" spans="2:15" x14ac:dyDescent="0.2">
      <c r="B47" s="148" t="s">
        <v>7711</v>
      </c>
      <c r="C47" s="149" t="s">
        <v>7712</v>
      </c>
      <c r="D47" s="146" cm="1">
        <f t="array" ref="D47">SUM(SUMIFS('Load Projects'!$E:$E,'Load Projects'!$O:$O,{1,2,3,4,5,6,7,8,9,10,11,12},'Load Projects'!$F:$F,"M-CH",'Load Projects'!$K:$K,"A"))</f>
        <v>0</v>
      </c>
      <c r="E47" s="146" cm="1">
        <f t="array" ref="E47">SUM(SUMIFS('Load Projects'!$E:$E,'Load Projects'!$O:$O,{1,2,3,4,5,6,7,8,9,10,11,12},'Load Projects'!$F:$F,"M-CH",'Load Projects'!$K:$K,"B"))</f>
        <v>0</v>
      </c>
      <c r="F47" s="146" cm="1">
        <f t="array" ref="F47">SUM(SUMIFS('Load Projects'!$E:$E,'Load Projects'!$O:$O,{1,2,3,4,5,6,7,8,9,10,11,12},'Load Projects'!$F:$F,"M-CH",'Load Projects'!$K:$K,"C"))</f>
        <v>1056</v>
      </c>
      <c r="G47" s="146" cm="1">
        <f t="array" ref="G47">SUM(SUMIFS('Load Projects'!$E:$E,'Load Projects'!$O:$O,{1,2,3,4,5,6,7,8,9,10,11,12},'Load Projects'!$F:$F,"M-CH",'Load Projects'!$K:$K,"D"))</f>
        <v>0</v>
      </c>
      <c r="H47" s="146" cm="1">
        <f t="array" ref="H47">SUM(SUMIFS('Load Projects'!$E:$E,'Load Projects'!$O:$O,{1,2,3,4,5,6,7,8,9,10,11,12},'Load Projects'!$F:$F,"M-CH",'Load Projects'!$K:$K,"E"))</f>
        <v>0</v>
      </c>
      <c r="I47" s="146" cm="1">
        <f t="array" ref="I47">SUM(SUMIFS('Load Projects'!$E:$E,'Load Projects'!$O:$O,{1,2,3,4,5,6,7,8,9,10,11,12},'Load Projects'!$F:$F,"M-CH",'Load Projects'!$K:$K,"F"))</f>
        <v>0</v>
      </c>
      <c r="J47" s="146" cm="1">
        <f t="array" ref="J47">SUM(SUMIFS('Load Projects'!$E:$E,'Load Projects'!$O:$O,{1,2,3,4,5,6,7,8,9,10,11,12},'Load Projects'!$F:$F,"M-CH",'Load Projects'!$K:$K,"G"))</f>
        <v>0</v>
      </c>
      <c r="K47" s="146" cm="1">
        <f t="array" ref="K47">SUM(SUMIFS('Load Projects'!$E:$E,'Load Projects'!$O:$O,{1,2,3,4,5,6,7,8,9,10,11,12},'Load Projects'!$F:$F,"M-CH",'Load Projects'!$K:$K,"H"))</f>
        <v>0</v>
      </c>
      <c r="L47" s="146" cm="1">
        <f t="array" ref="L47">SUM(SUMIFS('Load Projects'!$E:$E,'Load Projects'!$O:$O,{1,2,3,4,5,6,7,8,9,10,11,12},'Load Projects'!$F:$F,"M-CH",'Load Projects'!$K:$K,"i"))</f>
        <v>0</v>
      </c>
      <c r="M47" s="146" cm="1">
        <f t="array" ref="M47">SUM(SUMIFS('Load Projects'!$E:$E,'Load Projects'!$O:$O,{1,2,3,4,5,6,7,8,9,10,11,12},'Load Projects'!$F:$F,"M-CH",'Load Projects'!$K:$K,"J"))</f>
        <v>0</v>
      </c>
      <c r="N47" s="146" cm="1">
        <f t="array" ref="N47">SUM(SUMIFS('Load Projects'!$E:$E,'Load Projects'!$O:$O,{1,2,3,4,5,6,7,8,9,10,11,12},'Load Projects'!$F:$F,"M-CH",'Load Projects'!$K:$K,"K"))</f>
        <v>0</v>
      </c>
      <c r="O47" s="150">
        <f t="shared" si="2"/>
        <v>1056</v>
      </c>
    </row>
    <row r="48" spans="2:15" x14ac:dyDescent="0.2">
      <c r="B48" s="148" t="s">
        <v>7713</v>
      </c>
      <c r="C48" s="156" t="s">
        <v>7714</v>
      </c>
      <c r="D48" s="146" cm="1">
        <f t="array" ref="D48">SUM(SUMIFS('Load Projects'!$E:$E,'Load Projects'!$O:$O,{1,2,3,4,5,6,7,8,9,10,11,12},'Load Projects'!$F:$F,"M-CG",'Load Projects'!$K:$K,"A"))</f>
        <v>0</v>
      </c>
      <c r="E48" s="146" cm="1">
        <f t="array" ref="E48">SUM(SUMIFS('Load Projects'!$E:$E,'Load Projects'!$O:$O,{1,2,3,4,5,6,7,8,9,10,11,12},'Load Projects'!$F:$F,"M-CG",'Load Projects'!$K:$K,"B"))</f>
        <v>0</v>
      </c>
      <c r="F48" s="146" cm="1">
        <f t="array" ref="F48">SUM(SUMIFS('Load Projects'!$E:$E,'Load Projects'!$O:$O,{1,2,3,4,5,6,7,8,9,10,11,12},'Load Projects'!$F:$F,"M-CG",'Load Projects'!$K:$K,"C"))</f>
        <v>0</v>
      </c>
      <c r="G48" s="146" cm="1">
        <f t="array" ref="G48">SUM(SUMIFS('Load Projects'!$E:$E,'Load Projects'!$O:$O,{1,2,3,4,5,6,7,8,9,10,11,12},'Load Projects'!$F:$F,"M-CG",'Load Projects'!$K:$K,"D"))</f>
        <v>0</v>
      </c>
      <c r="H48" s="146" cm="1">
        <f t="array" ref="H48">SUM(SUMIFS('Load Projects'!$E:$E,'Load Projects'!$O:$O,{1,2,3,4,5,6,7,8,9,10,11,12},'Load Projects'!$F:$F,"M-CG",'Load Projects'!$K:$K,"E"))</f>
        <v>66</v>
      </c>
      <c r="I48" s="146" cm="1">
        <f t="array" ref="I48">SUM(SUMIFS('Load Projects'!$E:$E,'Load Projects'!$O:$O,{1,2,3,4,5,6,7,8,9,10,11,12},'Load Projects'!$F:$F,"M-CG",'Load Projects'!$K:$K,"F"))</f>
        <v>40</v>
      </c>
      <c r="J48" s="146" cm="1">
        <f t="array" ref="J48">SUM(SUMIFS('Load Projects'!$E:$E,'Load Projects'!$O:$O,{1,2,3,4,5,6,7,8,9,10,11,12},'Load Projects'!$F:$F,"M-CG",'Load Projects'!$K:$K,"G"))</f>
        <v>0</v>
      </c>
      <c r="K48" s="146" cm="1">
        <f t="array" ref="K48">SUM(SUMIFS('Load Projects'!$E:$E,'Load Projects'!$O:$O,{1,2,3,4,5,6,7,8,9,10,11,12},'Load Projects'!$F:$F,"M-CG",'Load Projects'!$K:$K,"H"))</f>
        <v>0</v>
      </c>
      <c r="L48" s="146" cm="1">
        <f t="array" ref="L48">SUM(SUMIFS('Load Projects'!$E:$E,'Load Projects'!$O:$O,{1,2,3,4,5,6,7,8,9,10,11,12},'Load Projects'!$F:$F,"M-CG",'Load Projects'!$K:$K,"i"))</f>
        <v>0</v>
      </c>
      <c r="M48" s="146" cm="1">
        <f t="array" ref="M48">SUM(SUMIFS('Load Projects'!$E:$E,'Load Projects'!$O:$O,{1,2,3,4,5,6,7,8,9,10,11,12},'Load Projects'!$F:$F,"M-CG",'Load Projects'!$K:$K,"J"))</f>
        <v>0</v>
      </c>
      <c r="N48" s="146" cm="1">
        <f t="array" ref="N48">SUM(SUMIFS('Load Projects'!$E:$E,'Load Projects'!$O:$O,{1,2,3,4,5,6,7,8,9,10,11,12},'Load Projects'!$F:$F,"M-CG",'Load Projects'!$K:$K,"K"))</f>
        <v>0</v>
      </c>
      <c r="O48" s="150">
        <f t="shared" si="2"/>
        <v>106</v>
      </c>
    </row>
    <row r="49" spans="2:17" x14ac:dyDescent="0.2">
      <c r="B49" s="148" t="s">
        <v>7715</v>
      </c>
      <c r="C49" s="156" t="s">
        <v>7716</v>
      </c>
      <c r="D49" s="146" cm="1">
        <f t="array" ref="D49">SUM(SUMIFS('Load Projects'!$E:$E,'Load Projects'!$O:$O,{1,2,3,4,5,6,7,8,9,10,11,12},'Load Projects'!$F:$F,"M-IN",'Load Projects'!$K:$K,"A"))</f>
        <v>0</v>
      </c>
      <c r="E49" s="146" cm="1">
        <f t="array" ref="E49">SUM(SUMIFS('Load Projects'!$E:$E,'Load Projects'!$O:$O,{1,2,3,4,5,6,7,8,9,10,11,12},'Load Projects'!$F:$F,"M-IN",'Load Projects'!$K:$K,"B"))</f>
        <v>0</v>
      </c>
      <c r="F49" s="146" cm="1">
        <f t="array" ref="F49">SUM(SUMIFS('Load Projects'!$E:$E,'Load Projects'!$O:$O,{1,2,3,4,5,6,7,8,9,10,11,12},'Load Projects'!$F:$F,"M-IN",'Load Projects'!$K:$K,"C"))</f>
        <v>0</v>
      </c>
      <c r="G49" s="146" cm="1">
        <f t="array" ref="G49">SUM(SUMIFS('Load Projects'!$E:$E,'Load Projects'!$O:$O,{1,2,3,4,5,6,7,8,9,10,11,12},'Load Projects'!$F:$F,"M-IN",'Load Projects'!$K:$K,"D"))</f>
        <v>0</v>
      </c>
      <c r="H49" s="146" cm="1">
        <f t="array" ref="H49">SUM(SUMIFS('Load Projects'!$E:$E,'Load Projects'!$O:$O,{1,2,3,4,5,6,7,8,9,10,11,12},'Load Projects'!$F:$F,"M-IN",'Load Projects'!$K:$K,"E"))</f>
        <v>0</v>
      </c>
      <c r="I49" s="146" cm="1">
        <f t="array" ref="I49">SUM(SUMIFS('Load Projects'!$E:$E,'Load Projects'!$O:$O,{1,2,3,4,5,6,7,8,9,10,11,12},'Load Projects'!$F:$F,"M-IN",'Load Projects'!$K:$K,"F"))</f>
        <v>50</v>
      </c>
      <c r="J49" s="146" cm="1">
        <f t="array" ref="J49">SUM(SUMIFS('Load Projects'!$E:$E,'Load Projects'!$O:$O,{1,2,3,4,5,6,7,8,9,10,11,12},'Load Projects'!$F:$F,"M-IN",'Load Projects'!$K:$K,"G"))</f>
        <v>0</v>
      </c>
      <c r="K49" s="146" cm="1">
        <f t="array" ref="K49">SUM(SUMIFS('Load Projects'!$E:$E,'Load Projects'!$O:$O,{1,2,3,4,5,6,7,8,9,10,11,12},'Load Projects'!$F:$F,"M-IN",'Load Projects'!$K:$K,"H"))</f>
        <v>0</v>
      </c>
      <c r="L49" s="146" cm="1">
        <f t="array" ref="L49">SUM(SUMIFS('Load Projects'!$E:$E,'Load Projects'!$O:$O,{1,2,3,4,5,6,7,8,9,10,11,12},'Load Projects'!$F:$F,"M-IN",'Load Projects'!$K:$K,"i"))</f>
        <v>0</v>
      </c>
      <c r="M49" s="146" cm="1">
        <f t="array" ref="M49">SUM(SUMIFS('Load Projects'!$E:$E,'Load Projects'!$O:$O,{1,2,3,4,5,6,7,8,9,10,11,12},'Load Projects'!$F:$F,"M-IN",'Load Projects'!$K:$K,"J"))</f>
        <v>0</v>
      </c>
      <c r="N49" s="146" cm="1">
        <f t="array" ref="N49">SUM(SUMIFS('Load Projects'!$E:$E,'Load Projects'!$O:$O,{1,2,3,4,5,6,7,8,9,10,11,12},'Load Projects'!$F:$F,"M-IN",'Load Projects'!$K:$K,"K"))</f>
        <v>0</v>
      </c>
      <c r="O49" s="150">
        <f t="shared" si="2"/>
        <v>50</v>
      </c>
    </row>
    <row r="50" spans="2:17" x14ac:dyDescent="0.2">
      <c r="B50" s="148" t="s">
        <v>7717</v>
      </c>
      <c r="C50" s="149" t="s">
        <v>7718</v>
      </c>
      <c r="D50" s="146" cm="1">
        <f t="array" ref="D50">SUM(SUMIFS('Load Projects'!$E:$E,'Load Projects'!$O:$O,{1,2,3,4,5,6,7,8,9,10,11,12},'Load Projects'!$F:$F,"RD",'Load Projects'!$K:$K,"A"))</f>
        <v>0</v>
      </c>
      <c r="E50" s="146" cm="1">
        <f t="array" ref="E50">SUM(SUMIFS('Load Projects'!$E:$E,'Load Projects'!$O:$O,{1,2,3,4,5,6,7,8,9,10,11,12},'Load Projects'!$F:$F,"RD",'Load Projects'!$K:$K,"B"))</f>
        <v>0</v>
      </c>
      <c r="F50" s="146" cm="1">
        <f t="array" ref="F50">SUM(SUMIFS('Load Projects'!$E:$E,'Load Projects'!$O:$O,{1,2,3,4,5,6,7,8,9,10,11,12},'Load Projects'!$F:$F,"RD",'Load Projects'!$K:$K,"C"))</f>
        <v>250</v>
      </c>
      <c r="G50" s="146" cm="1">
        <f t="array" ref="G50">SUM(SUMIFS('Load Projects'!$E:$E,'Load Projects'!$O:$O,{1,2,3,4,5,6,7,8,9,10,11,12},'Load Projects'!$F:$F,"RD",'Load Projects'!$K:$K,"D"))</f>
        <v>0</v>
      </c>
      <c r="H50" s="146" cm="1">
        <f t="array" ref="H50">SUM(SUMIFS('Load Projects'!$E:$E,'Load Projects'!$O:$O,{1,2,3,4,5,6,7,8,9,10,11,12},'Load Projects'!$F:$F,"RD",'Load Projects'!$K:$K,"E"))</f>
        <v>0</v>
      </c>
      <c r="I50" s="146" cm="1">
        <f t="array" ref="I50">SUM(SUMIFS('Load Projects'!$E:$E,'Load Projects'!$O:$O,{1,2,3,4,5,6,7,8,9,10,11,12},'Load Projects'!$F:$F,"RD",'Load Projects'!$K:$K,"F"))</f>
        <v>145</v>
      </c>
      <c r="J50" s="146" cm="1">
        <f t="array" ref="J50">SUM(SUMIFS('Load Projects'!$E:$E,'Load Projects'!$O:$O,{1,2,3,4,5,6,7,8,9,10,11,12},'Load Projects'!$F:$F,"RD",'Load Projects'!$K:$K,"G"))</f>
        <v>0</v>
      </c>
      <c r="K50" s="146" cm="1">
        <f t="array" ref="K50">SUM(SUMIFS('Load Projects'!$E:$E,'Load Projects'!$O:$O,{1,2,3,4,5,6,7,8,9,10,11,12},'Load Projects'!$F:$F,"RD",'Load Projects'!$K:$K,"H"))</f>
        <v>0</v>
      </c>
      <c r="L50" s="146" cm="1">
        <f t="array" ref="L50">SUM(SUMIFS('Load Projects'!$E:$E,'Load Projects'!$O:$O,{1,2,3,4,5,6,7,8,9,10,11,12},'Load Projects'!$F:$F,"RD",'Load Projects'!$K:$K,"i"))</f>
        <v>0</v>
      </c>
      <c r="M50" s="146" cm="1">
        <f t="array" ref="M50">SUM(SUMIFS('Load Projects'!$E:$E,'Load Projects'!$O:$O,{1,2,3,4,5,6,7,8,9,10,11,12},'Load Projects'!$F:$F,"RD",'Load Projects'!$K:$K,"J"))</f>
        <v>0</v>
      </c>
      <c r="N50" s="146" cm="1">
        <f t="array" ref="N50">SUM(SUMIFS('Load Projects'!$E:$E,'Load Projects'!$O:$O,{1,2,3,4,5,6,7,8,9,10,11,12},'Load Projects'!$F:$F,"RD",'Load Projects'!$K:$K,"K"))</f>
        <v>0</v>
      </c>
      <c r="O50" s="150">
        <f t="shared" si="2"/>
        <v>395</v>
      </c>
    </row>
    <row r="51" spans="2:17" x14ac:dyDescent="0.2">
      <c r="B51" s="148" t="s">
        <v>7719</v>
      </c>
      <c r="C51" s="149" t="s">
        <v>7720</v>
      </c>
      <c r="D51" s="146" cm="1">
        <f t="array" ref="D51">SUM(SUMIFS('Load Projects'!$E:$E,'Load Projects'!$O:$O,{1,2,3,4,5,6,7,8,9,10,11,12},'Load Projects'!$F:$F,"HP",'Load Projects'!$K:$K,"A"))</f>
        <v>0</v>
      </c>
      <c r="E51" s="146" cm="1">
        <f t="array" ref="E51">SUM(SUMIFS('Load Projects'!$E:$E,'Load Projects'!$O:$O,{1,2,3,4,5,6,7,8,9,10,11,12},'Load Projects'!$F:$F,"HP",'Load Projects'!$K:$K,"B"))</f>
        <v>0</v>
      </c>
      <c r="F51" s="146" cm="1">
        <f t="array" ref="F51">SUM(SUMIFS('Load Projects'!$E:$E,'Load Projects'!$O:$O,{1,2,3,4,5,6,7,8,9,10,11,12},'Load Projects'!$F:$F,"HP",'Load Projects'!$K:$K,"C"))</f>
        <v>0</v>
      </c>
      <c r="G51" s="146" cm="1">
        <f t="array" ref="G51">SUM(SUMIFS('Load Projects'!$E:$E,'Load Projects'!$O:$O,{1,2,3,4,5,6,7,8,9,10,11,12},'Load Projects'!$F:$F,"HP",'Load Projects'!$K:$K,"D"))</f>
        <v>0</v>
      </c>
      <c r="H51" s="146" cm="1">
        <f t="array" ref="H51">SUM(SUMIFS('Load Projects'!$E:$E,'Load Projects'!$O:$O,{1,2,3,4,5,6,7,8,9,10,11,12},'Load Projects'!$F:$F,"HP",'Load Projects'!$K:$K,"E"))</f>
        <v>0</v>
      </c>
      <c r="I51" s="146" cm="1">
        <f t="array" ref="I51">SUM(SUMIFS('Load Projects'!$E:$E,'Load Projects'!$O:$O,{1,2,3,4,5,6,7,8,9,10,11,12},'Load Projects'!$F:$F,"HP",'Load Projects'!$K:$K,"F"))</f>
        <v>0</v>
      </c>
      <c r="J51" s="146" cm="1">
        <f t="array" ref="J51">SUM(SUMIFS('Load Projects'!$E:$E,'Load Projects'!$O:$O,{1,2,3,4,5,6,7,8,9,10,11,12},'Load Projects'!$F:$F,"HP",'Load Projects'!$K:$K,"G"))</f>
        <v>0</v>
      </c>
      <c r="K51" s="146" cm="1">
        <f t="array" ref="K51">SUM(SUMIFS('Load Projects'!$E:$E,'Load Projects'!$O:$O,{1,2,3,4,5,6,7,8,9,10,11,12},'Load Projects'!$F:$F,"HP",'Load Projects'!$K:$K,"H"))</f>
        <v>0</v>
      </c>
      <c r="L51" s="146" cm="1">
        <f t="array" ref="L51">SUM(SUMIFS('Load Projects'!$E:$E,'Load Projects'!$O:$O,{1,2,3,4,5,6,7,8,9,10,11,12},'Load Projects'!$F:$F,"HP",'Load Projects'!$K:$K,"i"))</f>
        <v>0</v>
      </c>
      <c r="M51" s="146" cm="1">
        <f t="array" ref="M51">SUM(SUMIFS('Load Projects'!$E:$E,'Load Projects'!$O:$O,{1,2,3,4,5,6,7,8,9,10,11,12},'Load Projects'!$F:$F,"HP",'Load Projects'!$K:$K,"J"))</f>
        <v>0</v>
      </c>
      <c r="N51" s="146" cm="1">
        <f t="array" ref="N51">SUM(SUMIFS('Load Projects'!$E:$E,'Load Projects'!$O:$O,{1,2,3,4,5,6,7,8,9,10,11,12},'Load Projects'!$F:$F,"HP",'Load Projects'!$K:$K,"K"))</f>
        <v>0</v>
      </c>
      <c r="O51" s="150">
        <f t="shared" si="2"/>
        <v>0</v>
      </c>
    </row>
    <row r="52" spans="2:17" x14ac:dyDescent="0.2">
      <c r="B52" s="148" t="s">
        <v>6715</v>
      </c>
      <c r="C52" s="149" t="s">
        <v>7721</v>
      </c>
      <c r="D52" s="146" cm="1">
        <f t="array" ref="D52">SUM(SUMIFS('Load Projects'!$E:$E,'Load Projects'!$O:$O,{1,2,3,4,5,6,7,8,9,10,11,12},'Load Projects'!$F:$F,"O",'Load Projects'!$K:$K,"A"))</f>
        <v>0</v>
      </c>
      <c r="E52" s="146" cm="1">
        <f t="array" ref="E52">SUM(SUMIFS('Load Projects'!$E:$E,'Load Projects'!$O:$O,{1,2,3,4,5,6,7,8,9,10,11,12},'Load Projects'!$F:$F,"O",'Load Projects'!$K:$K,"B"))</f>
        <v>0</v>
      </c>
      <c r="F52" s="146" cm="1">
        <f t="array" ref="F52">SUM(SUMIFS('Load Projects'!$E:$E,'Load Projects'!$O:$O,{1,2,3,4,5,6,7,8,9,10,11,12},'Load Projects'!$F:$F,"O",'Load Projects'!$K:$K,"C"))</f>
        <v>50</v>
      </c>
      <c r="G52" s="146" cm="1">
        <f t="array" ref="G52">SUM(SUMIFS('Load Projects'!$E:$E,'Load Projects'!$O:$O,{1,2,3,4,5,6,7,8,9,10,11,12},'Load Projects'!$F:$F,"O",'Load Projects'!$K:$K,"D"))</f>
        <v>0</v>
      </c>
      <c r="H52" s="146" cm="1">
        <f t="array" ref="H52">SUM(SUMIFS('Load Projects'!$E:$E,'Load Projects'!$O:$O,{1,2,3,4,5,6,7,8,9,10,11,12},'Load Projects'!$F:$F,"O",'Load Projects'!$K:$K,"E"))</f>
        <v>0</v>
      </c>
      <c r="I52" s="146" cm="1">
        <f t="array" ref="I52">SUM(SUMIFS('Load Projects'!$E:$E,'Load Projects'!$O:$O,{1,2,3,4,5,6,7,8,9,10,11,12},'Load Projects'!$F:$F,"O",'Load Projects'!$K:$K,"F"))</f>
        <v>0</v>
      </c>
      <c r="J52" s="146" cm="1">
        <f t="array" ref="J52">SUM(SUMIFS('Load Projects'!$E:$E,'Load Projects'!$O:$O,{1,2,3,4,5,6,7,8,9,10,11,12},'Load Projects'!$F:$F,"O",'Load Projects'!$K:$K,"G"))</f>
        <v>0</v>
      </c>
      <c r="K52" s="146" cm="1">
        <f t="array" ref="K52">SUM(SUMIFS('Load Projects'!$E:$E,'Load Projects'!$O:$O,{1,2,3,4,5,6,7,8,9,10,11,12},'Load Projects'!$F:$F,"O",'Load Projects'!$K:$K,"H"))</f>
        <v>0</v>
      </c>
      <c r="L52" s="146" cm="1">
        <f t="array" ref="L52">SUM(SUMIFS('Load Projects'!$E:$E,'Load Projects'!$O:$O,{1,2,3,4,5,6,7,8,9,10,11,12},'Load Projects'!$F:$F,"O",'Load Projects'!$K:$K,"i"))</f>
        <v>0</v>
      </c>
      <c r="M52" s="146" cm="1">
        <f t="array" ref="M52">SUM(SUMIFS('Load Projects'!$E:$E,'Load Projects'!$O:$O,{1,2,3,4,5,6,7,8,9,10,11,12},'Load Projects'!$F:$F,"O",'Load Projects'!$K:$K,"J"))</f>
        <v>0</v>
      </c>
      <c r="N52" s="146" cm="1">
        <f t="array" ref="N52">SUM(SUMIFS('Load Projects'!$E:$E,'Load Projects'!$O:$O,{1,2,3,4,5,6,7,8,9,10,11,12},'Load Projects'!$F:$F,"O",'Load Projects'!$K:$K,"K"))</f>
        <v>0</v>
      </c>
      <c r="O52" s="150">
        <f t="shared" si="2"/>
        <v>50</v>
      </c>
    </row>
    <row r="53" spans="2:17" x14ac:dyDescent="0.2">
      <c r="B53" s="149"/>
      <c r="C53" s="151" t="s">
        <v>7703</v>
      </c>
      <c r="D53" s="150">
        <f t="shared" ref="D53:O53" si="3">SUM(D43:D52)</f>
        <v>2040</v>
      </c>
      <c r="E53" s="150">
        <f t="shared" si="3"/>
        <v>600</v>
      </c>
      <c r="F53" s="150">
        <f t="shared" si="3"/>
        <v>3086</v>
      </c>
      <c r="G53" s="150">
        <f t="shared" si="3"/>
        <v>2890</v>
      </c>
      <c r="H53" s="150">
        <f t="shared" si="3"/>
        <v>2909</v>
      </c>
      <c r="I53" s="150">
        <f t="shared" si="3"/>
        <v>415</v>
      </c>
      <c r="J53" s="150">
        <f t="shared" si="3"/>
        <v>252.3</v>
      </c>
      <c r="K53" s="150">
        <f t="shared" si="3"/>
        <v>1200</v>
      </c>
      <c r="L53" s="150">
        <f t="shared" si="3"/>
        <v>0</v>
      </c>
      <c r="M53" s="150">
        <f t="shared" si="3"/>
        <v>0</v>
      </c>
      <c r="N53" s="150">
        <f t="shared" si="3"/>
        <v>176.6</v>
      </c>
      <c r="O53" s="150">
        <f t="shared" si="3"/>
        <v>13568.900000000001</v>
      </c>
      <c r="Q53" s="157"/>
    </row>
    <row r="54" spans="2:17" ht="15.75" x14ac:dyDescent="0.25">
      <c r="B54" s="168" t="s">
        <v>7754</v>
      </c>
      <c r="C54" s="169"/>
      <c r="D54" s="170"/>
      <c r="E54" s="170"/>
      <c r="F54" s="170"/>
      <c r="G54" s="170"/>
      <c r="H54" s="170"/>
      <c r="I54" s="170"/>
      <c r="J54" s="170"/>
      <c r="K54" s="170"/>
      <c r="L54" s="170"/>
      <c r="M54" s="170"/>
      <c r="N54" s="170"/>
      <c r="O54" s="170"/>
      <c r="Q54" s="157"/>
    </row>
    <row r="55" spans="2:17" x14ac:dyDescent="0.2">
      <c r="B55" s="158"/>
      <c r="C55" s="158"/>
      <c r="D55" s="159"/>
      <c r="E55" s="159"/>
      <c r="F55" s="159"/>
      <c r="G55" s="159"/>
      <c r="H55" s="159"/>
    </row>
    <row r="56" spans="2:17" x14ac:dyDescent="0.2">
      <c r="B56" s="160"/>
      <c r="C56" s="160"/>
      <c r="D56" s="155"/>
      <c r="E56" s="155"/>
      <c r="F56" s="155"/>
      <c r="G56" s="155"/>
      <c r="H56" s="155"/>
    </row>
    <row r="57" spans="2:17" x14ac:dyDescent="0.2">
      <c r="B57" s="160"/>
      <c r="C57" s="160"/>
      <c r="D57" s="155"/>
      <c r="E57" s="155"/>
      <c r="F57" s="155"/>
      <c r="G57" s="155"/>
      <c r="H57" s="155"/>
    </row>
    <row r="58" spans="2:17" x14ac:dyDescent="0.2">
      <c r="B58" s="160"/>
      <c r="C58" s="160"/>
      <c r="D58" s="155"/>
      <c r="E58" s="155"/>
      <c r="F58" s="155"/>
      <c r="G58" s="155"/>
      <c r="H58" s="155"/>
    </row>
    <row r="59" spans="2:17" x14ac:dyDescent="0.2">
      <c r="B59" s="160"/>
      <c r="C59" s="160"/>
      <c r="D59" s="155"/>
      <c r="E59" s="155"/>
      <c r="F59" s="155"/>
      <c r="G59" s="155"/>
      <c r="H59" s="155"/>
    </row>
    <row r="60" spans="2:17" x14ac:dyDescent="0.2">
      <c r="B60" s="160"/>
      <c r="C60" s="160"/>
      <c r="D60" s="155"/>
      <c r="E60" s="155"/>
      <c r="F60" s="155"/>
      <c r="G60" s="155"/>
      <c r="H60" s="155"/>
    </row>
    <row r="61" spans="2:17" x14ac:dyDescent="0.2">
      <c r="B61" s="160"/>
      <c r="C61" s="160"/>
      <c r="D61" s="155"/>
      <c r="E61" s="155"/>
      <c r="F61" s="155"/>
      <c r="G61" s="155"/>
      <c r="H61" s="155"/>
    </row>
    <row r="62" spans="2:17" x14ac:dyDescent="0.2">
      <c r="B62" s="160"/>
      <c r="C62" s="160"/>
      <c r="D62" s="155"/>
      <c r="E62" s="155"/>
      <c r="F62" s="155"/>
      <c r="G62" s="155"/>
      <c r="H62" s="155"/>
    </row>
    <row r="63" spans="2:17" x14ac:dyDescent="0.2">
      <c r="B63" s="160"/>
      <c r="C63" s="160"/>
      <c r="D63" s="155"/>
      <c r="E63" s="155"/>
      <c r="F63" s="155"/>
      <c r="G63" s="155"/>
      <c r="H63" s="155"/>
    </row>
    <row r="64" spans="2:17" x14ac:dyDescent="0.2">
      <c r="B64" s="160"/>
      <c r="C64" s="160"/>
      <c r="D64" s="155"/>
      <c r="E64" s="155"/>
      <c r="F64" s="155"/>
      <c r="G64" s="155"/>
      <c r="H64" s="155"/>
    </row>
    <row r="65" spans="2:8" x14ac:dyDescent="0.2">
      <c r="B65" s="160"/>
      <c r="C65" s="160"/>
      <c r="D65" s="155"/>
      <c r="E65" s="155"/>
      <c r="F65" s="155"/>
      <c r="G65" s="155"/>
      <c r="H65" s="155"/>
    </row>
    <row r="66" spans="2:8" x14ac:dyDescent="0.2">
      <c r="B66" s="160"/>
      <c r="C66" s="160"/>
      <c r="D66" s="155"/>
      <c r="E66" s="155"/>
      <c r="F66" s="155"/>
      <c r="G66" s="155"/>
      <c r="H66" s="155"/>
    </row>
    <row r="67" spans="2:8" x14ac:dyDescent="0.2">
      <c r="B67" s="160"/>
      <c r="C67" s="160"/>
      <c r="D67" s="155"/>
      <c r="E67" s="155"/>
      <c r="F67" s="155"/>
      <c r="G67" s="155"/>
      <c r="H67" s="155"/>
    </row>
    <row r="68" spans="2:8" x14ac:dyDescent="0.2">
      <c r="B68" s="160"/>
      <c r="C68" s="160"/>
      <c r="D68" s="155"/>
      <c r="E68" s="155"/>
      <c r="F68" s="155"/>
      <c r="G68" s="155"/>
      <c r="H68" s="155"/>
    </row>
    <row r="69" spans="2:8" x14ac:dyDescent="0.2">
      <c r="B69" s="160"/>
      <c r="C69" s="160"/>
      <c r="D69" s="155"/>
      <c r="E69" s="155"/>
      <c r="F69" s="155"/>
      <c r="G69" s="155"/>
      <c r="H69" s="155"/>
    </row>
    <row r="70" spans="2:8" x14ac:dyDescent="0.2">
      <c r="B70" s="160"/>
      <c r="C70" s="160"/>
      <c r="D70" s="155"/>
      <c r="E70" s="155"/>
      <c r="F70" s="155"/>
      <c r="G70" s="155"/>
      <c r="H70" s="155"/>
    </row>
    <row r="71" spans="2:8" x14ac:dyDescent="0.2">
      <c r="B71" s="160"/>
      <c r="C71" s="160"/>
      <c r="D71" s="155"/>
      <c r="E71" s="155"/>
      <c r="F71" s="155"/>
      <c r="G71" s="155"/>
      <c r="H71" s="155"/>
    </row>
    <row r="72" spans="2:8" x14ac:dyDescent="0.2">
      <c r="B72" s="160"/>
      <c r="C72" s="160"/>
      <c r="D72" s="155"/>
      <c r="E72" s="155"/>
      <c r="F72" s="155"/>
      <c r="G72" s="155"/>
      <c r="H72" s="155"/>
    </row>
    <row r="73" spans="2:8" x14ac:dyDescent="0.2">
      <c r="B73" s="160"/>
      <c r="C73" s="160"/>
      <c r="D73" s="155"/>
      <c r="E73" s="155"/>
      <c r="F73" s="155"/>
      <c r="G73" s="155"/>
      <c r="H73" s="155"/>
    </row>
    <row r="74" spans="2:8" x14ac:dyDescent="0.2">
      <c r="B74" s="160"/>
      <c r="C74" s="160"/>
      <c r="D74" s="155"/>
      <c r="E74" s="155"/>
      <c r="F74" s="155"/>
      <c r="G74" s="155"/>
      <c r="H74" s="155"/>
    </row>
    <row r="75" spans="2:8" x14ac:dyDescent="0.2">
      <c r="B75" s="160"/>
      <c r="C75" s="160"/>
      <c r="D75" s="155"/>
      <c r="E75" s="155"/>
      <c r="F75" s="155"/>
      <c r="G75" s="155"/>
      <c r="H75" s="155"/>
    </row>
    <row r="76" spans="2:8" x14ac:dyDescent="0.2">
      <c r="B76" s="160"/>
      <c r="C76" s="160"/>
      <c r="D76" s="155"/>
      <c r="E76" s="155"/>
      <c r="F76" s="155"/>
      <c r="G76" s="155"/>
      <c r="H76" s="155"/>
    </row>
    <row r="77" spans="2:8" x14ac:dyDescent="0.2">
      <c r="B77" s="160"/>
      <c r="C77" s="160"/>
      <c r="D77" s="155"/>
      <c r="E77" s="155"/>
      <c r="F77" s="155"/>
      <c r="G77" s="155"/>
      <c r="H77" s="155"/>
    </row>
    <row r="78" spans="2:8" x14ac:dyDescent="0.2">
      <c r="B78" s="160"/>
      <c r="C78" s="160"/>
      <c r="D78" s="155"/>
      <c r="E78" s="155"/>
      <c r="F78" s="155"/>
      <c r="G78" s="155"/>
      <c r="H78" s="155"/>
    </row>
    <row r="79" spans="2:8" x14ac:dyDescent="0.2">
      <c r="B79" s="160"/>
      <c r="C79" s="160"/>
      <c r="D79" s="155"/>
      <c r="E79" s="155"/>
      <c r="F79" s="155"/>
      <c r="G79" s="155"/>
      <c r="H79" s="155"/>
    </row>
    <row r="80" spans="2:8" x14ac:dyDescent="0.2">
      <c r="B80" s="160"/>
      <c r="C80" s="160"/>
      <c r="D80" s="155"/>
      <c r="E80" s="155"/>
      <c r="F80" s="155"/>
      <c r="G80" s="155"/>
      <c r="H80" s="155"/>
    </row>
    <row r="81" spans="2:17" x14ac:dyDescent="0.2">
      <c r="B81" s="160"/>
      <c r="C81" s="160"/>
      <c r="D81" s="155"/>
      <c r="E81" s="155"/>
      <c r="F81" s="155"/>
      <c r="G81" s="155"/>
      <c r="H81" s="155"/>
    </row>
    <row r="82" spans="2:17" x14ac:dyDescent="0.2">
      <c r="B82" s="203" t="s">
        <v>7757</v>
      </c>
      <c r="C82" s="203"/>
      <c r="D82" s="143" t="s">
        <v>531</v>
      </c>
      <c r="E82" s="143" t="s">
        <v>540</v>
      </c>
      <c r="F82" s="143" t="s">
        <v>393</v>
      </c>
      <c r="G82" s="143" t="s">
        <v>420</v>
      </c>
      <c r="H82" s="143" t="s">
        <v>530</v>
      </c>
      <c r="I82" s="143" t="s">
        <v>471</v>
      </c>
      <c r="J82" s="143" t="s">
        <v>539</v>
      </c>
      <c r="K82" s="143" t="s">
        <v>318</v>
      </c>
      <c r="L82" s="143" t="s">
        <v>1596</v>
      </c>
      <c r="M82" s="143" t="s">
        <v>533</v>
      </c>
      <c r="N82" s="143" t="s">
        <v>532</v>
      </c>
      <c r="O82" s="143" t="s">
        <v>7692</v>
      </c>
      <c r="P82" s="143" t="s">
        <v>7722</v>
      </c>
    </row>
    <row r="83" spans="2:17" x14ac:dyDescent="0.2">
      <c r="B83" s="161">
        <v>44196</v>
      </c>
      <c r="C83" s="149" t="s">
        <v>7723</v>
      </c>
      <c r="D83" s="150" cm="1">
        <f t="array" ref="D83">SUM(SUMIFS('Load Projects'!$E:$E,'Load Projects'!$O:$O,{1,2,3,4,5,6,7,8,9,10,11,12},'Load Projects'!$K:$K,"A",'Load Projects'!$D:$D,"&lt;"&amp;DATE(2020,12,31)))</f>
        <v>0</v>
      </c>
      <c r="E83" s="150" cm="1">
        <f t="array" ref="E83">SUM(SUMIFS('Load Projects'!$E:$E,'Load Projects'!$O:$O,{1,2,3,4,5,6,7,8,9,10,11,12},'Load Projects'!$K:$K,"B",'Load Projects'!$D:$D,"&lt;"&amp;DATE(2020,12,31)))</f>
        <v>300</v>
      </c>
      <c r="F83" s="150" cm="1">
        <f t="array" ref="F83">SUM(SUMIFS('Load Projects'!$E:$E,'Load Projects'!$O:$O,{1,2,3,4,5,6,7,8,9,10,11,12},'Load Projects'!$K:$K,"C",'Load Projects'!$D:$D,"&lt;"&amp;DATE(2020,12,31)))</f>
        <v>110</v>
      </c>
      <c r="G83" s="150" cm="1">
        <f t="array" ref="G83">SUM(SUMIFS('Load Projects'!$E:$E,'Load Projects'!$O:$O,{1,2,3,4,5,6,7,8,9,10,11,12},'Load Projects'!$K:$K,"D",'Load Projects'!$D:$D,"&lt;"&amp;DATE(2020,12,31)))</f>
        <v>435</v>
      </c>
      <c r="H83" s="150" cm="1">
        <f t="array" ref="H83">SUM(SUMIFS('Load Projects'!$E:$E,'Load Projects'!$O:$O,{1,2,3,4,5,6,7,8,9,10,11,12},'Load Projects'!$K:$K,"E",'Load Projects'!$D:$D,"&lt;"&amp;DATE(2020,12,31)))</f>
        <v>0</v>
      </c>
      <c r="I83" s="150" cm="1">
        <f t="array" ref="I83">SUM(SUMIFS('Load Projects'!$E:$E,'Load Projects'!$O:$O,{1,2,3,4,5,6,7,8,9,10,11,12},'Load Projects'!$K:$K,"F",'Load Projects'!$D:$D,"&lt;"&amp;DATE(2020,12,31)))</f>
        <v>0</v>
      </c>
      <c r="J83" s="150" cm="1">
        <f t="array" ref="J83">SUM(SUMIFS('Load Projects'!$E:$E,'Load Projects'!$O:$O,{1,2,3,4,5,6,7,8,9,10,11,12},'Load Projects'!$K:$K,"G",'Load Projects'!$D:$D,"&lt;"&amp;DATE(2020,12,31)))</f>
        <v>0</v>
      </c>
      <c r="K83" s="150" cm="1">
        <f t="array" ref="K83">SUM(SUMIFS('Load Projects'!$E:$E,'Load Projects'!$O:$O,{1,2,3,4,5,6,7,8,9,10,11,12},'Load Projects'!$K:$K,"H",'Load Projects'!$D:$D,"&lt;"&amp;DATE(2020,12,31)))</f>
        <v>0</v>
      </c>
      <c r="L83" s="150" cm="1">
        <f t="array" ref="L83">SUM(SUMIFS('Load Projects'!$E:$E,'Load Projects'!$O:$O,{1,2,3,4,5,6,7,8,9,10,11,12},'Load Projects'!$K:$K,"I",'Load Projects'!$D:$D,"&lt;"&amp;DATE(2020,12,31)))</f>
        <v>0</v>
      </c>
      <c r="M83" s="150" cm="1">
        <f t="array" ref="M83">SUM(SUMIFS('Load Projects'!$E:$E,'Load Projects'!$O:$O,{1,2,3,4,5,6,7,8,9,10,11,12},'Load Projects'!$K:$K,"J",'Load Projects'!$D:$D,"&lt;"&amp;DATE(2020,12,31)))</f>
        <v>0</v>
      </c>
      <c r="N83" s="150" cm="1">
        <f t="array" ref="N83">SUM(SUMIFS('Load Projects'!$E:$E,'Load Projects'!$O:$O,{1,2,3,4,5,6,7,8,9,10,11,12},'Load Projects'!$K:$K,"K",'Load Projects'!$D:$D,"&lt;"&amp;DATE(2020,12,31)))</f>
        <v>0</v>
      </c>
      <c r="O83" s="150">
        <f>SUM(D83:N83)</f>
        <v>845</v>
      </c>
      <c r="P83" s="150">
        <f>O83</f>
        <v>845</v>
      </c>
    </row>
    <row r="84" spans="2:17" x14ac:dyDescent="0.2">
      <c r="B84" s="161">
        <v>44561</v>
      </c>
      <c r="C84" s="148">
        <v>2021</v>
      </c>
      <c r="D84" s="150" cm="1">
        <f t="array" ref="D84">SUM(SUMIFS('Load Projects'!$E:$E,'Load Projects'!$O:$O,{1,2,3,4,5,6,7,8,9,10,11,12},'Load Projects'!$K:$K,"A",'Load Projects'!$D:$D,"&gt;"&amp;DATE(2020,12,31),'Load Projects'!$D:$D,"&lt;"&amp;DATE(2021,12,31)))</f>
        <v>0</v>
      </c>
      <c r="E84" s="150" cm="1">
        <f t="array" ref="E84">SUM(SUMIFS('Load Projects'!$E:$E,'Load Projects'!$O:$O,{1,2,3,4,5,6,7,8,9,10,11,12},'Load Projects'!$K:$K,"B",'Load Projects'!$D:$D,"&gt;"&amp;DATE(2020,12,31),'Load Projects'!$D:$D,"&lt;"&amp;DATE(2021,12,31)))</f>
        <v>0</v>
      </c>
      <c r="F84" s="150" cm="1">
        <f t="array" ref="F84">SUM(SUMIFS('Load Projects'!$E:$E,'Load Projects'!$O:$O,{1,2,3,4,5,6,7,8,9,10,11,12},'Load Projects'!$K:$K,"C",'Load Projects'!$D:$D,"&gt;"&amp;DATE(2020,12,31),'Load Projects'!$D:$D,"&lt;"&amp;DATE(2021,12,31)))</f>
        <v>0</v>
      </c>
      <c r="G84" s="150" cm="1">
        <f t="array" ref="G84">SUM(SUMIFS('Load Projects'!$E:$E,'Load Projects'!$O:$O,{1,2,3,4,5,6,7,8,9,10,11,12},'Load Projects'!$K:$K,"D",'Load Projects'!$D:$D,"&gt;"&amp;DATE(2020,12,31),'Load Projects'!$D:$D,"&lt;"&amp;DATE(2021,12,31)))</f>
        <v>320</v>
      </c>
      <c r="H84" s="150" cm="1">
        <f t="array" ref="H84">SUM(SUMIFS('Load Projects'!$E:$E,'Load Projects'!$O:$O,{1,2,3,4,5,6,7,8,9,10,11,12},'Load Projects'!$K:$K,"E",'Load Projects'!$D:$D,"&gt;"&amp;DATE(2020,12,31),'Load Projects'!$D:$D,"&lt;"&amp;DATE(2021,12,31)))</f>
        <v>0</v>
      </c>
      <c r="I84" s="150" cm="1">
        <f t="array" ref="I84">SUM(SUMIFS('Load Projects'!$E:$E,'Load Projects'!$O:$O,{1,2,3,4,5,6,7,8,9,10,11,12},'Load Projects'!$K:$K,"F",'Load Projects'!$D:$D,"&gt;"&amp;DATE(2020,12,31),'Load Projects'!$D:$D,"&lt;"&amp;DATE(2021,12,31)))</f>
        <v>0</v>
      </c>
      <c r="J84" s="150" cm="1">
        <f t="array" ref="J84">SUM(SUMIFS('Load Projects'!$E:$E,'Load Projects'!$O:$O,{1,2,3,4,5,6,7,8,9,10,11,12},'Load Projects'!$K:$K,"G",'Load Projects'!$D:$D,"&gt;"&amp;DATE(2020,12,31),'Load Projects'!$D:$D,"&lt;"&amp;DATE(2021,12,31)))</f>
        <v>0</v>
      </c>
      <c r="K84" s="150" cm="1">
        <f t="array" ref="K84">SUM(SUMIFS('Load Projects'!$E:$E,'Load Projects'!$O:$O,{1,2,3,4,5,6,7,8,9,10,11,12},'Load Projects'!$K:$K,"H",'Load Projects'!$D:$D,"&gt;"&amp;DATE(2020,12,31),'Load Projects'!$D:$D,"&lt;"&amp;DATE(2021,12,31)))</f>
        <v>0</v>
      </c>
      <c r="L84" s="150" cm="1">
        <f t="array" ref="L84">SUM(SUMIFS('Load Projects'!$E:$E,'Load Projects'!$O:$O,{1,2,3,4,5,6,7,8,9,10,11,12},'Load Projects'!$K:$K,"I",'Load Projects'!$D:$D,"&gt;"&amp;DATE(2020,12,31),'Load Projects'!$D:$D,"&lt;"&amp;DATE(2021,12,31)))</f>
        <v>0</v>
      </c>
      <c r="M84" s="150" cm="1">
        <f t="array" ref="M84">SUM(SUMIFS('Load Projects'!$E:$E,'Load Projects'!$O:$O,{1,2,3,4,5,6,7,8,9,10,11,12},'Load Projects'!$K:$K,"J",'Load Projects'!$D:$D,"&gt;"&amp;DATE(2020,12,31),'Load Projects'!$D:$D,"&lt;"&amp;DATE(2021,12,31)))</f>
        <v>0</v>
      </c>
      <c r="N84" s="150" cm="1">
        <f t="array" ref="N84">SUM(SUMIFS('Load Projects'!$E:$E,'Load Projects'!$O:$O,{1,2,3,4,5,6,7,8,9,10,11,12},'Load Projects'!$K:$K,"K",'Load Projects'!$D:$D,"&gt;"&amp;DATE(2020,12,31),'Load Projects'!$D:$D,"&lt;"&amp;DATE(2021,12,31)))</f>
        <v>0</v>
      </c>
      <c r="O84" s="150">
        <f t="shared" ref="O84:O89" si="4">SUM(D84:N84)</f>
        <v>320</v>
      </c>
      <c r="P84" s="150">
        <f>O83+O84</f>
        <v>1165</v>
      </c>
    </row>
    <row r="85" spans="2:17" x14ac:dyDescent="0.2">
      <c r="B85" s="161">
        <v>44926</v>
      </c>
      <c r="C85" s="148">
        <v>2022</v>
      </c>
      <c r="D85" s="150" cm="1">
        <f t="array" ref="D85">SUM(SUMIFS('Load Projects'!$E:$E,'Load Projects'!$O:$O,{1,2,3,4,5,6,7,8,9,10,11,12},'Load Projects'!$K:$K,"A",'Load Projects'!$D:$D,"&gt;"&amp;DATE(2021,12,31),'Load Projects'!$D:$D,"&lt;"&amp;DATE(2022,12,31)))</f>
        <v>0</v>
      </c>
      <c r="E85" s="150" cm="1">
        <f t="array" ref="E85">SUM(SUMIFS('Load Projects'!$E:$E,'Load Projects'!$O:$O,{1,2,3,4,5,6,7,8,9,10,11,12},'Load Projects'!$K:$K,"B",'Load Projects'!$D:$D,"&gt;"&amp;DATE(2021,12,31),'Load Projects'!$D:$D,"&lt;"&amp;DATE(2022,12,31)))</f>
        <v>300</v>
      </c>
      <c r="F85" s="150" cm="1">
        <f t="array" ref="F85">SUM(SUMIFS('Load Projects'!$E:$E,'Load Projects'!$O:$O,{1,2,3,4,5,6,7,8,9,10,11,12},'Load Projects'!$K:$K,"C",'Load Projects'!$D:$D,"&gt;"&amp;DATE(2021,12,31),'Load Projects'!$D:$D,"&lt;"&amp;DATE(2022,12,31)))</f>
        <v>0</v>
      </c>
      <c r="G85" s="150" cm="1">
        <f t="array" ref="G85">SUM(SUMIFS('Load Projects'!$E:$E,'Load Projects'!$O:$O,{1,2,3,4,5,6,7,8,9,10,11,12},'Load Projects'!$K:$K,"D",'Load Projects'!$D:$D,"&gt;"&amp;DATE(2021,12,31),'Load Projects'!$D:$D,"&lt;"&amp;DATE(2022,12,31)))</f>
        <v>0</v>
      </c>
      <c r="H85" s="150" cm="1">
        <f t="array" ref="H85">SUM(SUMIFS('Load Projects'!$E:$E,'Load Projects'!$O:$O,{1,2,3,4,5,6,7,8,9,10,11,12},'Load Projects'!$K:$K,"E",'Load Projects'!$D:$D,"&gt;"&amp;DATE(2021,12,31),'Load Projects'!$D:$D,"&lt;"&amp;DATE(2022,12,31)))</f>
        <v>0</v>
      </c>
      <c r="I85" s="150" cm="1">
        <f t="array" ref="I85">SUM(SUMIFS('Load Projects'!$E:$E,'Load Projects'!$O:$O,{1,2,3,4,5,6,7,8,9,10,11,12},'Load Projects'!$K:$K,"F",'Load Projects'!$D:$D,"&gt;"&amp;DATE(2021,12,31),'Load Projects'!$D:$D,"&lt;"&amp;DATE(2022,12,31)))</f>
        <v>0</v>
      </c>
      <c r="J85" s="150" cm="1">
        <f t="array" ref="J85">SUM(SUMIFS('Load Projects'!$E:$E,'Load Projects'!$O:$O,{1,2,3,4,5,6,7,8,9,10,11,12},'Load Projects'!$K:$K,"G",'Load Projects'!$D:$D,"&gt;"&amp;DATE(2021,12,31),'Load Projects'!$D:$D,"&lt;"&amp;DATE(2022,12,31)))</f>
        <v>0</v>
      </c>
      <c r="K85" s="150" cm="1">
        <f t="array" ref="K85">SUM(SUMIFS('Load Projects'!$E:$E,'Load Projects'!$O:$O,{1,2,3,4,5,6,7,8,9,10,11,12},'Load Projects'!$K:$K,"H",'Load Projects'!$D:$D,"&gt;"&amp;DATE(2021,12,31),'Load Projects'!$D:$D,"&lt;"&amp;DATE(2022,12,31)))</f>
        <v>0</v>
      </c>
      <c r="L85" s="150" cm="1">
        <f t="array" ref="L85">SUM(SUMIFS('Load Projects'!$E:$E,'Load Projects'!$O:$O,{1,2,3,4,5,6,7,8,9,10,11,12},'Load Projects'!$K:$K,"I",'Load Projects'!$D:$D,"&gt;"&amp;DATE(2021,12,31),'Load Projects'!$D:$D,"&lt;"&amp;DATE(2022,12,31)))</f>
        <v>0</v>
      </c>
      <c r="M85" s="150" cm="1">
        <f t="array" ref="M85">SUM(SUMIFS('Load Projects'!$E:$E,'Load Projects'!$O:$O,{1,2,3,4,5,6,7,8,9,10,11,12},'Load Projects'!$K:$K,"J",'Load Projects'!$D:$D,"&gt;"&amp;DATE(2021,12,31),'Load Projects'!$D:$D,"&lt;"&amp;DATE(2022,12,31)))</f>
        <v>0</v>
      </c>
      <c r="N85" s="150" cm="1">
        <f t="array" ref="N85">SUM(SUMIFS('Load Projects'!$E:$E,'Load Projects'!$O:$O,{1,2,3,4,5,6,7,8,9,10,11,12},'Load Projects'!$K:$K,"K",'Load Projects'!$D:$D,"&gt;"&amp;DATE(2021,12,31),'Load Projects'!$D:$D,"&lt;"&amp;DATE(2022,12,31)))</f>
        <v>0</v>
      </c>
      <c r="O85" s="150">
        <f t="shared" si="4"/>
        <v>300</v>
      </c>
      <c r="P85" s="150">
        <f>P84+O85</f>
        <v>1465</v>
      </c>
    </row>
    <row r="86" spans="2:17" x14ac:dyDescent="0.2">
      <c r="B86" s="161">
        <v>45291</v>
      </c>
      <c r="C86" s="148">
        <v>2023</v>
      </c>
      <c r="D86" s="150" cm="1">
        <f t="array" ref="D86">SUM(SUMIFS('Load Projects'!$E:$E,'Load Projects'!$O:$O,{1,2,3,4,5,6,7,8,9,10,11,12},'Load Projects'!$K:$K,"A",'Load Projects'!$D:$D,"&gt;"&amp;DATE(2022,12,31),'Load Projects'!$D:$D,"&lt;"&amp;DATE(2023,12,31)))</f>
        <v>0</v>
      </c>
      <c r="E86" s="150" cm="1">
        <f t="array" ref="E86">SUM(SUMIFS('Load Projects'!$E:$E,'Load Projects'!$O:$O,{1,2,3,4,5,6,7,8,9,10,11,12},'Load Projects'!$K:$K,"B",'Load Projects'!$D:$D,"&gt;"&amp;DATE(2022,12,31),'Load Projects'!$D:$D,"&lt;"&amp;DATE(2023,12,31)))</f>
        <v>0</v>
      </c>
      <c r="F86" s="150" cm="1">
        <f t="array" ref="F86">SUM(SUMIFS('Load Projects'!$E:$E,'Load Projects'!$O:$O,{1,2,3,4,5,6,7,8,9,10,11,12},'Load Projects'!$K:$K,"C",'Load Projects'!$D:$D,"&gt;"&amp;DATE(2022,12,31),'Load Projects'!$D:$D,"&lt;"&amp;DATE(2023,12,31)))</f>
        <v>1056</v>
      </c>
      <c r="G86" s="150" cm="1">
        <f t="array" ref="G86">SUM(SUMIFS('Load Projects'!$E:$E,'Load Projects'!$O:$O,{1,2,3,4,5,6,7,8,9,10,11,12},'Load Projects'!$K:$K,"D",'Load Projects'!$D:$D,"&gt;"&amp;DATE(2022,12,31),'Load Projects'!$D:$D,"&lt;"&amp;DATE(2023,12,31)))</f>
        <v>0</v>
      </c>
      <c r="H86" s="150" cm="1">
        <f t="array" ref="H86">SUM(SUMIFS('Load Projects'!$E:$E,'Load Projects'!$O:$O,{1,2,3,4,5,6,7,8,9,10,11,12},'Load Projects'!$K:$K,"E",'Load Projects'!$D:$D,"&gt;"&amp;DATE(2022,12,31),'Load Projects'!$D:$D,"&lt;"&amp;DATE(2023,12,31)))</f>
        <v>0</v>
      </c>
      <c r="I86" s="150" cm="1">
        <f t="array" ref="I86">SUM(SUMIFS('Load Projects'!$E:$E,'Load Projects'!$O:$O,{1,2,3,4,5,6,7,8,9,10,11,12},'Load Projects'!$K:$K,"F",'Load Projects'!$D:$D,"&gt;"&amp;DATE(2022,12,31),'Load Projects'!$D:$D,"&lt;"&amp;DATE(2023,12,31)))</f>
        <v>50</v>
      </c>
      <c r="J86" s="150" cm="1">
        <f t="array" ref="J86">SUM(SUMIFS('Load Projects'!$E:$E,'Load Projects'!$O:$O,{1,2,3,4,5,6,7,8,9,10,11,12},'Load Projects'!$K:$K,"G",'Load Projects'!$D:$D,"&gt;"&amp;DATE(2022,12,31),'Load Projects'!$D:$D,"&lt;"&amp;DATE(2023,12,31)))</f>
        <v>0</v>
      </c>
      <c r="K86" s="150" cm="1">
        <f t="array" ref="K86">SUM(SUMIFS('Load Projects'!$E:$E,'Load Projects'!$O:$O,{1,2,3,4,5,6,7,8,9,10,11,12},'Load Projects'!$K:$K,"H",'Load Projects'!$D:$D,"&gt;"&amp;DATE(2022,12,31),'Load Projects'!$D:$D,"&lt;"&amp;DATE(2023,12,31)))</f>
        <v>0</v>
      </c>
      <c r="L86" s="150" cm="1">
        <f t="array" ref="L86">SUM(SUMIFS('Load Projects'!$E:$E,'Load Projects'!$O:$O,{1,2,3,4,5,6,7,8,9,10,11,12},'Load Projects'!$K:$K,"I",'Load Projects'!$D:$D,"&gt;"&amp;DATE(2022,12,31),'Load Projects'!$D:$D,"&lt;"&amp;DATE(2023,12,31)))</f>
        <v>0</v>
      </c>
      <c r="M86" s="150" cm="1">
        <f t="array" ref="M86">SUM(SUMIFS('Load Projects'!$E:$E,'Load Projects'!$O:$O,{1,2,3,4,5,6,7,8,9,10,11,12},'Load Projects'!$K:$K,"J",'Load Projects'!$D:$D,"&gt;"&amp;DATE(2022,12,31),'Load Projects'!$D:$D,"&lt;"&amp;DATE(2023,12,31)))</f>
        <v>0</v>
      </c>
      <c r="N86" s="150" cm="1">
        <f t="array" ref="N86">SUM(SUMIFS('Load Projects'!$E:$E,'Load Projects'!$O:$O,{1,2,3,4,5,6,7,8,9,10,11,12},'Load Projects'!$K:$K,"K",'Load Projects'!$D:$D,"&gt;"&amp;DATE(2022,12,31),'Load Projects'!$D:$D,"&lt;"&amp;DATE(2023,12,31)))</f>
        <v>0</v>
      </c>
      <c r="O86" s="150">
        <f t="shared" si="4"/>
        <v>1106</v>
      </c>
      <c r="P86" s="150">
        <f t="shared" ref="P86:P89" si="5">P85+O86</f>
        <v>2571</v>
      </c>
    </row>
    <row r="87" spans="2:17" x14ac:dyDescent="0.2">
      <c r="B87" s="161">
        <v>45657</v>
      </c>
      <c r="C87" s="148">
        <v>2024</v>
      </c>
      <c r="D87" s="150" cm="1">
        <f t="array" ref="D87">SUM(SUMIFS('Load Projects'!$E:$E,'Load Projects'!$O:$O,{1,2,3,4,5,6,7,8,9,10,11,12},'Load Projects'!$K:$K,"A",'Load Projects'!$D:$D,"&gt;"&amp;DATE(2023,12,31),'Load Projects'!$D:$D,"&lt;"&amp;DATE(2024,12,31)))</f>
        <v>390</v>
      </c>
      <c r="E87" s="150" cm="1">
        <f t="array" ref="E87">SUM(SUMIFS('Load Projects'!$E:$E,'Load Projects'!$O:$O,{1,2,3,4,5,6,7,8,9,10,11,12},'Load Projects'!$K:$K,"B",'Load Projects'!$D:$D,"&gt;"&amp;DATE(2023,12,31),'Load Projects'!$D:$D,"&lt;"&amp;DATE(2024,12,31)))</f>
        <v>0</v>
      </c>
      <c r="F87" s="150" cm="1">
        <f t="array" ref="F87">SUM(SUMIFS('Load Projects'!$E:$E,'Load Projects'!$O:$O,{1,2,3,4,5,6,7,8,9,10,11,12},'Load Projects'!$K:$K,"C",'Load Projects'!$D:$D,"&gt;"&amp;DATE(2023,12,31),'Load Projects'!$D:$D,"&lt;"&amp;DATE(2024,12,31)))</f>
        <v>288</v>
      </c>
      <c r="G87" s="150" cm="1">
        <f t="array" ref="G87">SUM(SUMIFS('Load Projects'!$E:$E,'Load Projects'!$O:$O,{1,2,3,4,5,6,7,8,9,10,11,12},'Load Projects'!$K:$K,"D",'Load Projects'!$D:$D,"&gt;"&amp;DATE(2023,12,31),'Load Projects'!$D:$D,"&lt;"&amp;DATE(2024,12,31)))</f>
        <v>0</v>
      </c>
      <c r="H87" s="150" cm="1">
        <f t="array" ref="H87">SUM(SUMIFS('Load Projects'!$E:$E,'Load Projects'!$O:$O,{1,2,3,4,5,6,7,8,9,10,11,12},'Load Projects'!$K:$K,"E",'Load Projects'!$D:$D,"&gt;"&amp;DATE(2023,12,31),'Load Projects'!$D:$D,"&lt;"&amp;DATE(2024,12,31)))</f>
        <v>0</v>
      </c>
      <c r="I87" s="150" cm="1">
        <f t="array" ref="I87">SUM(SUMIFS('Load Projects'!$E:$E,'Load Projects'!$O:$O,{1,2,3,4,5,6,7,8,9,10,11,12},'Load Projects'!$K:$K,"F",'Load Projects'!$D:$D,"&gt;"&amp;DATE(2023,12,31),'Load Projects'!$D:$D,"&lt;"&amp;DATE(2024,12,31)))</f>
        <v>0</v>
      </c>
      <c r="J87" s="150" cm="1">
        <f t="array" ref="J87">SUM(SUMIFS('Load Projects'!$E:$E,'Load Projects'!$O:$O,{1,2,3,4,5,6,7,8,9,10,11,12},'Load Projects'!$K:$K,"G",'Load Projects'!$D:$D,"&gt;"&amp;DATE(2023,12,31),'Load Projects'!$D:$D,"&lt;"&amp;DATE(2024,12,31)))</f>
        <v>102.3</v>
      </c>
      <c r="K87" s="150" cm="1">
        <f t="array" ref="K87">SUM(SUMIFS('Load Projects'!$E:$E,'Load Projects'!$O:$O,{1,2,3,4,5,6,7,8,9,10,11,12},'Load Projects'!$K:$K,"H",'Load Projects'!$D:$D,"&gt;"&amp;DATE(2023,12,31),'Load Projects'!$D:$D,"&lt;"&amp;DATE(2024,12,31)))</f>
        <v>200</v>
      </c>
      <c r="L87" s="150" cm="1">
        <f t="array" ref="L87">SUM(SUMIFS('Load Projects'!$E:$E,'Load Projects'!$O:$O,{1,2,3,4,5,6,7,8,9,10,11,12},'Load Projects'!$K:$K,"I",'Load Projects'!$D:$D,"&gt;"&amp;DATE(2023,12,31),'Load Projects'!$D:$D,"&lt;"&amp;DATE(2024,12,31)))</f>
        <v>0</v>
      </c>
      <c r="M87" s="150" cm="1">
        <f t="array" ref="M87">SUM(SUMIFS('Load Projects'!$E:$E,'Load Projects'!$O:$O,{1,2,3,4,5,6,7,8,9,10,11,12},'Load Projects'!$K:$K,"J",'Load Projects'!$D:$D,"&gt;"&amp;DATE(2023,12,31),'Load Projects'!$D:$D,"&lt;"&amp;DATE(2024,12,31)))</f>
        <v>0</v>
      </c>
      <c r="N87" s="150" cm="1">
        <f t="array" ref="N87">SUM(SUMIFS('Load Projects'!$E:$E,'Load Projects'!$O:$O,{1,2,3,4,5,6,7,8,9,10,11,12},'Load Projects'!$K:$K,"K",'Load Projects'!$D:$D,"&gt;"&amp;DATE(2023,12,31),'Load Projects'!$D:$D,"&lt;"&amp;DATE(2024,12,31)))</f>
        <v>176.6</v>
      </c>
      <c r="O87" s="150">
        <f t="shared" si="4"/>
        <v>1156.8999999999999</v>
      </c>
      <c r="P87" s="150">
        <f t="shared" si="5"/>
        <v>3727.8999999999996</v>
      </c>
    </row>
    <row r="88" spans="2:17" x14ac:dyDescent="0.2">
      <c r="B88" s="161">
        <v>46022</v>
      </c>
      <c r="C88" s="148">
        <v>2025</v>
      </c>
      <c r="D88" s="150" cm="1">
        <f t="array" ref="D88">SUM(SUMIFS('Load Projects'!$E:$E,'Load Projects'!$O:$O,{1,2,3,4,5,6,7,8,9,10,11,12},'Load Projects'!$K:$K,"A",'Load Projects'!$D:$D,"&gt;"&amp;DATE(2024,12,31),'Load Projects'!$D:$D,"&lt;"&amp;DATE(2025,12,31)))</f>
        <v>1650</v>
      </c>
      <c r="E88" s="150" cm="1">
        <f t="array" ref="E88">SUM(SUMIFS('Load Projects'!$E:$E,'Load Projects'!$O:$O,{1,2,3,4,5,6,7,8,9,10,11,12},'Load Projects'!$K:$K,"B",'Load Projects'!$D:$D,"&gt;"&amp;DATE(2024,12,31),'Load Projects'!$D:$D,"&lt;"&amp;DATE(2025,12,31)))</f>
        <v>0</v>
      </c>
      <c r="F88" s="150" cm="1">
        <f t="array" ref="F88">SUM(SUMIFS('Load Projects'!$E:$E,'Load Projects'!$O:$O,{1,2,3,4,5,6,7,8,9,10,11,12},'Load Projects'!$K:$K,"C",'Load Projects'!$D:$D,"&gt;"&amp;DATE(2024,12,31),'Load Projects'!$D:$D,"&lt;"&amp;DATE(2025,12,31)))</f>
        <v>732</v>
      </c>
      <c r="G88" s="150" cm="1">
        <f t="array" ref="G88">SUM(SUMIFS('Load Projects'!$E:$E,'Load Projects'!$O:$O,{1,2,3,4,5,6,7,8,9,10,11,12},'Load Projects'!$K:$K,"D",'Load Projects'!$D:$D,"&gt;"&amp;DATE(2024,12,31),'Load Projects'!$D:$D,"&lt;"&amp;DATE(2025,12,31)))</f>
        <v>2135</v>
      </c>
      <c r="H88" s="150" cm="1">
        <f t="array" ref="H88">SUM(SUMIFS('Load Projects'!$E:$E,'Load Projects'!$O:$O,{1,2,3,4,5,6,7,8,9,10,11,12},'Load Projects'!$K:$K,"E",'Load Projects'!$D:$D,"&gt;"&amp;DATE(2024,12,31),'Load Projects'!$D:$D,"&lt;"&amp;DATE(2025,12,31)))</f>
        <v>2909</v>
      </c>
      <c r="I88" s="150" cm="1">
        <f t="array" ref="I88">SUM(SUMIFS('Load Projects'!$E:$E,'Load Projects'!$O:$O,{1,2,3,4,5,6,7,8,9,10,11,12},'Load Projects'!$K:$K,"F",'Load Projects'!$D:$D,"&gt;"&amp;DATE(2024,12,31),'Load Projects'!$D:$D,"&lt;"&amp;DATE(2025,12,31)))</f>
        <v>305</v>
      </c>
      <c r="J88" s="150" cm="1">
        <f t="array" ref="J88">SUM(SUMIFS('Load Projects'!$E:$E,'Load Projects'!$O:$O,{1,2,3,4,5,6,7,8,9,10,11,12},'Load Projects'!$K:$K,"G",'Load Projects'!$D:$D,"&gt;"&amp;DATE(2024,12,31),'Load Projects'!$D:$D,"&lt;"&amp;DATE(2025,12,31)))</f>
        <v>0</v>
      </c>
      <c r="K88" s="150" cm="1">
        <f t="array" ref="K88">SUM(SUMIFS('Load Projects'!$E:$E,'Load Projects'!$O:$O,{1,2,3,4,5,6,7,8,9,10,11,12},'Load Projects'!$K:$K,"H",'Load Projects'!$D:$D,"&gt;"&amp;DATE(2024,12,31),'Load Projects'!$D:$D,"&lt;"&amp;DATE(2025,12,31)))</f>
        <v>1000</v>
      </c>
      <c r="L88" s="150" cm="1">
        <f t="array" ref="L88">SUM(SUMIFS('Load Projects'!$E:$E,'Load Projects'!$O:$O,{1,2,3,4,5,6,7,8,9,10,11,12},'Load Projects'!$K:$K,"I",'Load Projects'!$D:$D,"&gt;"&amp;DATE(2024,12,31),'Load Projects'!$D:$D,"&lt;"&amp;DATE(2025,12,31)))</f>
        <v>0</v>
      </c>
      <c r="M88" s="150" cm="1">
        <f t="array" ref="M88">SUM(SUMIFS('Load Projects'!$E:$E,'Load Projects'!$O:$O,{1,2,3,4,5,6,7,8,9,10,11,12},'Load Projects'!$K:$K,"J",'Load Projects'!$D:$D,"&gt;"&amp;DATE(2024,12,31),'Load Projects'!$D:$D,"&lt;"&amp;DATE(2025,12,31)))</f>
        <v>0</v>
      </c>
      <c r="N88" s="150" cm="1">
        <f t="array" ref="N88">SUM(SUMIFS('Load Projects'!$E:$E,'Load Projects'!$O:$O,{1,2,3,4,5,6,7,8,9,10,11,12},'Load Projects'!$K:$K,"K",'Load Projects'!$D:$D,"&gt;"&amp;DATE(2024,12,31),'Load Projects'!$D:$D,"&lt;"&amp;DATE(2025,12,31)))</f>
        <v>0</v>
      </c>
      <c r="O88" s="150">
        <f t="shared" si="4"/>
        <v>8731</v>
      </c>
      <c r="P88" s="150">
        <f t="shared" si="5"/>
        <v>12458.9</v>
      </c>
    </row>
    <row r="89" spans="2:17" x14ac:dyDescent="0.2">
      <c r="B89" s="161">
        <v>46387</v>
      </c>
      <c r="C89" s="148">
        <v>2026</v>
      </c>
      <c r="D89" s="150" cm="1">
        <f t="array" ref="D89">SUM(SUMIFS('Load Projects'!$E:$E,'Load Projects'!$O:$O,{1,2,3,4,5,6,7,8,9,10,11,12},'Load Projects'!$K:$K,"A",'Load Projects'!$D:$D,"&gt;"&amp;DATE(2025,12,31),'Load Projects'!$D:$D,"&lt;"&amp;DATE(2026,12,31)))</f>
        <v>0</v>
      </c>
      <c r="E89" s="150" cm="1">
        <f t="array" ref="E89">SUM(SUMIFS('Load Projects'!$E:$E,'Load Projects'!$O:$O,{1,2,3,4,5,6,7,8,9,10,11,12},'Load Projects'!$K:$K,"B",'Load Projects'!$D:$D,"&gt;"&amp;DATE(2025,12,31),'Load Projects'!$D:$D,"&lt;"&amp;DATE(2026,12,31)))</f>
        <v>0</v>
      </c>
      <c r="F89" s="150" cm="1">
        <f t="array" ref="F89">SUM(SUMIFS('Load Projects'!$E:$E,'Load Projects'!$O:$O,{1,2,3,4,5,6,7,8,9,10,11,12},'Load Projects'!$K:$K,"C",'Load Projects'!$D:$D,"&gt;"&amp;DATE(2025,12,31),'Load Projects'!$D:$D,"&lt;"&amp;DATE(2026,12,31)))</f>
        <v>900</v>
      </c>
      <c r="G89" s="150" cm="1">
        <f t="array" ref="G89">SUM(SUMIFS('Load Projects'!$E:$E,'Load Projects'!$O:$O,{1,2,3,4,5,6,7,8,9,10,11,12},'Load Projects'!$K:$K,"D",'Load Projects'!$D:$D,"&gt;"&amp;DATE(2025,12,31),'Load Projects'!$D:$D,"&lt;"&amp;DATE(2026,12,31)))</f>
        <v>0</v>
      </c>
      <c r="H89" s="150" cm="1">
        <f t="array" ref="H89">SUM(SUMIFS('Load Projects'!$E:$E,'Load Projects'!$O:$O,{1,2,3,4,5,6,7,8,9,10,11,12},'Load Projects'!$K:$K,"E",'Load Projects'!$D:$D,"&gt;"&amp;DATE(2025,12,31),'Load Projects'!$D:$D,"&lt;"&amp;DATE(2026,12,31)))</f>
        <v>15</v>
      </c>
      <c r="I89" s="150" cm="1">
        <f t="array" ref="I89">SUM(SUMIFS('Load Projects'!$E:$E,'Load Projects'!$O:$O,{1,2,3,4,5,6,7,8,9,10,11,12},'Load Projects'!$K:$K,"F",'Load Projects'!$D:$D,"&gt;"&amp;DATE(2025,12,31),'Load Projects'!$D:$D,"&lt;"&amp;DATE(2026,12,31)))</f>
        <v>60</v>
      </c>
      <c r="J89" s="150" cm="1">
        <f t="array" ref="J89">SUM(SUMIFS('Load Projects'!$E:$E,'Load Projects'!$O:$O,{1,2,3,4,5,6,7,8,9,10,11,12},'Load Projects'!$K:$K,"G",'Load Projects'!$D:$D,"&gt;"&amp;DATE(2025,12,31),'Load Projects'!$D:$D,"&lt;"&amp;DATE(2026,12,31)))</f>
        <v>150</v>
      </c>
      <c r="K89" s="150" cm="1">
        <f t="array" ref="K89">SUM(SUMIFS('Load Projects'!$E:$E,'Load Projects'!$O:$O,{1,2,3,4,5,6,7,8,9,10,11,12},'Load Projects'!$K:$K,"H",'Load Projects'!$D:$D,"&gt;"&amp;DATE(2025,12,31),'Load Projects'!$D:$D,"&lt;"&amp;DATE(2026,12,31)))</f>
        <v>0</v>
      </c>
      <c r="L89" s="150" cm="1">
        <f t="array" ref="L89">SUM(SUMIFS('Load Projects'!$E:$E,'Load Projects'!$O:$O,{1,2,3,4,5,6,7,8,9,10,11,12},'Load Projects'!$K:$K,"I",'Load Projects'!$D:$D,"&gt;"&amp;DATE(2025,12,31),'Load Projects'!$D:$D,"&lt;"&amp;DATE(2026,12,31)))</f>
        <v>0</v>
      </c>
      <c r="M89" s="150" cm="1">
        <f t="array" ref="M89">SUM(SUMIFS('Load Projects'!$E:$E,'Load Projects'!$O:$O,{1,2,3,4,5,6,7,8,9,10,11,12},'Load Projects'!$K:$K,"I",'Load Projects'!$D:$D,"&gt;"&amp;DATE(2025,12,31),'Load Projects'!$D:$D,"&lt;"&amp;DATE(2026,12,31)))</f>
        <v>0</v>
      </c>
      <c r="N89" s="150" cm="1">
        <f t="array" ref="N89">SUM(SUMIFS('Load Projects'!$E:$E,'Load Projects'!$O:$O,{1,2,3,4,5,6,7,8,9,10,11,12},'Load Projects'!$K:$K,"K",'Load Projects'!$D:$D,"&gt;"&amp;DATE(2025,12,31),'Load Projects'!$D:$D,"&lt;"&amp;DATE(2026,12,31)))</f>
        <v>0</v>
      </c>
      <c r="O89" s="150">
        <f t="shared" si="4"/>
        <v>1125</v>
      </c>
      <c r="P89" s="150">
        <f t="shared" si="5"/>
        <v>13583.9</v>
      </c>
    </row>
    <row r="90" spans="2:17" x14ac:dyDescent="0.2">
      <c r="B90" s="149"/>
      <c r="C90" s="151" t="s">
        <v>7703</v>
      </c>
      <c r="D90" s="150">
        <f t="shared" ref="D90:O90" si="6">SUM(D83:D89)</f>
        <v>2040</v>
      </c>
      <c r="E90" s="150">
        <f t="shared" si="6"/>
        <v>600</v>
      </c>
      <c r="F90" s="150">
        <f t="shared" si="6"/>
        <v>3086</v>
      </c>
      <c r="G90" s="150">
        <f t="shared" si="6"/>
        <v>2890</v>
      </c>
      <c r="H90" s="150">
        <f t="shared" si="6"/>
        <v>2924</v>
      </c>
      <c r="I90" s="150">
        <f t="shared" si="6"/>
        <v>415</v>
      </c>
      <c r="J90" s="150">
        <f t="shared" si="6"/>
        <v>252.3</v>
      </c>
      <c r="K90" s="150">
        <f t="shared" si="6"/>
        <v>1200</v>
      </c>
      <c r="L90" s="150">
        <f t="shared" si="6"/>
        <v>0</v>
      </c>
      <c r="M90" s="150">
        <f t="shared" si="6"/>
        <v>0</v>
      </c>
      <c r="N90" s="150">
        <f t="shared" si="6"/>
        <v>176.6</v>
      </c>
      <c r="O90" s="150">
        <f t="shared" si="6"/>
        <v>13583.9</v>
      </c>
      <c r="P90" s="150"/>
    </row>
    <row r="91" spans="2:17" ht="15.75" x14ac:dyDescent="0.25">
      <c r="B91" s="168" t="s">
        <v>7755</v>
      </c>
      <c r="C91" s="169"/>
      <c r="D91" s="170"/>
      <c r="E91" s="170"/>
      <c r="F91" s="170"/>
      <c r="G91" s="170"/>
      <c r="H91" s="170"/>
      <c r="I91" s="170"/>
      <c r="J91" s="170"/>
      <c r="K91" s="170"/>
      <c r="L91" s="170"/>
      <c r="M91" s="170"/>
      <c r="N91" s="170"/>
      <c r="O91" s="170"/>
      <c r="Q91" s="157"/>
    </row>
  </sheetData>
  <mergeCells count="4">
    <mergeCell ref="B2:O2"/>
    <mergeCell ref="B3:C3"/>
    <mergeCell ref="B42:C42"/>
    <mergeCell ref="B82:C8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8A5A-9E3F-478A-B795-02B272136C75}">
  <dimension ref="A1:U40"/>
  <sheetViews>
    <sheetView workbookViewId="0">
      <selection activeCell="N10" sqref="N10"/>
    </sheetView>
  </sheetViews>
  <sheetFormatPr defaultColWidth="20" defaultRowHeight="15" x14ac:dyDescent="0.2"/>
  <cols>
    <col min="2" max="2" width="27.21875" customWidth="1"/>
    <col min="3" max="3" width="38.77734375" bestFit="1" customWidth="1"/>
    <col min="5" max="5" width="7.5546875" customWidth="1"/>
    <col min="6" max="6" width="7.88671875" customWidth="1"/>
    <col min="9" max="9" width="9.77734375" customWidth="1"/>
    <col min="10" max="10" width="5.88671875" customWidth="1"/>
    <col min="11" max="11" width="24.21875" customWidth="1"/>
  </cols>
  <sheetData>
    <row r="1" spans="1:21" s="18" customFormat="1" ht="25.5" customHeight="1" thickBot="1" x14ac:dyDescent="0.25">
      <c r="A1" s="121" t="s">
        <v>2828</v>
      </c>
      <c r="B1" s="1" t="s">
        <v>6782</v>
      </c>
      <c r="C1" s="1" t="s">
        <v>0</v>
      </c>
      <c r="D1" s="1" t="s">
        <v>2829</v>
      </c>
      <c r="E1" s="1" t="s">
        <v>2830</v>
      </c>
      <c r="F1" s="1" t="s">
        <v>2831</v>
      </c>
      <c r="G1" s="1" t="s">
        <v>2832</v>
      </c>
      <c r="H1" s="1" t="s">
        <v>2710</v>
      </c>
      <c r="I1" s="1" t="s">
        <v>2711</v>
      </c>
      <c r="J1" s="1" t="s">
        <v>7341</v>
      </c>
      <c r="K1" s="1" t="s">
        <v>4062</v>
      </c>
      <c r="L1" s="1" t="s">
        <v>4063</v>
      </c>
      <c r="M1" s="1" t="s">
        <v>6082</v>
      </c>
      <c r="N1" s="17" t="s">
        <v>7690</v>
      </c>
      <c r="O1" s="17" t="s">
        <v>4064</v>
      </c>
      <c r="P1" s="1" t="s">
        <v>2834</v>
      </c>
      <c r="Q1" s="17" t="s">
        <v>5846</v>
      </c>
      <c r="R1" s="17" t="s">
        <v>5847</v>
      </c>
      <c r="S1" s="1" t="s">
        <v>5850</v>
      </c>
      <c r="T1" s="1" t="s">
        <v>5851</v>
      </c>
      <c r="U1" s="1" t="s">
        <v>4325</v>
      </c>
    </row>
    <row r="2" spans="1:21" s="140" customFormat="1" ht="15.75" thickBot="1" x14ac:dyDescent="0.25"/>
    <row r="4" spans="1:21" x14ac:dyDescent="0.2">
      <c r="A4" s="142" t="s">
        <v>7491</v>
      </c>
      <c r="B4" s="2" t="s">
        <v>7505</v>
      </c>
      <c r="C4" s="2" t="s">
        <v>7514</v>
      </c>
      <c r="D4" s="21">
        <v>45926</v>
      </c>
      <c r="E4" s="62">
        <v>35.61</v>
      </c>
      <c r="F4" s="62">
        <v>35.61</v>
      </c>
      <c r="G4" s="63" t="s">
        <v>340</v>
      </c>
      <c r="H4" s="63" t="s">
        <v>7508</v>
      </c>
      <c r="I4" s="2" t="s">
        <v>2781</v>
      </c>
      <c r="J4" s="2"/>
      <c r="K4" s="2" t="s">
        <v>7492</v>
      </c>
      <c r="L4" s="63" t="s">
        <v>6092</v>
      </c>
      <c r="M4" s="20"/>
      <c r="N4" s="63">
        <v>5</v>
      </c>
      <c r="O4" s="65">
        <v>45930</v>
      </c>
      <c r="P4" s="21"/>
      <c r="Q4" s="21"/>
      <c r="R4" s="2"/>
      <c r="S4" s="19">
        <v>46528</v>
      </c>
      <c r="T4" s="2"/>
      <c r="U4" s="2"/>
    </row>
    <row r="5" spans="1:21" x14ac:dyDescent="0.2">
      <c r="A5" s="142" t="s">
        <v>7493</v>
      </c>
      <c r="B5" s="2" t="s">
        <v>7505</v>
      </c>
      <c r="C5" s="2" t="s">
        <v>7494</v>
      </c>
      <c r="D5" s="21">
        <v>45926</v>
      </c>
      <c r="E5" s="62">
        <v>127.17</v>
      </c>
      <c r="F5" s="62">
        <v>127.17</v>
      </c>
      <c r="G5" s="63" t="s">
        <v>340</v>
      </c>
      <c r="H5" s="63" t="s">
        <v>2807</v>
      </c>
      <c r="I5" s="2" t="s">
        <v>2781</v>
      </c>
      <c r="J5" s="2"/>
      <c r="K5" s="2" t="s">
        <v>7494</v>
      </c>
      <c r="L5" s="63" t="s">
        <v>6092</v>
      </c>
      <c r="M5" s="20"/>
      <c r="N5" s="63">
        <v>5</v>
      </c>
      <c r="O5" s="65">
        <v>45930</v>
      </c>
      <c r="P5" s="21"/>
      <c r="Q5" s="21"/>
      <c r="R5" s="2"/>
      <c r="S5" s="19">
        <v>47269</v>
      </c>
      <c r="T5" s="2"/>
      <c r="U5" s="2"/>
    </row>
    <row r="6" spans="1:21" x14ac:dyDescent="0.2">
      <c r="A6" s="142" t="s">
        <v>7497</v>
      </c>
      <c r="B6" s="2" t="s">
        <v>7505</v>
      </c>
      <c r="C6" s="2" t="s">
        <v>7515</v>
      </c>
      <c r="D6" s="21">
        <v>45926</v>
      </c>
      <c r="E6" s="62">
        <v>130.4</v>
      </c>
      <c r="F6" s="62">
        <v>130.4</v>
      </c>
      <c r="G6" s="63" t="s">
        <v>340</v>
      </c>
      <c r="H6" s="63" t="s">
        <v>2807</v>
      </c>
      <c r="I6" s="2" t="s">
        <v>2781</v>
      </c>
      <c r="J6" s="2"/>
      <c r="K6" s="2" t="s">
        <v>7494</v>
      </c>
      <c r="L6" s="63" t="s">
        <v>6092</v>
      </c>
      <c r="M6" s="20"/>
      <c r="N6" s="63">
        <v>5</v>
      </c>
      <c r="O6" s="65">
        <v>45930</v>
      </c>
      <c r="P6" s="21"/>
      <c r="Q6" s="21"/>
      <c r="R6" s="2"/>
      <c r="S6" s="19">
        <v>47634</v>
      </c>
      <c r="T6" s="2"/>
      <c r="U6" s="2"/>
    </row>
    <row r="7" spans="1:21" x14ac:dyDescent="0.2">
      <c r="A7" s="200"/>
      <c r="B7" s="85"/>
      <c r="C7" s="85"/>
      <c r="D7" s="201"/>
      <c r="E7" s="62"/>
      <c r="F7" s="62"/>
      <c r="G7" s="63"/>
      <c r="H7" s="63"/>
      <c r="I7" s="85"/>
      <c r="J7" s="85"/>
      <c r="K7" s="85"/>
      <c r="L7" s="63"/>
      <c r="M7" s="164"/>
      <c r="N7" s="63"/>
      <c r="O7" s="65"/>
      <c r="P7" s="201"/>
      <c r="Q7" s="201"/>
      <c r="R7" s="85"/>
      <c r="S7" s="164"/>
      <c r="T7" s="85"/>
      <c r="U7" s="85"/>
    </row>
    <row r="8" spans="1:21" x14ac:dyDescent="0.2">
      <c r="A8" s="142" t="s">
        <v>7770</v>
      </c>
      <c r="B8" s="2" t="s">
        <v>7780</v>
      </c>
      <c r="C8" s="2" t="s">
        <v>7781</v>
      </c>
      <c r="D8" s="201">
        <v>46211</v>
      </c>
      <c r="E8" s="62">
        <v>1400</v>
      </c>
      <c r="F8" s="62">
        <v>1400</v>
      </c>
      <c r="G8" s="63" t="s">
        <v>340</v>
      </c>
      <c r="H8" s="63" t="s">
        <v>7507</v>
      </c>
      <c r="I8" s="85" t="s">
        <v>2749</v>
      </c>
      <c r="J8" s="85"/>
      <c r="K8" s="2" t="s">
        <v>7781</v>
      </c>
      <c r="L8" s="63" t="s">
        <v>6092</v>
      </c>
      <c r="M8" s="164"/>
      <c r="N8" s="63">
        <v>4</v>
      </c>
      <c r="O8" s="65">
        <v>46234</v>
      </c>
      <c r="P8" s="201"/>
      <c r="Q8" s="201"/>
      <c r="R8" s="85"/>
      <c r="S8" s="164"/>
      <c r="T8" s="85"/>
      <c r="U8" s="85"/>
    </row>
    <row r="9" spans="1:21" x14ac:dyDescent="0.2">
      <c r="A9" s="142" t="s">
        <v>7771</v>
      </c>
      <c r="B9" s="2" t="s">
        <v>7780</v>
      </c>
      <c r="C9" s="2" t="s">
        <v>7782</v>
      </c>
      <c r="D9" s="201">
        <v>46211</v>
      </c>
      <c r="E9" s="62">
        <v>3000</v>
      </c>
      <c r="F9" s="62">
        <v>3000</v>
      </c>
      <c r="G9" s="63" t="s">
        <v>340</v>
      </c>
      <c r="H9" s="63" t="s">
        <v>7507</v>
      </c>
      <c r="I9" s="85" t="s">
        <v>2749</v>
      </c>
      <c r="J9" s="85"/>
      <c r="K9" s="2" t="s">
        <v>7782</v>
      </c>
      <c r="L9" s="63" t="s">
        <v>6092</v>
      </c>
      <c r="M9" s="164"/>
      <c r="N9" s="63">
        <v>4</v>
      </c>
      <c r="O9" s="65">
        <v>46234</v>
      </c>
      <c r="P9" s="201"/>
      <c r="Q9" s="201"/>
      <c r="R9" s="85"/>
      <c r="S9" s="164"/>
      <c r="T9" s="85"/>
      <c r="U9" s="85"/>
    </row>
    <row r="10" spans="1:21" s="140" customFormat="1" ht="15.75" thickBot="1" x14ac:dyDescent="0.25"/>
    <row r="12" spans="1:21" x14ac:dyDescent="0.2">
      <c r="A12" s="59">
        <v>1718</v>
      </c>
      <c r="B12" s="60" t="s">
        <v>1601</v>
      </c>
      <c r="C12" s="60" t="s">
        <v>6088</v>
      </c>
      <c r="D12" s="40">
        <v>45545</v>
      </c>
      <c r="E12" s="61"/>
      <c r="F12" s="62"/>
      <c r="G12" s="63" t="s">
        <v>256</v>
      </c>
      <c r="H12" s="63" t="s">
        <v>2775</v>
      </c>
      <c r="I12" s="64" t="s">
        <v>2749</v>
      </c>
      <c r="J12" s="63"/>
      <c r="K12" s="64" t="s">
        <v>6089</v>
      </c>
      <c r="L12" s="63" t="s">
        <v>6092</v>
      </c>
      <c r="M12" s="63"/>
      <c r="N12" s="63">
        <v>0</v>
      </c>
      <c r="O12" s="65">
        <v>46173</v>
      </c>
    </row>
    <row r="13" spans="1:21" x14ac:dyDescent="0.2">
      <c r="A13" s="59" t="s">
        <v>6719</v>
      </c>
      <c r="B13" s="60" t="s">
        <v>6720</v>
      </c>
      <c r="C13" s="60" t="s">
        <v>6721</v>
      </c>
      <c r="D13" s="40">
        <v>45581</v>
      </c>
      <c r="E13" s="61"/>
      <c r="F13" s="62"/>
      <c r="G13" s="63" t="s">
        <v>256</v>
      </c>
      <c r="H13" s="63" t="s">
        <v>2748</v>
      </c>
      <c r="I13" s="64" t="s">
        <v>2749</v>
      </c>
      <c r="J13" s="63"/>
      <c r="K13" s="64" t="s">
        <v>6722</v>
      </c>
      <c r="L13" s="63" t="s">
        <v>6092</v>
      </c>
      <c r="M13" s="63"/>
      <c r="N13" s="63" t="s">
        <v>5781</v>
      </c>
      <c r="O13" s="65">
        <v>45688</v>
      </c>
    </row>
    <row r="14" spans="1:21" x14ac:dyDescent="0.2">
      <c r="A14" s="59">
        <v>1722</v>
      </c>
      <c r="B14" s="60" t="s">
        <v>6723</v>
      </c>
      <c r="C14" s="60" t="s">
        <v>6724</v>
      </c>
      <c r="D14" s="40">
        <v>45594</v>
      </c>
      <c r="E14" s="61"/>
      <c r="F14" s="62"/>
      <c r="G14" s="63" t="s">
        <v>256</v>
      </c>
      <c r="H14" s="63" t="s">
        <v>6725</v>
      </c>
      <c r="I14" s="64" t="s">
        <v>364</v>
      </c>
      <c r="J14" s="63"/>
      <c r="K14" s="64" t="s">
        <v>6726</v>
      </c>
      <c r="L14" s="63" t="s">
        <v>6727</v>
      </c>
      <c r="M14" s="63"/>
      <c r="N14" s="63">
        <v>0</v>
      </c>
      <c r="O14" s="65">
        <v>45808</v>
      </c>
    </row>
    <row r="15" spans="1:21" x14ac:dyDescent="0.2">
      <c r="A15" s="59" t="s">
        <v>7342</v>
      </c>
      <c r="B15" s="60" t="s">
        <v>7343</v>
      </c>
      <c r="C15" s="60" t="s">
        <v>7344</v>
      </c>
      <c r="D15" s="40">
        <v>45756</v>
      </c>
      <c r="E15" s="61"/>
      <c r="F15" s="62"/>
      <c r="G15" s="63" t="s">
        <v>256</v>
      </c>
      <c r="H15" s="63" t="s">
        <v>3159</v>
      </c>
      <c r="I15" s="64" t="s">
        <v>2749</v>
      </c>
      <c r="J15" s="63"/>
      <c r="K15" s="64" t="s">
        <v>7345</v>
      </c>
      <c r="L15" s="63" t="s">
        <v>6092</v>
      </c>
      <c r="M15" s="63"/>
      <c r="N15" s="63">
        <v>0</v>
      </c>
      <c r="O15" s="65">
        <v>45900</v>
      </c>
    </row>
    <row r="16" spans="1:21" x14ac:dyDescent="0.2">
      <c r="A16" s="59" t="s">
        <v>7475</v>
      </c>
      <c r="B16" s="60" t="s">
        <v>7502</v>
      </c>
      <c r="C16" s="60" t="s">
        <v>7476</v>
      </c>
      <c r="D16" s="40">
        <v>45926</v>
      </c>
      <c r="E16" s="61">
        <v>20</v>
      </c>
      <c r="F16" s="62">
        <v>20</v>
      </c>
      <c r="G16" s="63" t="s">
        <v>55</v>
      </c>
      <c r="H16" s="63" t="s">
        <v>2751</v>
      </c>
      <c r="I16" s="64" t="s">
        <v>2749</v>
      </c>
      <c r="J16" s="63"/>
      <c r="K16" s="64" t="s">
        <v>7476</v>
      </c>
      <c r="L16" s="63" t="s">
        <v>6092</v>
      </c>
      <c r="M16" s="63"/>
      <c r="N16" s="63">
        <v>0</v>
      </c>
      <c r="O16" s="65">
        <v>45961</v>
      </c>
    </row>
    <row r="17" spans="1:15" x14ac:dyDescent="0.2">
      <c r="A17" s="59" t="s">
        <v>7477</v>
      </c>
      <c r="B17" s="60" t="s">
        <v>7503</v>
      </c>
      <c r="C17" s="60" t="s">
        <v>7478</v>
      </c>
      <c r="D17" s="40">
        <v>45926</v>
      </c>
      <c r="E17" s="61">
        <v>100</v>
      </c>
      <c r="F17" s="62">
        <v>100</v>
      </c>
      <c r="G17" s="63" t="s">
        <v>55</v>
      </c>
      <c r="H17" s="63" t="s">
        <v>7507</v>
      </c>
      <c r="I17" s="64" t="s">
        <v>2749</v>
      </c>
      <c r="J17" s="63"/>
      <c r="K17" s="64" t="s">
        <v>7478</v>
      </c>
      <c r="L17" s="63" t="s">
        <v>6092</v>
      </c>
      <c r="M17" s="63"/>
      <c r="N17" s="63">
        <v>0</v>
      </c>
      <c r="O17" s="65">
        <v>46022</v>
      </c>
    </row>
    <row r="18" spans="1:15" x14ac:dyDescent="0.2">
      <c r="A18" s="59" t="s">
        <v>7460</v>
      </c>
      <c r="B18" s="60" t="s">
        <v>7498</v>
      </c>
      <c r="C18" s="60" t="s">
        <v>7461</v>
      </c>
      <c r="D18" s="40">
        <v>45926</v>
      </c>
      <c r="E18" s="61">
        <v>48</v>
      </c>
      <c r="F18" s="62">
        <v>48</v>
      </c>
      <c r="G18" s="63" t="s">
        <v>55</v>
      </c>
      <c r="H18" s="63" t="s">
        <v>2751</v>
      </c>
      <c r="I18" s="64" t="s">
        <v>2749</v>
      </c>
      <c r="J18" s="63"/>
      <c r="K18" s="64" t="s">
        <v>7461</v>
      </c>
      <c r="L18" s="63" t="s">
        <v>6092</v>
      </c>
      <c r="M18" s="63"/>
      <c r="N18" s="63">
        <v>0</v>
      </c>
      <c r="O18" s="65">
        <v>46022</v>
      </c>
    </row>
    <row r="19" spans="1:15" x14ac:dyDescent="0.2">
      <c r="A19" s="59" t="s">
        <v>7462</v>
      </c>
      <c r="B19" s="60" t="s">
        <v>7499</v>
      </c>
      <c r="C19" s="60" t="s">
        <v>7463</v>
      </c>
      <c r="D19" s="40">
        <v>45926</v>
      </c>
      <c r="E19" s="61">
        <v>31</v>
      </c>
      <c r="F19" s="62">
        <v>31</v>
      </c>
      <c r="G19" s="63" t="s">
        <v>55</v>
      </c>
      <c r="H19" s="63" t="s">
        <v>2751</v>
      </c>
      <c r="I19" s="64" t="s">
        <v>2749</v>
      </c>
      <c r="J19" s="63"/>
      <c r="K19" s="64" t="s">
        <v>7463</v>
      </c>
      <c r="L19" s="63" t="s">
        <v>6092</v>
      </c>
      <c r="M19" s="63"/>
      <c r="N19" s="63">
        <v>0</v>
      </c>
      <c r="O19" s="65">
        <v>45961</v>
      </c>
    </row>
    <row r="20" spans="1:15" x14ac:dyDescent="0.2">
      <c r="A20" s="59" t="s">
        <v>7464</v>
      </c>
      <c r="B20" s="60" t="s">
        <v>7499</v>
      </c>
      <c r="C20" s="60" t="s">
        <v>7465</v>
      </c>
      <c r="D20" s="40">
        <v>45926</v>
      </c>
      <c r="E20" s="61">
        <v>20</v>
      </c>
      <c r="F20" s="62">
        <v>20</v>
      </c>
      <c r="G20" s="63" t="s">
        <v>55</v>
      </c>
      <c r="H20" s="63" t="s">
        <v>2751</v>
      </c>
      <c r="I20" s="64" t="s">
        <v>2749</v>
      </c>
      <c r="J20" s="63"/>
      <c r="K20" s="64" t="s">
        <v>7465</v>
      </c>
      <c r="L20" s="63" t="s">
        <v>6092</v>
      </c>
      <c r="M20" s="63"/>
      <c r="N20" s="63">
        <v>0</v>
      </c>
      <c r="O20" s="65">
        <v>45961</v>
      </c>
    </row>
    <row r="21" spans="1:15" x14ac:dyDescent="0.2">
      <c r="A21" s="59" t="s">
        <v>7479</v>
      </c>
      <c r="B21" s="60" t="s">
        <v>7503</v>
      </c>
      <c r="C21" s="60" t="s">
        <v>7480</v>
      </c>
      <c r="D21" s="40">
        <v>45926</v>
      </c>
      <c r="E21" s="61">
        <v>0</v>
      </c>
      <c r="F21" s="62">
        <v>0</v>
      </c>
      <c r="G21" s="63" t="s">
        <v>615</v>
      </c>
      <c r="H21" s="63" t="s">
        <v>7507</v>
      </c>
      <c r="I21" s="64" t="s">
        <v>2749</v>
      </c>
      <c r="J21" s="63"/>
      <c r="K21" s="64" t="s">
        <v>7480</v>
      </c>
      <c r="L21" s="63" t="s">
        <v>6092</v>
      </c>
      <c r="M21" s="63"/>
      <c r="N21" s="63">
        <v>0</v>
      </c>
      <c r="O21" s="65">
        <v>46022</v>
      </c>
    </row>
    <row r="22" spans="1:15" x14ac:dyDescent="0.2">
      <c r="A22" s="59" t="s">
        <v>7466</v>
      </c>
      <c r="B22" s="60" t="s">
        <v>7498</v>
      </c>
      <c r="C22" s="60" t="s">
        <v>7461</v>
      </c>
      <c r="D22" s="40">
        <v>45926</v>
      </c>
      <c r="E22" s="61">
        <v>10</v>
      </c>
      <c r="F22" s="62">
        <v>10</v>
      </c>
      <c r="G22" s="63" t="s">
        <v>55</v>
      </c>
      <c r="H22" s="63" t="s">
        <v>2751</v>
      </c>
      <c r="I22" s="64" t="s">
        <v>2749</v>
      </c>
      <c r="J22" s="63"/>
      <c r="K22" s="64" t="s">
        <v>7461</v>
      </c>
      <c r="L22" s="63" t="s">
        <v>6092</v>
      </c>
      <c r="M22" s="63"/>
      <c r="N22" s="63">
        <v>0</v>
      </c>
      <c r="O22" s="65">
        <v>46022</v>
      </c>
    </row>
    <row r="23" spans="1:15" x14ac:dyDescent="0.2">
      <c r="A23" s="59" t="s">
        <v>7483</v>
      </c>
      <c r="B23" s="60" t="s">
        <v>7501</v>
      </c>
      <c r="C23" s="60" t="s">
        <v>7482</v>
      </c>
      <c r="D23" s="40">
        <v>45926</v>
      </c>
      <c r="E23" s="61">
        <v>20</v>
      </c>
      <c r="F23" s="62">
        <v>20</v>
      </c>
      <c r="G23" s="63" t="s">
        <v>615</v>
      </c>
      <c r="H23" s="63" t="s">
        <v>3862</v>
      </c>
      <c r="I23" s="64" t="s">
        <v>2749</v>
      </c>
      <c r="J23" s="63"/>
      <c r="K23" s="64" t="s">
        <v>7482</v>
      </c>
      <c r="L23" s="63" t="s">
        <v>6092</v>
      </c>
      <c r="M23" s="63"/>
      <c r="N23" s="63">
        <v>0</v>
      </c>
      <c r="O23" s="65">
        <v>46022</v>
      </c>
    </row>
    <row r="24" spans="1:15" x14ac:dyDescent="0.2">
      <c r="A24" s="59" t="s">
        <v>7481</v>
      </c>
      <c r="B24" s="60" t="s">
        <v>7501</v>
      </c>
      <c r="C24" s="60" t="s">
        <v>7482</v>
      </c>
      <c r="D24" s="40">
        <v>45926</v>
      </c>
      <c r="E24" s="61">
        <v>20</v>
      </c>
      <c r="F24" s="62">
        <v>20</v>
      </c>
      <c r="G24" s="63" t="s">
        <v>55</v>
      </c>
      <c r="H24" s="63" t="s">
        <v>3862</v>
      </c>
      <c r="I24" s="64" t="s">
        <v>2749</v>
      </c>
      <c r="J24" s="63"/>
      <c r="K24" s="64" t="s">
        <v>7482</v>
      </c>
      <c r="L24" s="63" t="s">
        <v>6092</v>
      </c>
      <c r="M24" s="63"/>
      <c r="N24" s="63">
        <v>0</v>
      </c>
      <c r="O24" s="65">
        <v>46022</v>
      </c>
    </row>
    <row r="25" spans="1:15" x14ac:dyDescent="0.2">
      <c r="A25" s="59" t="s">
        <v>7484</v>
      </c>
      <c r="B25" s="60" t="s">
        <v>7501</v>
      </c>
      <c r="C25" s="60" t="s">
        <v>7512</v>
      </c>
      <c r="D25" s="40">
        <v>45926</v>
      </c>
      <c r="E25" s="61">
        <v>20</v>
      </c>
      <c r="F25" s="62">
        <v>20</v>
      </c>
      <c r="G25" s="63" t="s">
        <v>55</v>
      </c>
      <c r="H25" s="63" t="s">
        <v>3862</v>
      </c>
      <c r="I25" s="64" t="s">
        <v>2749</v>
      </c>
      <c r="J25" s="63"/>
      <c r="K25" s="64" t="s">
        <v>7474</v>
      </c>
      <c r="L25" s="63" t="s">
        <v>6092</v>
      </c>
      <c r="M25" s="63"/>
      <c r="N25" s="63">
        <v>0</v>
      </c>
      <c r="O25" s="65">
        <v>46022</v>
      </c>
    </row>
    <row r="26" spans="1:15" x14ac:dyDescent="0.2">
      <c r="A26" s="59" t="s">
        <v>7485</v>
      </c>
      <c r="B26" s="60" t="s">
        <v>7501</v>
      </c>
      <c r="C26" s="60" t="s">
        <v>7474</v>
      </c>
      <c r="D26" s="40">
        <v>45926</v>
      </c>
      <c r="E26" s="61">
        <v>20</v>
      </c>
      <c r="F26" s="62">
        <v>20</v>
      </c>
      <c r="G26" s="63" t="s">
        <v>615</v>
      </c>
      <c r="H26" s="63" t="s">
        <v>3862</v>
      </c>
      <c r="I26" s="64" t="s">
        <v>2749</v>
      </c>
      <c r="J26" s="63"/>
      <c r="K26" s="64" t="s">
        <v>7474</v>
      </c>
      <c r="L26" s="63" t="s">
        <v>6092</v>
      </c>
      <c r="M26" s="63"/>
      <c r="N26" s="63">
        <v>0</v>
      </c>
      <c r="O26" s="65">
        <v>46022</v>
      </c>
    </row>
    <row r="27" spans="1:15" x14ac:dyDescent="0.2">
      <c r="A27" s="59" t="s">
        <v>7471</v>
      </c>
      <c r="B27" s="60" t="s">
        <v>7501</v>
      </c>
      <c r="C27" s="60" t="s">
        <v>7472</v>
      </c>
      <c r="D27" s="40">
        <v>45926</v>
      </c>
      <c r="E27" s="61">
        <v>80</v>
      </c>
      <c r="F27" s="62">
        <v>80</v>
      </c>
      <c r="G27" s="63" t="s">
        <v>55</v>
      </c>
      <c r="H27" s="63" t="s">
        <v>3862</v>
      </c>
      <c r="I27" s="64" t="s">
        <v>2749</v>
      </c>
      <c r="J27" s="63"/>
      <c r="K27" s="64" t="s">
        <v>7472</v>
      </c>
      <c r="L27" s="63" t="s">
        <v>6092</v>
      </c>
      <c r="M27" s="63"/>
      <c r="N27" s="63">
        <v>0</v>
      </c>
      <c r="O27" s="65">
        <v>46022</v>
      </c>
    </row>
    <row r="28" spans="1:15" x14ac:dyDescent="0.2">
      <c r="A28" s="59" t="s">
        <v>7473</v>
      </c>
      <c r="B28" s="60" t="s">
        <v>7501</v>
      </c>
      <c r="C28" s="60" t="s">
        <v>7474</v>
      </c>
      <c r="D28" s="40">
        <v>45926</v>
      </c>
      <c r="E28" s="61">
        <v>80</v>
      </c>
      <c r="F28" s="62">
        <v>80</v>
      </c>
      <c r="G28" s="63" t="s">
        <v>55</v>
      </c>
      <c r="H28" s="63" t="s">
        <v>3862</v>
      </c>
      <c r="I28" s="64" t="s">
        <v>2749</v>
      </c>
      <c r="J28" s="63"/>
      <c r="K28" s="64" t="s">
        <v>7474</v>
      </c>
      <c r="L28" s="63" t="s">
        <v>6092</v>
      </c>
      <c r="M28" s="63"/>
      <c r="N28" s="63">
        <v>0</v>
      </c>
      <c r="O28" s="65">
        <v>46022</v>
      </c>
    </row>
    <row r="29" spans="1:15" x14ac:dyDescent="0.2">
      <c r="A29" s="59" t="s">
        <v>7469</v>
      </c>
      <c r="B29" s="60" t="s">
        <v>7500</v>
      </c>
      <c r="C29" s="60" t="s">
        <v>7511</v>
      </c>
      <c r="D29" s="40">
        <v>45926</v>
      </c>
      <c r="E29" s="61">
        <v>9.8000000000000007</v>
      </c>
      <c r="F29" s="62">
        <v>9.8000000000000007</v>
      </c>
      <c r="G29" s="63" t="s">
        <v>55</v>
      </c>
      <c r="H29" s="63" t="s">
        <v>2098</v>
      </c>
      <c r="I29" s="64" t="s">
        <v>2749</v>
      </c>
      <c r="J29" s="63"/>
      <c r="K29" s="64" t="s">
        <v>7470</v>
      </c>
      <c r="L29" s="63" t="s">
        <v>6092</v>
      </c>
      <c r="M29" s="63"/>
      <c r="N29" s="63">
        <v>0</v>
      </c>
      <c r="O29" s="65">
        <v>45961</v>
      </c>
    </row>
    <row r="30" spans="1:15" x14ac:dyDescent="0.2">
      <c r="A30" s="59" t="s">
        <v>7486</v>
      </c>
      <c r="B30" s="60" t="s">
        <v>7504</v>
      </c>
      <c r="C30" s="60" t="s">
        <v>7487</v>
      </c>
      <c r="D30" s="40">
        <v>45926</v>
      </c>
      <c r="E30" s="61">
        <v>200</v>
      </c>
      <c r="F30" s="62">
        <v>200</v>
      </c>
      <c r="G30" s="63" t="s">
        <v>55</v>
      </c>
      <c r="H30" s="63" t="s">
        <v>3862</v>
      </c>
      <c r="I30" s="64" t="s">
        <v>2749</v>
      </c>
      <c r="J30" s="63"/>
      <c r="K30" s="64" t="s">
        <v>7487</v>
      </c>
      <c r="L30" s="63" t="s">
        <v>6092</v>
      </c>
      <c r="M30" s="63"/>
      <c r="N30" s="63">
        <v>0</v>
      </c>
      <c r="O30" s="65">
        <v>46022</v>
      </c>
    </row>
    <row r="31" spans="1:15" x14ac:dyDescent="0.2">
      <c r="A31" s="59" t="s">
        <v>7488</v>
      </c>
      <c r="B31" s="60" t="s">
        <v>7504</v>
      </c>
      <c r="C31" s="60" t="s">
        <v>7489</v>
      </c>
      <c r="D31" s="40">
        <v>45926</v>
      </c>
      <c r="E31" s="61">
        <v>240</v>
      </c>
      <c r="F31" s="62">
        <v>240</v>
      </c>
      <c r="G31" s="63" t="s">
        <v>55</v>
      </c>
      <c r="H31" s="63" t="s">
        <v>3862</v>
      </c>
      <c r="I31" s="64" t="s">
        <v>2749</v>
      </c>
      <c r="J31" s="63"/>
      <c r="K31" s="64" t="s">
        <v>7489</v>
      </c>
      <c r="L31" s="63" t="s">
        <v>6092</v>
      </c>
      <c r="M31" s="63"/>
      <c r="N31" s="63">
        <v>0</v>
      </c>
      <c r="O31" s="65">
        <v>46022</v>
      </c>
    </row>
    <row r="32" spans="1:15" x14ac:dyDescent="0.2">
      <c r="A32" s="59" t="s">
        <v>7490</v>
      </c>
      <c r="B32" s="60" t="s">
        <v>7504</v>
      </c>
      <c r="C32" s="60" t="s">
        <v>7513</v>
      </c>
      <c r="D32" s="40">
        <v>45926</v>
      </c>
      <c r="E32" s="61">
        <v>170</v>
      </c>
      <c r="F32" s="62">
        <v>170</v>
      </c>
      <c r="G32" s="63" t="s">
        <v>615</v>
      </c>
      <c r="H32" s="63" t="s">
        <v>3862</v>
      </c>
      <c r="I32" s="64" t="s">
        <v>2749</v>
      </c>
      <c r="J32" s="63"/>
      <c r="K32" s="64" t="s">
        <v>7489</v>
      </c>
      <c r="L32" s="63" t="s">
        <v>6092</v>
      </c>
      <c r="M32" s="63"/>
      <c r="N32" s="63">
        <v>0</v>
      </c>
      <c r="O32" s="65">
        <v>46022</v>
      </c>
    </row>
    <row r="33" spans="1:15" x14ac:dyDescent="0.2">
      <c r="A33" s="59" t="s">
        <v>7495</v>
      </c>
      <c r="B33" s="60" t="s">
        <v>7506</v>
      </c>
      <c r="C33" s="60" t="s">
        <v>7496</v>
      </c>
      <c r="D33" s="40">
        <v>45926</v>
      </c>
      <c r="E33" s="61">
        <v>0</v>
      </c>
      <c r="F33" s="62">
        <v>0</v>
      </c>
      <c r="G33" s="63" t="s">
        <v>340</v>
      </c>
      <c r="H33" s="63" t="s">
        <v>2751</v>
      </c>
      <c r="I33" s="64" t="s">
        <v>2749</v>
      </c>
      <c r="J33" s="63"/>
      <c r="K33" s="64" t="s">
        <v>7496</v>
      </c>
      <c r="L33" s="63" t="s">
        <v>6092</v>
      </c>
      <c r="M33" s="63"/>
      <c r="N33" s="63">
        <v>0</v>
      </c>
      <c r="O33" s="65">
        <v>46022</v>
      </c>
    </row>
    <row r="34" spans="1:15" x14ac:dyDescent="0.2">
      <c r="A34" s="59" t="s">
        <v>7467</v>
      </c>
      <c r="B34" s="60" t="s">
        <v>7510</v>
      </c>
      <c r="C34" s="60" t="s">
        <v>7468</v>
      </c>
      <c r="D34" s="40">
        <v>45926</v>
      </c>
      <c r="E34" s="61">
        <v>20</v>
      </c>
      <c r="F34" s="62">
        <v>20</v>
      </c>
      <c r="G34" s="63" t="s">
        <v>55</v>
      </c>
      <c r="H34" s="63" t="s">
        <v>2751</v>
      </c>
      <c r="I34" s="64" t="s">
        <v>2749</v>
      </c>
      <c r="J34" s="63"/>
      <c r="K34" s="64" t="s">
        <v>7468</v>
      </c>
      <c r="L34" s="63" t="s">
        <v>6092</v>
      </c>
      <c r="M34" s="63"/>
      <c r="N34" s="63">
        <v>0</v>
      </c>
      <c r="O34" s="65">
        <v>46112</v>
      </c>
    </row>
    <row r="39" spans="1:15" x14ac:dyDescent="0.2">
      <c r="A39" s="132" t="s">
        <v>2815</v>
      </c>
    </row>
    <row r="40" spans="1:15" x14ac:dyDescent="0.2">
      <c r="B40" s="112" t="s">
        <v>7751</v>
      </c>
    </row>
  </sheetData>
  <conditionalFormatting sqref="A1">
    <cfRule type="duplicateValues" dxfId="50" priority="33"/>
    <cfRule type="duplicateValues" dxfId="49" priority="34"/>
  </conditionalFormatting>
  <conditionalFormatting sqref="A4:A9">
    <cfRule type="duplicateValues" dxfId="48" priority="21"/>
    <cfRule type="duplicateValues" dxfId="47" priority="22"/>
    <cfRule type="duplicateValues" dxfId="46" priority="23"/>
    <cfRule type="duplicateValues" dxfId="45" priority="24"/>
  </conditionalFormatting>
  <conditionalFormatting sqref="A12">
    <cfRule type="duplicateValues" dxfId="44" priority="5"/>
    <cfRule type="duplicateValues" dxfId="43" priority="6"/>
    <cfRule type="duplicateValues" dxfId="42" priority="7"/>
    <cfRule type="duplicateValues" dxfId="41" priority="8"/>
  </conditionalFormatting>
  <conditionalFormatting sqref="A13">
    <cfRule type="duplicateValues" dxfId="40" priority="9"/>
    <cfRule type="duplicateValues" dxfId="39" priority="10"/>
    <cfRule type="duplicateValues" dxfId="38" priority="11"/>
    <cfRule type="duplicateValues" dxfId="37" priority="12"/>
  </conditionalFormatting>
  <conditionalFormatting sqref="A14:A34">
    <cfRule type="duplicateValues" dxfId="36" priority="1300"/>
    <cfRule type="duplicateValues" dxfId="35" priority="1301"/>
    <cfRule type="duplicateValues" dxfId="34" priority="1302"/>
    <cfRule type="duplicateValues" dxfId="33" priority="1303"/>
  </conditionalFormatting>
  <conditionalFormatting sqref="A39">
    <cfRule type="duplicateValues" dxfId="32" priority="1"/>
    <cfRule type="duplicateValues" dxfId="31" priority="2"/>
    <cfRule type="duplicateValues" dxfId="30" priority="3"/>
    <cfRule type="duplicateValues" dxfId="29" priority="4"/>
  </conditionalFormatting>
  <pageMargins left="0.7" right="0.7" top="0.75" bottom="0.75" header="0.3" footer="0.3"/>
  <pageSetup orientation="portrait" r:id="rId1"/>
  <headerFooter>
    <oddFooter>&amp;RUpdated: 07/31/2026</oddFooter>
  </headerFooter>
  <ignoredErrors>
    <ignoredError sqref="N13 A13:A1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516"/>
  <sheetViews>
    <sheetView showGridLines="0" zoomScaleNormal="100" zoomScaleSheetLayoutView="75" workbookViewId="0">
      <pane ySplit="1" topLeftCell="A1294" activePane="bottomLeft" state="frozen"/>
      <selection pane="bottomLeft" activeCell="F1334" sqref="F1334"/>
    </sheetView>
  </sheetViews>
  <sheetFormatPr defaultColWidth="9.6640625" defaultRowHeight="15" x14ac:dyDescent="0.2"/>
  <cols>
    <col min="1" max="1" width="8.44140625" style="59" bestFit="1" customWidth="1"/>
    <col min="2" max="2" width="22.88671875" style="4" customWidth="1"/>
    <col min="3" max="3" width="36.109375" style="31" bestFit="1" customWidth="1"/>
    <col min="4" max="4" width="10.21875" style="11" bestFit="1" customWidth="1"/>
    <col min="5" max="6" width="5.88671875" style="32" customWidth="1"/>
    <col min="7" max="7" width="7.6640625" style="4" customWidth="1"/>
    <col min="8" max="8" width="12.6640625" style="12" customWidth="1"/>
    <col min="9" max="9" width="4.6640625" style="12" customWidth="1"/>
    <col min="10" max="10" width="4.109375" style="12" customWidth="1"/>
    <col min="11" max="11" width="22.88671875" style="12" customWidth="1"/>
    <col min="12" max="12" width="8.88671875" style="12" customWidth="1"/>
    <col min="13" max="13" width="4.109375" style="12" customWidth="1"/>
    <col min="14" max="14" width="9.88671875" style="12" bestFit="1" customWidth="1"/>
    <col min="15" max="16384" width="9.6640625" style="4"/>
  </cols>
  <sheetData>
    <row r="1" spans="1:14" ht="36" customHeight="1" thickBot="1" x14ac:dyDescent="0.25">
      <c r="A1" s="59" t="s">
        <v>2828</v>
      </c>
      <c r="B1" s="34" t="s">
        <v>33</v>
      </c>
      <c r="C1" s="34" t="s">
        <v>0</v>
      </c>
      <c r="D1" s="35" t="s">
        <v>2829</v>
      </c>
      <c r="E1" s="35" t="s">
        <v>2830</v>
      </c>
      <c r="F1" s="35" t="s">
        <v>2831</v>
      </c>
      <c r="G1" s="35" t="s">
        <v>2832</v>
      </c>
      <c r="H1" s="36" t="s">
        <v>2710</v>
      </c>
      <c r="I1" s="37" t="s">
        <v>2711</v>
      </c>
      <c r="J1" s="38" t="s">
        <v>529</v>
      </c>
      <c r="K1" s="38" t="s">
        <v>2833</v>
      </c>
      <c r="L1" s="38" t="s">
        <v>85</v>
      </c>
      <c r="M1" s="38" t="s">
        <v>55</v>
      </c>
      <c r="N1" s="38" t="s">
        <v>363</v>
      </c>
    </row>
    <row r="2" spans="1:14" customFormat="1" ht="15" customHeight="1" x14ac:dyDescent="0.2">
      <c r="A2" s="59" t="s">
        <v>1829</v>
      </c>
      <c r="B2" s="39" t="s">
        <v>35</v>
      </c>
      <c r="C2" s="39" t="s">
        <v>1</v>
      </c>
      <c r="D2" s="40">
        <v>36188</v>
      </c>
      <c r="E2" s="41">
        <v>860</v>
      </c>
      <c r="F2" s="41"/>
      <c r="G2" s="42"/>
      <c r="H2" s="43"/>
      <c r="I2" s="43" t="s">
        <v>2713</v>
      </c>
      <c r="J2" s="44"/>
      <c r="K2" s="43" t="s">
        <v>59</v>
      </c>
      <c r="L2" s="44" t="s">
        <v>86</v>
      </c>
      <c r="M2" s="44">
        <v>0</v>
      </c>
      <c r="N2" s="45"/>
    </row>
    <row r="3" spans="1:14" customFormat="1" ht="15" customHeight="1" x14ac:dyDescent="0.2">
      <c r="A3" s="59" t="s">
        <v>1830</v>
      </c>
      <c r="B3" s="39" t="s">
        <v>36</v>
      </c>
      <c r="C3" s="39" t="s">
        <v>1831</v>
      </c>
      <c r="D3" s="40">
        <v>36208</v>
      </c>
      <c r="E3" s="41">
        <v>520</v>
      </c>
      <c r="F3" s="41"/>
      <c r="G3" s="42"/>
      <c r="H3" s="43"/>
      <c r="I3" s="43" t="s">
        <v>2713</v>
      </c>
      <c r="J3" s="44"/>
      <c r="K3" s="43" t="s">
        <v>60</v>
      </c>
      <c r="L3" s="44" t="s">
        <v>86</v>
      </c>
      <c r="M3" s="44">
        <v>0</v>
      </c>
      <c r="N3" s="45"/>
    </row>
    <row r="4" spans="1:14" customFormat="1" ht="15" customHeight="1" x14ac:dyDescent="0.2">
      <c r="A4" s="59" t="s">
        <v>1832</v>
      </c>
      <c r="B4" s="39" t="s">
        <v>37</v>
      </c>
      <c r="C4" s="39" t="s">
        <v>2</v>
      </c>
      <c r="D4" s="40">
        <v>36214</v>
      </c>
      <c r="E4" s="41">
        <v>1100</v>
      </c>
      <c r="F4" s="41"/>
      <c r="G4" s="42"/>
      <c r="H4" s="43"/>
      <c r="I4" s="43" t="s">
        <v>2713</v>
      </c>
      <c r="J4" s="44"/>
      <c r="K4" s="43" t="s">
        <v>59</v>
      </c>
      <c r="L4" s="44" t="s">
        <v>86</v>
      </c>
      <c r="M4" s="44">
        <v>0</v>
      </c>
      <c r="N4" s="45"/>
    </row>
    <row r="5" spans="1:14" customFormat="1" ht="15" customHeight="1" x14ac:dyDescent="0.2">
      <c r="A5" s="59" t="s">
        <v>1833</v>
      </c>
      <c r="B5" s="39" t="s">
        <v>38</v>
      </c>
      <c r="C5" s="39" t="s">
        <v>3</v>
      </c>
      <c r="D5" s="40">
        <v>36214</v>
      </c>
      <c r="E5" s="41">
        <v>1100</v>
      </c>
      <c r="F5" s="41"/>
      <c r="G5" s="42"/>
      <c r="H5" s="43"/>
      <c r="I5" s="43" t="s">
        <v>2713</v>
      </c>
      <c r="J5" s="44"/>
      <c r="K5" s="43" t="s">
        <v>61</v>
      </c>
      <c r="L5" s="44" t="s">
        <v>86</v>
      </c>
      <c r="M5" s="44">
        <v>0</v>
      </c>
      <c r="N5" s="45"/>
    </row>
    <row r="6" spans="1:14" customFormat="1" ht="15" customHeight="1" x14ac:dyDescent="0.2">
      <c r="A6" s="59" t="s">
        <v>1834</v>
      </c>
      <c r="B6" s="39" t="s">
        <v>39</v>
      </c>
      <c r="C6" s="39" t="s">
        <v>4</v>
      </c>
      <c r="D6" s="40">
        <v>36214</v>
      </c>
      <c r="E6" s="41">
        <v>160</v>
      </c>
      <c r="F6" s="41"/>
      <c r="G6" s="42"/>
      <c r="H6" s="43"/>
      <c r="I6" s="43" t="s">
        <v>2713</v>
      </c>
      <c r="J6" s="44"/>
      <c r="K6" s="43" t="s">
        <v>62</v>
      </c>
      <c r="L6" s="44" t="s">
        <v>86</v>
      </c>
      <c r="M6" s="44">
        <v>0</v>
      </c>
      <c r="N6" s="45"/>
    </row>
    <row r="7" spans="1:14" customFormat="1" ht="15" customHeight="1" x14ac:dyDescent="0.2">
      <c r="A7" s="59" t="s">
        <v>1835</v>
      </c>
      <c r="B7" s="39" t="s">
        <v>39</v>
      </c>
      <c r="C7" s="39" t="s">
        <v>5</v>
      </c>
      <c r="D7" s="40">
        <v>36214</v>
      </c>
      <c r="E7" s="41">
        <v>320</v>
      </c>
      <c r="F7" s="41"/>
      <c r="G7" s="42"/>
      <c r="H7" s="43"/>
      <c r="I7" s="43" t="s">
        <v>2713</v>
      </c>
      <c r="J7" s="44"/>
      <c r="K7" s="43" t="s">
        <v>62</v>
      </c>
      <c r="L7" s="44" t="s">
        <v>86</v>
      </c>
      <c r="M7" s="44">
        <v>0</v>
      </c>
      <c r="N7" s="45"/>
    </row>
    <row r="8" spans="1:14" customFormat="1" ht="15" customHeight="1" x14ac:dyDescent="0.2">
      <c r="A8" s="59" t="s">
        <v>2935</v>
      </c>
      <c r="B8" s="39" t="s">
        <v>196</v>
      </c>
      <c r="C8" s="39" t="s">
        <v>2938</v>
      </c>
      <c r="D8" s="40">
        <v>36244</v>
      </c>
      <c r="E8" s="41">
        <v>70</v>
      </c>
      <c r="F8" s="46"/>
      <c r="G8" s="44" t="s">
        <v>758</v>
      </c>
      <c r="H8" s="43" t="s">
        <v>2724</v>
      </c>
      <c r="I8" s="43" t="s">
        <v>2713</v>
      </c>
      <c r="J8" s="44" t="s">
        <v>533</v>
      </c>
      <c r="K8" s="43" t="s">
        <v>266</v>
      </c>
      <c r="L8" s="44" t="s">
        <v>86</v>
      </c>
      <c r="M8" s="44">
        <v>0</v>
      </c>
      <c r="N8" s="45">
        <v>39639</v>
      </c>
    </row>
    <row r="9" spans="1:14" customFormat="1" ht="15" customHeight="1" x14ac:dyDescent="0.2">
      <c r="A9" s="59" t="s">
        <v>1836</v>
      </c>
      <c r="B9" s="39" t="s">
        <v>196</v>
      </c>
      <c r="C9" s="39" t="s">
        <v>195</v>
      </c>
      <c r="D9" s="40">
        <v>36244</v>
      </c>
      <c r="E9" s="41">
        <v>100</v>
      </c>
      <c r="F9" s="46"/>
      <c r="G9" s="44" t="s">
        <v>758</v>
      </c>
      <c r="H9" s="43" t="s">
        <v>2724</v>
      </c>
      <c r="I9" s="43" t="s">
        <v>2713</v>
      </c>
      <c r="J9" s="44" t="s">
        <v>533</v>
      </c>
      <c r="K9" s="43" t="s">
        <v>266</v>
      </c>
      <c r="L9" s="44" t="s">
        <v>86</v>
      </c>
      <c r="M9" s="44">
        <v>0</v>
      </c>
      <c r="N9" s="45">
        <v>39639</v>
      </c>
    </row>
    <row r="10" spans="1:14" customFormat="1" ht="15" customHeight="1" x14ac:dyDescent="0.2">
      <c r="A10" s="59" t="s">
        <v>2937</v>
      </c>
      <c r="B10" s="39" t="s">
        <v>196</v>
      </c>
      <c r="C10" s="39" t="s">
        <v>2936</v>
      </c>
      <c r="D10" s="40">
        <v>36244</v>
      </c>
      <c r="E10" s="41">
        <v>20</v>
      </c>
      <c r="F10" s="46"/>
      <c r="G10" s="44" t="s">
        <v>758</v>
      </c>
      <c r="H10" s="43" t="s">
        <v>2724</v>
      </c>
      <c r="I10" s="43" t="s">
        <v>2713</v>
      </c>
      <c r="J10" s="44" t="s">
        <v>533</v>
      </c>
      <c r="K10" s="43" t="s">
        <v>266</v>
      </c>
      <c r="L10" s="44" t="s">
        <v>86</v>
      </c>
      <c r="M10" s="44">
        <v>0</v>
      </c>
      <c r="N10" s="45">
        <v>39639</v>
      </c>
    </row>
    <row r="11" spans="1:14" customFormat="1" ht="15" customHeight="1" x14ac:dyDescent="0.2">
      <c r="A11" s="59" t="s">
        <v>1837</v>
      </c>
      <c r="B11" s="39" t="s">
        <v>40</v>
      </c>
      <c r="C11" s="39" t="s">
        <v>6</v>
      </c>
      <c r="D11" s="40">
        <v>36263</v>
      </c>
      <c r="E11" s="41">
        <v>600</v>
      </c>
      <c r="F11" s="41"/>
      <c r="G11" s="42"/>
      <c r="H11" s="43"/>
      <c r="I11" s="43" t="s">
        <v>2713</v>
      </c>
      <c r="J11" s="44"/>
      <c r="K11" s="43" t="s">
        <v>58</v>
      </c>
      <c r="L11" s="44" t="s">
        <v>87</v>
      </c>
      <c r="M11" s="44">
        <v>0</v>
      </c>
      <c r="N11" s="45"/>
    </row>
    <row r="12" spans="1:14" customFormat="1" ht="15" customHeight="1" x14ac:dyDescent="0.2">
      <c r="A12" s="59" t="s">
        <v>1838</v>
      </c>
      <c r="B12" s="39" t="s">
        <v>424</v>
      </c>
      <c r="C12" s="39" t="s">
        <v>341</v>
      </c>
      <c r="D12" s="40">
        <v>36265</v>
      </c>
      <c r="E12" s="41">
        <v>500</v>
      </c>
      <c r="F12" s="46"/>
      <c r="G12" s="44" t="s">
        <v>339</v>
      </c>
      <c r="H12" s="43" t="s">
        <v>2712</v>
      </c>
      <c r="I12" s="43" t="s">
        <v>2713</v>
      </c>
      <c r="J12" s="44" t="s">
        <v>533</v>
      </c>
      <c r="K12" s="43" t="s">
        <v>270</v>
      </c>
      <c r="L12" s="44" t="s">
        <v>86</v>
      </c>
      <c r="M12" s="44">
        <v>0</v>
      </c>
      <c r="N12" s="45">
        <v>39639</v>
      </c>
    </row>
    <row r="13" spans="1:14" customFormat="1" ht="15" customHeight="1" x14ac:dyDescent="0.2">
      <c r="A13" s="59" t="s">
        <v>1839</v>
      </c>
      <c r="B13" s="39" t="s">
        <v>42</v>
      </c>
      <c r="C13" s="39" t="s">
        <v>42</v>
      </c>
      <c r="D13" s="40">
        <v>36287</v>
      </c>
      <c r="E13" s="41">
        <v>79.900000000000006</v>
      </c>
      <c r="F13" s="41"/>
      <c r="G13" s="44" t="s">
        <v>364</v>
      </c>
      <c r="H13" s="43" t="s">
        <v>2715</v>
      </c>
      <c r="I13" s="43" t="s">
        <v>2713</v>
      </c>
      <c r="J13" s="44" t="s">
        <v>533</v>
      </c>
      <c r="K13" s="43" t="s">
        <v>272</v>
      </c>
      <c r="L13" s="44" t="s">
        <v>86</v>
      </c>
      <c r="M13" s="44">
        <v>0</v>
      </c>
      <c r="N13" s="45">
        <v>40451</v>
      </c>
    </row>
    <row r="14" spans="1:14" customFormat="1" ht="15" customHeight="1" x14ac:dyDescent="0.2">
      <c r="A14" s="59" t="s">
        <v>1840</v>
      </c>
      <c r="B14" s="39" t="s">
        <v>48</v>
      </c>
      <c r="C14" s="39" t="s">
        <v>17</v>
      </c>
      <c r="D14" s="40">
        <v>36297</v>
      </c>
      <c r="E14" s="41">
        <v>250</v>
      </c>
      <c r="F14" s="46"/>
      <c r="G14" s="44" t="s">
        <v>339</v>
      </c>
      <c r="H14" s="43" t="s">
        <v>2716</v>
      </c>
      <c r="I14" s="43" t="s">
        <v>2713</v>
      </c>
      <c r="J14" s="44" t="s">
        <v>532</v>
      </c>
      <c r="K14" s="43" t="s">
        <v>273</v>
      </c>
      <c r="L14" s="44" t="s">
        <v>87</v>
      </c>
      <c r="M14" s="44">
        <v>0</v>
      </c>
      <c r="N14" s="45">
        <v>40969</v>
      </c>
    </row>
    <row r="15" spans="1:14" customFormat="1" ht="15" customHeight="1" x14ac:dyDescent="0.2">
      <c r="A15" s="59" t="s">
        <v>1841</v>
      </c>
      <c r="B15" s="39" t="s">
        <v>48</v>
      </c>
      <c r="C15" s="39" t="s">
        <v>25</v>
      </c>
      <c r="D15" s="40">
        <v>36297</v>
      </c>
      <c r="E15" s="41">
        <v>250</v>
      </c>
      <c r="F15" s="41"/>
      <c r="G15" s="42"/>
      <c r="H15" s="43"/>
      <c r="I15" s="43" t="s">
        <v>2713</v>
      </c>
      <c r="J15" s="44"/>
      <c r="K15" s="43" t="s">
        <v>80</v>
      </c>
      <c r="L15" s="44" t="s">
        <v>87</v>
      </c>
      <c r="M15" s="44">
        <v>0</v>
      </c>
      <c r="N15" s="45"/>
    </row>
    <row r="16" spans="1:14" customFormat="1" ht="15" customHeight="1" x14ac:dyDescent="0.2">
      <c r="A16" s="59" t="s">
        <v>1842</v>
      </c>
      <c r="B16" s="39" t="s">
        <v>117</v>
      </c>
      <c r="C16" s="39" t="s">
        <v>116</v>
      </c>
      <c r="D16" s="40">
        <v>36321</v>
      </c>
      <c r="E16" s="41">
        <v>500</v>
      </c>
      <c r="F16" s="46"/>
      <c r="G16" s="44" t="s">
        <v>339</v>
      </c>
      <c r="H16" s="43" t="s">
        <v>2717</v>
      </c>
      <c r="I16" s="43" t="s">
        <v>2713</v>
      </c>
      <c r="J16" s="44"/>
      <c r="K16" s="43" t="s">
        <v>274</v>
      </c>
      <c r="L16" s="44" t="s">
        <v>41</v>
      </c>
      <c r="M16" s="44">
        <v>0</v>
      </c>
      <c r="N16" s="45">
        <v>38894</v>
      </c>
    </row>
    <row r="17" spans="1:14" customFormat="1" ht="15" customHeight="1" x14ac:dyDescent="0.2">
      <c r="A17" s="59" t="s">
        <v>1843</v>
      </c>
      <c r="B17" s="39" t="s">
        <v>117</v>
      </c>
      <c r="C17" s="39" t="s">
        <v>147</v>
      </c>
      <c r="D17" s="40">
        <v>36336</v>
      </c>
      <c r="E17" s="41">
        <v>1080</v>
      </c>
      <c r="F17" s="46"/>
      <c r="G17" s="44" t="s">
        <v>339</v>
      </c>
      <c r="H17" s="43" t="s">
        <v>2718</v>
      </c>
      <c r="I17" s="43" t="s">
        <v>2713</v>
      </c>
      <c r="J17" s="44"/>
      <c r="K17" s="43" t="s">
        <v>274</v>
      </c>
      <c r="L17" s="44" t="s">
        <v>41</v>
      </c>
      <c r="M17" s="44">
        <v>0</v>
      </c>
      <c r="N17" s="45">
        <v>38807</v>
      </c>
    </row>
    <row r="18" spans="1:14" customFormat="1" ht="15" customHeight="1" x14ac:dyDescent="0.2">
      <c r="A18" s="59" t="s">
        <v>1844</v>
      </c>
      <c r="B18" s="39" t="s">
        <v>162</v>
      </c>
      <c r="C18" s="39" t="s">
        <v>109</v>
      </c>
      <c r="D18" s="40">
        <v>36354</v>
      </c>
      <c r="E18" s="41">
        <v>367</v>
      </c>
      <c r="F18" s="46"/>
      <c r="G18" s="44" t="s">
        <v>339</v>
      </c>
      <c r="H18" s="43" t="s">
        <v>2719</v>
      </c>
      <c r="I18" s="43" t="s">
        <v>2713</v>
      </c>
      <c r="J18" s="44"/>
      <c r="K18" s="43" t="s">
        <v>271</v>
      </c>
      <c r="L18" s="44" t="s">
        <v>86</v>
      </c>
      <c r="M18" s="44">
        <v>0</v>
      </c>
      <c r="N18" s="45">
        <v>38938</v>
      </c>
    </row>
    <row r="19" spans="1:14" customFormat="1" ht="15" customHeight="1" x14ac:dyDescent="0.2">
      <c r="A19" s="59" t="s">
        <v>1845</v>
      </c>
      <c r="B19" s="39" t="s">
        <v>43</v>
      </c>
      <c r="C19" s="39" t="s">
        <v>1846</v>
      </c>
      <c r="D19" s="40">
        <v>36392</v>
      </c>
      <c r="E19" s="41">
        <v>520</v>
      </c>
      <c r="F19" s="41"/>
      <c r="G19" s="42"/>
      <c r="H19" s="43"/>
      <c r="I19" s="43" t="s">
        <v>2713</v>
      </c>
      <c r="J19" s="44"/>
      <c r="K19" s="43" t="s">
        <v>65</v>
      </c>
      <c r="L19" s="44" t="s">
        <v>34</v>
      </c>
      <c r="M19" s="44">
        <v>0</v>
      </c>
      <c r="N19" s="45"/>
    </row>
    <row r="20" spans="1:14" customFormat="1" ht="15" customHeight="1" x14ac:dyDescent="0.2">
      <c r="A20" s="59" t="s">
        <v>1847</v>
      </c>
      <c r="B20" s="39" t="s">
        <v>89</v>
      </c>
      <c r="C20" s="39" t="s">
        <v>88</v>
      </c>
      <c r="D20" s="40">
        <v>36411</v>
      </c>
      <c r="E20" s="41">
        <v>60</v>
      </c>
      <c r="F20" s="41"/>
      <c r="G20" s="42"/>
      <c r="H20" s="43"/>
      <c r="I20" s="43" t="s">
        <v>2713</v>
      </c>
      <c r="J20" s="44"/>
      <c r="K20" s="43" t="s">
        <v>69</v>
      </c>
      <c r="L20" s="44" t="s">
        <v>87</v>
      </c>
      <c r="M20" s="44">
        <v>0</v>
      </c>
      <c r="N20" s="45"/>
    </row>
    <row r="21" spans="1:14" customFormat="1" ht="15" customHeight="1" x14ac:dyDescent="0.2">
      <c r="A21" s="59" t="s">
        <v>1848</v>
      </c>
      <c r="B21" s="39" t="s">
        <v>48</v>
      </c>
      <c r="C21" s="39" t="s">
        <v>16</v>
      </c>
      <c r="D21" s="40">
        <v>36411</v>
      </c>
      <c r="E21" s="41">
        <v>79.900000000000006</v>
      </c>
      <c r="F21" s="41"/>
      <c r="G21" s="42"/>
      <c r="H21" s="43"/>
      <c r="I21" s="43" t="s">
        <v>2713</v>
      </c>
      <c r="J21" s="44"/>
      <c r="K21" s="43" t="s">
        <v>71</v>
      </c>
      <c r="L21" s="44" t="s">
        <v>87</v>
      </c>
      <c r="M21" s="44">
        <v>0</v>
      </c>
      <c r="N21" s="45"/>
    </row>
    <row r="22" spans="1:14" customFormat="1" ht="15" customHeight="1" x14ac:dyDescent="0.2">
      <c r="A22" s="59" t="s">
        <v>1849</v>
      </c>
      <c r="B22" s="39" t="s">
        <v>148</v>
      </c>
      <c r="C22" s="39" t="s">
        <v>7</v>
      </c>
      <c r="D22" s="40">
        <v>36446</v>
      </c>
      <c r="E22" s="41">
        <v>750</v>
      </c>
      <c r="F22" s="46"/>
      <c r="G22" s="44" t="s">
        <v>339</v>
      </c>
      <c r="H22" s="43" t="s">
        <v>2720</v>
      </c>
      <c r="I22" s="43" t="s">
        <v>2713</v>
      </c>
      <c r="J22" s="44"/>
      <c r="K22" s="43" t="s">
        <v>275</v>
      </c>
      <c r="L22" s="44" t="s">
        <v>86</v>
      </c>
      <c r="M22" s="44">
        <v>0</v>
      </c>
      <c r="N22" s="45">
        <v>38908</v>
      </c>
    </row>
    <row r="23" spans="1:14" customFormat="1" ht="15" customHeight="1" x14ac:dyDescent="0.2">
      <c r="A23" s="59" t="s">
        <v>1850</v>
      </c>
      <c r="B23" s="39" t="s">
        <v>35</v>
      </c>
      <c r="C23" s="39" t="s">
        <v>8</v>
      </c>
      <c r="D23" s="40">
        <v>36462</v>
      </c>
      <c r="E23" s="41">
        <v>800</v>
      </c>
      <c r="F23" s="41"/>
      <c r="G23" s="42"/>
      <c r="H23" s="43"/>
      <c r="I23" s="43" t="s">
        <v>2713</v>
      </c>
      <c r="J23" s="44"/>
      <c r="K23" s="43" t="s">
        <v>66</v>
      </c>
      <c r="L23" s="44" t="s">
        <v>157</v>
      </c>
      <c r="M23" s="44">
        <v>0</v>
      </c>
      <c r="N23" s="45"/>
    </row>
    <row r="24" spans="1:14" customFormat="1" ht="15" customHeight="1" x14ac:dyDescent="0.2">
      <c r="A24" s="59" t="s">
        <v>4395</v>
      </c>
      <c r="B24" s="60" t="s">
        <v>2945</v>
      </c>
      <c r="C24" s="60" t="s">
        <v>4846</v>
      </c>
      <c r="D24" s="40">
        <v>36480</v>
      </c>
      <c r="E24" s="61">
        <v>500</v>
      </c>
      <c r="F24" s="62"/>
      <c r="G24" s="63" t="s">
        <v>340</v>
      </c>
      <c r="H24" s="64" t="s">
        <v>2719</v>
      </c>
      <c r="I24" s="64" t="s">
        <v>2713</v>
      </c>
      <c r="J24" s="63" t="s">
        <v>533</v>
      </c>
      <c r="K24" s="64" t="s">
        <v>271</v>
      </c>
      <c r="L24" s="63" t="s">
        <v>86</v>
      </c>
      <c r="M24" s="63">
        <v>0</v>
      </c>
      <c r="N24" s="65">
        <v>45077</v>
      </c>
    </row>
    <row r="25" spans="1:14" customFormat="1" ht="15" customHeight="1" x14ac:dyDescent="0.2">
      <c r="A25" s="59" t="s">
        <v>1851</v>
      </c>
      <c r="B25" s="39" t="s">
        <v>37</v>
      </c>
      <c r="C25" s="39" t="s">
        <v>12</v>
      </c>
      <c r="D25" s="40">
        <v>36486</v>
      </c>
      <c r="E25" s="41">
        <v>580</v>
      </c>
      <c r="F25" s="46"/>
      <c r="G25" s="44" t="s">
        <v>339</v>
      </c>
      <c r="H25" s="43" t="s">
        <v>2716</v>
      </c>
      <c r="I25" s="43" t="s">
        <v>2713</v>
      </c>
      <c r="J25" s="44"/>
      <c r="K25" s="43" t="s">
        <v>276</v>
      </c>
      <c r="L25" s="44" t="s">
        <v>87</v>
      </c>
      <c r="M25" s="44">
        <v>0</v>
      </c>
      <c r="N25" s="45"/>
    </row>
    <row r="26" spans="1:14" customFormat="1" ht="15" customHeight="1" x14ac:dyDescent="0.2">
      <c r="A26" s="59" t="s">
        <v>1852</v>
      </c>
      <c r="B26" s="39" t="s">
        <v>44</v>
      </c>
      <c r="C26" s="39" t="s">
        <v>9</v>
      </c>
      <c r="D26" s="40">
        <v>36494</v>
      </c>
      <c r="E26" s="41">
        <v>540</v>
      </c>
      <c r="F26" s="46"/>
      <c r="G26" s="44" t="s">
        <v>339</v>
      </c>
      <c r="H26" s="43" t="s">
        <v>2721</v>
      </c>
      <c r="I26" s="43" t="s">
        <v>2713</v>
      </c>
      <c r="J26" s="44" t="s">
        <v>471</v>
      </c>
      <c r="K26" s="43" t="s">
        <v>277</v>
      </c>
      <c r="L26" s="44" t="s">
        <v>157</v>
      </c>
      <c r="M26" s="44">
        <v>0</v>
      </c>
      <c r="N26" s="45">
        <v>39639</v>
      </c>
    </row>
    <row r="27" spans="1:14" customFormat="1" ht="15" customHeight="1" x14ac:dyDescent="0.2">
      <c r="A27" s="59" t="s">
        <v>1853</v>
      </c>
      <c r="B27" s="39" t="s">
        <v>45</v>
      </c>
      <c r="C27" s="39" t="s">
        <v>10</v>
      </c>
      <c r="D27" s="40">
        <v>36536</v>
      </c>
      <c r="E27" s="41">
        <v>500</v>
      </c>
      <c r="F27" s="41"/>
      <c r="G27" s="42"/>
      <c r="H27" s="43"/>
      <c r="I27" s="43" t="s">
        <v>2713</v>
      </c>
      <c r="J27" s="44"/>
      <c r="K27" s="43" t="s">
        <v>67</v>
      </c>
      <c r="L27" s="44" t="s">
        <v>86</v>
      </c>
      <c r="M27" s="44">
        <v>0</v>
      </c>
      <c r="N27" s="45"/>
    </row>
    <row r="28" spans="1:14" customFormat="1" ht="15" customHeight="1" x14ac:dyDescent="0.2">
      <c r="A28" s="59" t="s">
        <v>1854</v>
      </c>
      <c r="B28" s="39" t="s">
        <v>214</v>
      </c>
      <c r="C28" s="39" t="s">
        <v>11</v>
      </c>
      <c r="D28" s="40">
        <v>36537</v>
      </c>
      <c r="E28" s="41">
        <v>79.900000000000006</v>
      </c>
      <c r="F28" s="46"/>
      <c r="G28" s="44" t="s">
        <v>364</v>
      </c>
      <c r="H28" s="43" t="s">
        <v>2712</v>
      </c>
      <c r="I28" s="43" t="s">
        <v>2713</v>
      </c>
      <c r="J28" s="44" t="s">
        <v>533</v>
      </c>
      <c r="K28" s="43" t="s">
        <v>278</v>
      </c>
      <c r="L28" s="44" t="s">
        <v>86</v>
      </c>
      <c r="M28" s="44">
        <v>0</v>
      </c>
      <c r="N28" s="45">
        <v>39639</v>
      </c>
    </row>
    <row r="29" spans="1:14" customFormat="1" ht="15" customHeight="1" x14ac:dyDescent="0.2">
      <c r="A29" s="59" t="s">
        <v>1855</v>
      </c>
      <c r="B29" s="39" t="s">
        <v>215</v>
      </c>
      <c r="C29" s="39" t="s">
        <v>154</v>
      </c>
      <c r="D29" s="40">
        <v>36546</v>
      </c>
      <c r="E29" s="41">
        <v>1200</v>
      </c>
      <c r="F29" s="46"/>
      <c r="G29" s="44" t="s">
        <v>253</v>
      </c>
      <c r="H29" s="43" t="s">
        <v>2715</v>
      </c>
      <c r="I29" s="43" t="s">
        <v>2713</v>
      </c>
      <c r="J29" s="44" t="s">
        <v>533</v>
      </c>
      <c r="K29" s="43" t="s">
        <v>279</v>
      </c>
      <c r="L29" s="44" t="s">
        <v>86</v>
      </c>
      <c r="M29" s="44">
        <v>0</v>
      </c>
      <c r="N29" s="45">
        <v>39639</v>
      </c>
    </row>
    <row r="30" spans="1:14" customFormat="1" ht="15" customHeight="1" x14ac:dyDescent="0.2">
      <c r="A30" s="59" t="s">
        <v>1856</v>
      </c>
      <c r="B30" s="39" t="s">
        <v>47</v>
      </c>
      <c r="C30" s="39" t="s">
        <v>13</v>
      </c>
      <c r="D30" s="40">
        <v>36553</v>
      </c>
      <c r="E30" s="41">
        <v>750</v>
      </c>
      <c r="F30" s="41"/>
      <c r="G30" s="42"/>
      <c r="H30" s="43"/>
      <c r="I30" s="43" t="s">
        <v>2713</v>
      </c>
      <c r="J30" s="44"/>
      <c r="K30" s="43" t="s">
        <v>68</v>
      </c>
      <c r="L30" s="44" t="s">
        <v>87</v>
      </c>
      <c r="M30" s="44">
        <v>0</v>
      </c>
      <c r="N30" s="45"/>
    </row>
    <row r="31" spans="1:14" customFormat="1" ht="15" customHeight="1" x14ac:dyDescent="0.2">
      <c r="A31" s="59" t="s">
        <v>1857</v>
      </c>
      <c r="B31" s="39" t="s">
        <v>48</v>
      </c>
      <c r="C31" s="39" t="s">
        <v>14</v>
      </c>
      <c r="D31" s="40">
        <v>36557</v>
      </c>
      <c r="E31" s="41">
        <v>79</v>
      </c>
      <c r="F31" s="41"/>
      <c r="G31" s="42"/>
      <c r="H31" s="43"/>
      <c r="I31" s="43" t="s">
        <v>2713</v>
      </c>
      <c r="J31" s="44"/>
      <c r="K31" s="43" t="s">
        <v>69</v>
      </c>
      <c r="L31" s="44" t="s">
        <v>87</v>
      </c>
      <c r="M31" s="44">
        <v>0</v>
      </c>
      <c r="N31" s="45"/>
    </row>
    <row r="32" spans="1:14" customFormat="1" ht="15" customHeight="1" x14ac:dyDescent="0.2">
      <c r="A32" s="59" t="s">
        <v>1858</v>
      </c>
      <c r="B32" s="39" t="s">
        <v>48</v>
      </c>
      <c r="C32" s="39" t="s">
        <v>15</v>
      </c>
      <c r="D32" s="40">
        <v>36557</v>
      </c>
      <c r="E32" s="41">
        <v>79</v>
      </c>
      <c r="F32" s="41"/>
      <c r="G32" s="42"/>
      <c r="H32" s="43"/>
      <c r="I32" s="43" t="s">
        <v>2713</v>
      </c>
      <c r="J32" s="44"/>
      <c r="K32" s="43" t="s">
        <v>70</v>
      </c>
      <c r="L32" s="44" t="s">
        <v>87</v>
      </c>
      <c r="M32" s="44">
        <v>0</v>
      </c>
      <c r="N32" s="45"/>
    </row>
    <row r="33" spans="1:14" customFormat="1" ht="15" customHeight="1" x14ac:dyDescent="0.2">
      <c r="A33" s="59" t="s">
        <v>1859</v>
      </c>
      <c r="B33" s="39" t="s">
        <v>48</v>
      </c>
      <c r="C33" s="39" t="s">
        <v>18</v>
      </c>
      <c r="D33" s="40">
        <v>36557</v>
      </c>
      <c r="E33" s="41">
        <v>79</v>
      </c>
      <c r="F33" s="41"/>
      <c r="G33" s="42"/>
      <c r="H33" s="43"/>
      <c r="I33" s="43" t="s">
        <v>2713</v>
      </c>
      <c r="J33" s="44"/>
      <c r="K33" s="43" t="s">
        <v>72</v>
      </c>
      <c r="L33" s="44" t="s">
        <v>87</v>
      </c>
      <c r="M33" s="44">
        <v>0</v>
      </c>
      <c r="N33" s="45"/>
    </row>
    <row r="34" spans="1:14" customFormat="1" ht="15" customHeight="1" x14ac:dyDescent="0.2">
      <c r="A34" s="59" t="s">
        <v>1860</v>
      </c>
      <c r="B34" s="39" t="s">
        <v>48</v>
      </c>
      <c r="C34" s="39" t="s">
        <v>19</v>
      </c>
      <c r="D34" s="40">
        <v>36557</v>
      </c>
      <c r="E34" s="41">
        <v>79</v>
      </c>
      <c r="F34" s="41"/>
      <c r="G34" s="42"/>
      <c r="H34" s="43"/>
      <c r="I34" s="43" t="s">
        <v>2713</v>
      </c>
      <c r="J34" s="44"/>
      <c r="K34" s="43" t="s">
        <v>73</v>
      </c>
      <c r="L34" s="44" t="s">
        <v>87</v>
      </c>
      <c r="M34" s="44">
        <v>0</v>
      </c>
      <c r="N34" s="45"/>
    </row>
    <row r="35" spans="1:14" customFormat="1" ht="15" customHeight="1" x14ac:dyDescent="0.2">
      <c r="A35" s="59" t="s">
        <v>1861</v>
      </c>
      <c r="B35" s="39" t="s">
        <v>49</v>
      </c>
      <c r="C35" s="39" t="s">
        <v>20</v>
      </c>
      <c r="D35" s="40">
        <v>36557</v>
      </c>
      <c r="E35" s="41">
        <v>300</v>
      </c>
      <c r="F35" s="41"/>
      <c r="G35" s="42"/>
      <c r="H35" s="43"/>
      <c r="I35" s="43" t="s">
        <v>2713</v>
      </c>
      <c r="J35" s="44"/>
      <c r="K35" s="43" t="s">
        <v>74</v>
      </c>
      <c r="L35" s="44" t="s">
        <v>87</v>
      </c>
      <c r="M35" s="44">
        <v>0</v>
      </c>
      <c r="N35" s="45"/>
    </row>
    <row r="36" spans="1:14" customFormat="1" ht="15" customHeight="1" x14ac:dyDescent="0.2">
      <c r="A36" s="59" t="s">
        <v>1862</v>
      </c>
      <c r="B36" s="39" t="s">
        <v>49</v>
      </c>
      <c r="C36" s="39" t="s">
        <v>93</v>
      </c>
      <c r="D36" s="40">
        <v>36557</v>
      </c>
      <c r="E36" s="41">
        <v>300</v>
      </c>
      <c r="F36" s="41"/>
      <c r="G36" s="42"/>
      <c r="H36" s="43"/>
      <c r="I36" s="43" t="s">
        <v>2713</v>
      </c>
      <c r="J36" s="44"/>
      <c r="K36" s="43" t="s">
        <v>75</v>
      </c>
      <c r="L36" s="44" t="s">
        <v>87</v>
      </c>
      <c r="M36" s="44">
        <v>0</v>
      </c>
      <c r="N36" s="45"/>
    </row>
    <row r="37" spans="1:14" customFormat="1" ht="15" customHeight="1" x14ac:dyDescent="0.2">
      <c r="A37" s="59" t="s">
        <v>1863</v>
      </c>
      <c r="B37" s="39" t="s">
        <v>49</v>
      </c>
      <c r="C37" s="39" t="s">
        <v>21</v>
      </c>
      <c r="D37" s="40">
        <v>36557</v>
      </c>
      <c r="E37" s="41">
        <v>300</v>
      </c>
      <c r="F37" s="41"/>
      <c r="G37" s="42"/>
      <c r="H37" s="43"/>
      <c r="I37" s="43" t="s">
        <v>2713</v>
      </c>
      <c r="J37" s="44"/>
      <c r="K37" s="43" t="s">
        <v>76</v>
      </c>
      <c r="L37" s="44" t="s">
        <v>87</v>
      </c>
      <c r="M37" s="44">
        <v>0</v>
      </c>
      <c r="N37" s="45"/>
    </row>
    <row r="38" spans="1:14" customFormat="1" ht="15" customHeight="1" x14ac:dyDescent="0.2">
      <c r="A38" s="59" t="s">
        <v>1864</v>
      </c>
      <c r="B38" s="39" t="s">
        <v>49</v>
      </c>
      <c r="C38" s="39" t="s">
        <v>22</v>
      </c>
      <c r="D38" s="40">
        <v>36557</v>
      </c>
      <c r="E38" s="41">
        <v>100</v>
      </c>
      <c r="F38" s="41"/>
      <c r="G38" s="42"/>
      <c r="H38" s="43"/>
      <c r="I38" s="43" t="s">
        <v>2713</v>
      </c>
      <c r="J38" s="44"/>
      <c r="K38" s="43" t="s">
        <v>77</v>
      </c>
      <c r="L38" s="44" t="s">
        <v>87</v>
      </c>
      <c r="M38" s="44">
        <v>0</v>
      </c>
      <c r="N38" s="45"/>
    </row>
    <row r="39" spans="1:14" customFormat="1" ht="15" customHeight="1" x14ac:dyDescent="0.2">
      <c r="A39" s="59" t="s">
        <v>1865</v>
      </c>
      <c r="B39" s="39" t="s">
        <v>49</v>
      </c>
      <c r="C39" s="39" t="s">
        <v>12</v>
      </c>
      <c r="D39" s="40">
        <v>36559</v>
      </c>
      <c r="E39" s="41">
        <v>300</v>
      </c>
      <c r="F39" s="41"/>
      <c r="G39" s="42"/>
      <c r="H39" s="43"/>
      <c r="I39" s="43" t="s">
        <v>2713</v>
      </c>
      <c r="J39" s="44"/>
      <c r="K39" s="43" t="s">
        <v>78</v>
      </c>
      <c r="L39" s="44" t="s">
        <v>87</v>
      </c>
      <c r="M39" s="44">
        <v>0</v>
      </c>
      <c r="N39" s="45"/>
    </row>
    <row r="40" spans="1:14" customFormat="1" ht="15" customHeight="1" x14ac:dyDescent="0.2">
      <c r="A40" s="59" t="s">
        <v>1866</v>
      </c>
      <c r="B40" s="39" t="s">
        <v>50</v>
      </c>
      <c r="C40" s="39" t="s">
        <v>23</v>
      </c>
      <c r="D40" s="40">
        <v>36565</v>
      </c>
      <c r="E40" s="41">
        <v>800</v>
      </c>
      <c r="F40" s="41"/>
      <c r="G40" s="42"/>
      <c r="H40" s="43"/>
      <c r="I40" s="43" t="s">
        <v>2713</v>
      </c>
      <c r="J40" s="44"/>
      <c r="K40" s="43" t="s">
        <v>111</v>
      </c>
      <c r="L40" s="44" t="s">
        <v>86</v>
      </c>
      <c r="M40" s="44">
        <v>0</v>
      </c>
      <c r="N40" s="45"/>
    </row>
    <row r="41" spans="1:14" customFormat="1" ht="15" customHeight="1" x14ac:dyDescent="0.2">
      <c r="A41" s="59" t="s">
        <v>1867</v>
      </c>
      <c r="B41" s="39" t="s">
        <v>49</v>
      </c>
      <c r="C41" s="39" t="s">
        <v>107</v>
      </c>
      <c r="D41" s="40">
        <v>36566</v>
      </c>
      <c r="E41" s="41">
        <v>300</v>
      </c>
      <c r="F41" s="41"/>
      <c r="G41" s="42"/>
      <c r="H41" s="43"/>
      <c r="I41" s="43" t="s">
        <v>2713</v>
      </c>
      <c r="J41" s="44"/>
      <c r="K41" s="43" t="s">
        <v>75</v>
      </c>
      <c r="L41" s="44" t="s">
        <v>87</v>
      </c>
      <c r="M41" s="44">
        <v>0</v>
      </c>
      <c r="N41" s="45"/>
    </row>
    <row r="42" spans="1:14" customFormat="1" ht="15" customHeight="1" x14ac:dyDescent="0.2">
      <c r="A42" s="59" t="s">
        <v>1868</v>
      </c>
      <c r="B42" s="39" t="s">
        <v>49</v>
      </c>
      <c r="C42" s="39" t="s">
        <v>106</v>
      </c>
      <c r="D42" s="40">
        <v>36566</v>
      </c>
      <c r="E42" s="41">
        <v>300</v>
      </c>
      <c r="F42" s="41"/>
      <c r="G42" s="42"/>
      <c r="H42" s="43"/>
      <c r="I42" s="43" t="s">
        <v>2713</v>
      </c>
      <c r="J42" s="44"/>
      <c r="K42" s="43" t="s">
        <v>78</v>
      </c>
      <c r="L42" s="44" t="s">
        <v>87</v>
      </c>
      <c r="M42" s="44">
        <v>0</v>
      </c>
      <c r="N42" s="45"/>
    </row>
    <row r="43" spans="1:14" customFormat="1" ht="15" customHeight="1" x14ac:dyDescent="0.2">
      <c r="A43" s="59" t="s">
        <v>1869</v>
      </c>
      <c r="B43" s="39" t="s">
        <v>51</v>
      </c>
      <c r="C43" s="39" t="s">
        <v>24</v>
      </c>
      <c r="D43" s="40">
        <v>36566</v>
      </c>
      <c r="E43" s="41">
        <v>510</v>
      </c>
      <c r="F43" s="41"/>
      <c r="G43" s="42"/>
      <c r="H43" s="43"/>
      <c r="I43" s="43" t="s">
        <v>2713</v>
      </c>
      <c r="J43" s="44"/>
      <c r="K43" s="43" t="s">
        <v>79</v>
      </c>
      <c r="L43" s="44" t="s">
        <v>87</v>
      </c>
      <c r="M43" s="44">
        <v>0</v>
      </c>
      <c r="N43" s="45"/>
    </row>
    <row r="44" spans="1:14" customFormat="1" ht="15" customHeight="1" x14ac:dyDescent="0.2">
      <c r="A44" s="59" t="s">
        <v>1870</v>
      </c>
      <c r="B44" s="39" t="s">
        <v>48</v>
      </c>
      <c r="C44" s="39" t="s">
        <v>26</v>
      </c>
      <c r="D44" s="40">
        <v>36571</v>
      </c>
      <c r="E44" s="41">
        <v>150</v>
      </c>
      <c r="F44" s="41"/>
      <c r="G44" s="42"/>
      <c r="H44" s="43"/>
      <c r="I44" s="43" t="s">
        <v>2713</v>
      </c>
      <c r="J44" s="44"/>
      <c r="K44" s="43" t="s">
        <v>81</v>
      </c>
      <c r="L44" s="44" t="s">
        <v>87</v>
      </c>
      <c r="M44" s="44">
        <v>0</v>
      </c>
      <c r="N44" s="45"/>
    </row>
    <row r="45" spans="1:14" customFormat="1" ht="15" customHeight="1" x14ac:dyDescent="0.2">
      <c r="A45" s="59" t="s">
        <v>1871</v>
      </c>
      <c r="B45" s="39" t="s">
        <v>236</v>
      </c>
      <c r="C45" s="39" t="s">
        <v>27</v>
      </c>
      <c r="D45" s="40">
        <v>36591</v>
      </c>
      <c r="E45" s="41">
        <v>50</v>
      </c>
      <c r="F45" s="41"/>
      <c r="G45" s="42"/>
      <c r="H45" s="43"/>
      <c r="I45" s="43" t="s">
        <v>2713</v>
      </c>
      <c r="J45" s="44"/>
      <c r="K45" s="43" t="s">
        <v>82</v>
      </c>
      <c r="L45" s="44" t="s">
        <v>157</v>
      </c>
      <c r="M45" s="44">
        <v>0</v>
      </c>
      <c r="N45" s="45"/>
    </row>
    <row r="46" spans="1:14" customFormat="1" ht="15" customHeight="1" x14ac:dyDescent="0.2">
      <c r="A46" s="59" t="s">
        <v>1872</v>
      </c>
      <c r="B46" s="39" t="s">
        <v>52</v>
      </c>
      <c r="C46" s="39" t="s">
        <v>28</v>
      </c>
      <c r="D46" s="40">
        <v>36592</v>
      </c>
      <c r="E46" s="41">
        <v>300</v>
      </c>
      <c r="F46" s="41"/>
      <c r="G46" s="42"/>
      <c r="H46" s="43"/>
      <c r="I46" s="43" t="s">
        <v>2713</v>
      </c>
      <c r="J46" s="44"/>
      <c r="K46" s="43" t="s">
        <v>76</v>
      </c>
      <c r="L46" s="44" t="s">
        <v>87</v>
      </c>
      <c r="M46" s="44">
        <v>0</v>
      </c>
      <c r="N46" s="45"/>
    </row>
    <row r="47" spans="1:14" customFormat="1" ht="15" customHeight="1" x14ac:dyDescent="0.2">
      <c r="A47" s="59" t="s">
        <v>1873</v>
      </c>
      <c r="B47" s="39" t="s">
        <v>52</v>
      </c>
      <c r="C47" s="39" t="s">
        <v>29</v>
      </c>
      <c r="D47" s="40">
        <v>36592</v>
      </c>
      <c r="E47" s="41">
        <v>300</v>
      </c>
      <c r="F47" s="41"/>
      <c r="G47" s="42"/>
      <c r="H47" s="43"/>
      <c r="I47" s="43" t="s">
        <v>2713</v>
      </c>
      <c r="J47" s="44"/>
      <c r="K47" s="43" t="s">
        <v>75</v>
      </c>
      <c r="L47" s="44" t="s">
        <v>87</v>
      </c>
      <c r="M47" s="44">
        <v>0</v>
      </c>
      <c r="N47" s="45"/>
    </row>
    <row r="48" spans="1:14" customFormat="1" ht="15" customHeight="1" x14ac:dyDescent="0.2">
      <c r="A48" s="59" t="s">
        <v>1874</v>
      </c>
      <c r="B48" s="39" t="s">
        <v>46</v>
      </c>
      <c r="C48" s="39" t="s">
        <v>780</v>
      </c>
      <c r="D48" s="40">
        <v>36602</v>
      </c>
      <c r="E48" s="41">
        <v>79</v>
      </c>
      <c r="F48" s="42"/>
      <c r="G48" s="42"/>
      <c r="H48" s="43"/>
      <c r="I48" s="43" t="s">
        <v>2713</v>
      </c>
      <c r="J48" s="44"/>
      <c r="K48" s="43" t="s">
        <v>781</v>
      </c>
      <c r="L48" s="44" t="s">
        <v>86</v>
      </c>
      <c r="M48" s="44">
        <v>0</v>
      </c>
      <c r="N48" s="45"/>
    </row>
    <row r="49" spans="1:14" customFormat="1" ht="15" customHeight="1" x14ac:dyDescent="0.2">
      <c r="A49" s="59" t="s">
        <v>3016</v>
      </c>
      <c r="B49" s="39" t="s">
        <v>3013</v>
      </c>
      <c r="C49" s="39" t="s">
        <v>3014</v>
      </c>
      <c r="D49" s="40">
        <v>36606</v>
      </c>
      <c r="E49" s="41">
        <v>100</v>
      </c>
      <c r="F49" s="47"/>
      <c r="G49" s="44" t="s">
        <v>124</v>
      </c>
      <c r="H49" s="48"/>
      <c r="I49" s="43" t="s">
        <v>2713</v>
      </c>
      <c r="J49" s="44"/>
      <c r="K49" s="43" t="s">
        <v>3015</v>
      </c>
      <c r="L49" s="44" t="s">
        <v>157</v>
      </c>
      <c r="M49" s="44">
        <v>0</v>
      </c>
      <c r="N49" s="48"/>
    </row>
    <row r="50" spans="1:14" customFormat="1" ht="15" customHeight="1" x14ac:dyDescent="0.2">
      <c r="A50" s="59" t="s">
        <v>1875</v>
      </c>
      <c r="B50" s="39" t="s">
        <v>148</v>
      </c>
      <c r="C50" s="39" t="s">
        <v>30</v>
      </c>
      <c r="D50" s="40">
        <v>36608</v>
      </c>
      <c r="E50" s="41">
        <v>180</v>
      </c>
      <c r="F50" s="41"/>
      <c r="G50" s="42"/>
      <c r="H50" s="43"/>
      <c r="I50" s="43" t="s">
        <v>2713</v>
      </c>
      <c r="J50" s="44"/>
      <c r="K50" s="43" t="s">
        <v>83</v>
      </c>
      <c r="L50" s="44" t="s">
        <v>86</v>
      </c>
      <c r="M50" s="44">
        <v>0</v>
      </c>
      <c r="N50" s="45"/>
    </row>
    <row r="51" spans="1:14" customFormat="1" ht="15" customHeight="1" x14ac:dyDescent="0.2">
      <c r="A51" s="59" t="s">
        <v>1876</v>
      </c>
      <c r="B51" s="39" t="s">
        <v>148</v>
      </c>
      <c r="C51" s="39" t="s">
        <v>31</v>
      </c>
      <c r="D51" s="40">
        <v>36608</v>
      </c>
      <c r="E51" s="41">
        <v>79.900000000000006</v>
      </c>
      <c r="F51" s="41"/>
      <c r="G51" s="42"/>
      <c r="H51" s="43"/>
      <c r="I51" s="43" t="s">
        <v>2713</v>
      </c>
      <c r="J51" s="44"/>
      <c r="K51" s="43" t="s">
        <v>84</v>
      </c>
      <c r="L51" s="44" t="s">
        <v>86</v>
      </c>
      <c r="M51" s="44">
        <v>0</v>
      </c>
      <c r="N51" s="45"/>
    </row>
    <row r="52" spans="1:14" customFormat="1" ht="15" customHeight="1" x14ac:dyDescent="0.2">
      <c r="A52" s="59" t="s">
        <v>1877</v>
      </c>
      <c r="B52" s="39" t="s">
        <v>148</v>
      </c>
      <c r="C52" s="39" t="s">
        <v>32</v>
      </c>
      <c r="D52" s="40">
        <v>36608</v>
      </c>
      <c r="E52" s="41">
        <v>40</v>
      </c>
      <c r="F52" s="41"/>
      <c r="G52" s="42"/>
      <c r="H52" s="43"/>
      <c r="I52" s="43" t="s">
        <v>2713</v>
      </c>
      <c r="J52" s="44"/>
      <c r="K52" s="43" t="s">
        <v>84</v>
      </c>
      <c r="L52" s="44" t="s">
        <v>86</v>
      </c>
      <c r="M52" s="44">
        <v>0</v>
      </c>
      <c r="N52" s="45"/>
    </row>
    <row r="53" spans="1:14" customFormat="1" ht="15" customHeight="1" x14ac:dyDescent="0.2">
      <c r="A53" s="59" t="s">
        <v>1878</v>
      </c>
      <c r="B53" s="39" t="s">
        <v>91</v>
      </c>
      <c r="C53" s="39" t="s">
        <v>90</v>
      </c>
      <c r="D53" s="40">
        <v>36635</v>
      </c>
      <c r="E53" s="41">
        <v>500</v>
      </c>
      <c r="F53" s="41"/>
      <c r="G53" s="42"/>
      <c r="H53" s="43"/>
      <c r="I53" s="43" t="s">
        <v>2713</v>
      </c>
      <c r="J53" s="44"/>
      <c r="K53" s="43" t="s">
        <v>92</v>
      </c>
      <c r="L53" s="44" t="s">
        <v>86</v>
      </c>
      <c r="M53" s="44">
        <v>0</v>
      </c>
      <c r="N53" s="45"/>
    </row>
    <row r="54" spans="1:14" customFormat="1" ht="15" customHeight="1" x14ac:dyDescent="0.2">
      <c r="A54" s="59" t="s">
        <v>1879</v>
      </c>
      <c r="B54" s="39" t="s">
        <v>95</v>
      </c>
      <c r="C54" s="39" t="s">
        <v>94</v>
      </c>
      <c r="D54" s="40">
        <v>36654</v>
      </c>
      <c r="E54" s="41">
        <v>420</v>
      </c>
      <c r="F54" s="41"/>
      <c r="G54" s="42"/>
      <c r="H54" s="43"/>
      <c r="I54" s="43" t="s">
        <v>2713</v>
      </c>
      <c r="J54" s="44"/>
      <c r="K54" s="43" t="s">
        <v>96</v>
      </c>
      <c r="L54" s="44" t="s">
        <v>157</v>
      </c>
      <c r="M54" s="44">
        <v>0</v>
      </c>
      <c r="N54" s="45"/>
    </row>
    <row r="55" spans="1:14" customFormat="1" ht="15" customHeight="1" x14ac:dyDescent="0.2">
      <c r="A55" s="59" t="s">
        <v>1880</v>
      </c>
      <c r="B55" s="39" t="s">
        <v>98</v>
      </c>
      <c r="C55" s="39" t="s">
        <v>97</v>
      </c>
      <c r="D55" s="40">
        <v>36657</v>
      </c>
      <c r="E55" s="41">
        <v>650</v>
      </c>
      <c r="F55" s="41"/>
      <c r="G55" s="42"/>
      <c r="H55" s="43"/>
      <c r="I55" s="43" t="s">
        <v>2713</v>
      </c>
      <c r="J55" s="44"/>
      <c r="K55" s="43" t="s">
        <v>101</v>
      </c>
      <c r="L55" s="44" t="s">
        <v>34</v>
      </c>
      <c r="M55" s="44">
        <v>0</v>
      </c>
      <c r="N55" s="45"/>
    </row>
    <row r="56" spans="1:14" customFormat="1" ht="15" customHeight="1" x14ac:dyDescent="0.2">
      <c r="A56" s="59" t="s">
        <v>1881</v>
      </c>
      <c r="B56" s="39" t="s">
        <v>98</v>
      </c>
      <c r="C56" s="39" t="s">
        <v>99</v>
      </c>
      <c r="D56" s="40">
        <v>36658</v>
      </c>
      <c r="E56" s="41">
        <v>600</v>
      </c>
      <c r="F56" s="41"/>
      <c r="G56" s="42"/>
      <c r="H56" s="43"/>
      <c r="I56" s="43" t="s">
        <v>2713</v>
      </c>
      <c r="J56" s="44"/>
      <c r="K56" s="43" t="s">
        <v>100</v>
      </c>
      <c r="L56" s="44" t="s">
        <v>157</v>
      </c>
      <c r="M56" s="44">
        <v>0</v>
      </c>
      <c r="N56" s="45"/>
    </row>
    <row r="57" spans="1:14" customFormat="1" ht="15" customHeight="1" x14ac:dyDescent="0.2">
      <c r="A57" s="59" t="s">
        <v>1882</v>
      </c>
      <c r="B57" s="39" t="s">
        <v>240</v>
      </c>
      <c r="C57" s="39" t="s">
        <v>102</v>
      </c>
      <c r="D57" s="40">
        <v>36661</v>
      </c>
      <c r="E57" s="41">
        <v>79.900000000000006</v>
      </c>
      <c r="F57" s="46"/>
      <c r="G57" s="44" t="s">
        <v>364</v>
      </c>
      <c r="H57" s="43" t="s">
        <v>2722</v>
      </c>
      <c r="I57" s="43" t="s">
        <v>2713</v>
      </c>
      <c r="J57" s="44" t="s">
        <v>531</v>
      </c>
      <c r="K57" s="43" t="s">
        <v>280</v>
      </c>
      <c r="L57" s="44" t="s">
        <v>34</v>
      </c>
      <c r="M57" s="44">
        <v>0</v>
      </c>
      <c r="N57" s="45">
        <v>39639</v>
      </c>
    </row>
    <row r="58" spans="1:14" customFormat="1" ht="15" customHeight="1" x14ac:dyDescent="0.2">
      <c r="A58" s="59" t="s">
        <v>1883</v>
      </c>
      <c r="B58" s="39" t="s">
        <v>105</v>
      </c>
      <c r="C58" s="39" t="s">
        <v>104</v>
      </c>
      <c r="D58" s="40">
        <v>36698</v>
      </c>
      <c r="E58" s="41">
        <v>1080</v>
      </c>
      <c r="F58" s="41"/>
      <c r="G58" s="42"/>
      <c r="H58" s="43"/>
      <c r="I58" s="43" t="s">
        <v>2713</v>
      </c>
      <c r="J58" s="44"/>
      <c r="K58" s="43" t="s">
        <v>57</v>
      </c>
      <c r="L58" s="44" t="s">
        <v>41</v>
      </c>
      <c r="M58" s="44">
        <v>0</v>
      </c>
      <c r="N58" s="45"/>
    </row>
    <row r="59" spans="1:14" customFormat="1" ht="15" customHeight="1" x14ac:dyDescent="0.2">
      <c r="A59" s="59" t="s">
        <v>1884</v>
      </c>
      <c r="B59" s="39" t="s">
        <v>49</v>
      </c>
      <c r="C59" s="39" t="s">
        <v>108</v>
      </c>
      <c r="D59" s="40">
        <v>36700</v>
      </c>
      <c r="E59" s="41">
        <v>300</v>
      </c>
      <c r="F59" s="41"/>
      <c r="G59" s="42"/>
      <c r="H59" s="43"/>
      <c r="I59" s="43" t="s">
        <v>2713</v>
      </c>
      <c r="J59" s="44"/>
      <c r="K59" s="43" t="s">
        <v>76</v>
      </c>
      <c r="L59" s="44" t="s">
        <v>87</v>
      </c>
      <c r="M59" s="44">
        <v>0</v>
      </c>
      <c r="N59" s="45"/>
    </row>
    <row r="60" spans="1:14" customFormat="1" ht="15" customHeight="1" x14ac:dyDescent="0.2">
      <c r="A60" s="59" t="s">
        <v>1885</v>
      </c>
      <c r="B60" s="39" t="s">
        <v>162</v>
      </c>
      <c r="C60" s="39" t="s">
        <v>110</v>
      </c>
      <c r="D60" s="40">
        <v>36756</v>
      </c>
      <c r="E60" s="41">
        <v>173</v>
      </c>
      <c r="F60" s="46"/>
      <c r="G60" s="44" t="s">
        <v>364</v>
      </c>
      <c r="H60" s="43" t="s">
        <v>2719</v>
      </c>
      <c r="I60" s="43" t="s">
        <v>2713</v>
      </c>
      <c r="J60" s="44"/>
      <c r="K60" s="43" t="s">
        <v>271</v>
      </c>
      <c r="L60" s="44" t="s">
        <v>86</v>
      </c>
      <c r="M60" s="44">
        <v>0</v>
      </c>
      <c r="N60" s="45">
        <v>38938</v>
      </c>
    </row>
    <row r="61" spans="1:14" customFormat="1" ht="15" customHeight="1" x14ac:dyDescent="0.2">
      <c r="A61" s="59" t="s">
        <v>1886</v>
      </c>
      <c r="B61" s="39" t="s">
        <v>113</v>
      </c>
      <c r="C61" s="39" t="s">
        <v>112</v>
      </c>
      <c r="D61" s="40">
        <v>36777</v>
      </c>
      <c r="E61" s="41">
        <v>50</v>
      </c>
      <c r="F61" s="41"/>
      <c r="G61" s="42"/>
      <c r="H61" s="43"/>
      <c r="I61" s="43" t="s">
        <v>2713</v>
      </c>
      <c r="J61" s="44"/>
      <c r="K61" s="43" t="s">
        <v>114</v>
      </c>
      <c r="L61" s="44" t="s">
        <v>157</v>
      </c>
      <c r="M61" s="44">
        <v>0</v>
      </c>
      <c r="N61" s="45"/>
    </row>
    <row r="62" spans="1:14" customFormat="1" ht="15" customHeight="1" x14ac:dyDescent="0.2">
      <c r="A62" s="59" t="s">
        <v>1887</v>
      </c>
      <c r="B62" s="39" t="s">
        <v>103</v>
      </c>
      <c r="C62" s="39" t="s">
        <v>242</v>
      </c>
      <c r="D62" s="40">
        <v>36777</v>
      </c>
      <c r="E62" s="41">
        <v>79.900000000000006</v>
      </c>
      <c r="F62" s="41"/>
      <c r="G62" s="42"/>
      <c r="H62" s="43"/>
      <c r="I62" s="43" t="s">
        <v>2713</v>
      </c>
      <c r="J62" s="44"/>
      <c r="K62" s="43" t="s">
        <v>115</v>
      </c>
      <c r="L62" s="44" t="s">
        <v>86</v>
      </c>
      <c r="M62" s="44">
        <v>0</v>
      </c>
      <c r="N62" s="45"/>
    </row>
    <row r="63" spans="1:14" customFormat="1" ht="15" customHeight="1" x14ac:dyDescent="0.2">
      <c r="A63" s="59" t="s">
        <v>1888</v>
      </c>
      <c r="B63" s="39" t="s">
        <v>103</v>
      </c>
      <c r="C63" s="39" t="s">
        <v>243</v>
      </c>
      <c r="D63" s="40">
        <v>36777</v>
      </c>
      <c r="E63" s="41">
        <v>500</v>
      </c>
      <c r="F63" s="41"/>
      <c r="G63" s="42"/>
      <c r="H63" s="43"/>
      <c r="I63" s="43" t="s">
        <v>2713</v>
      </c>
      <c r="J63" s="44"/>
      <c r="K63" s="43" t="s">
        <v>115</v>
      </c>
      <c r="L63" s="44" t="s">
        <v>86</v>
      </c>
      <c r="M63" s="44">
        <v>0</v>
      </c>
      <c r="N63" s="45"/>
    </row>
    <row r="64" spans="1:14" customFormat="1" ht="15" customHeight="1" x14ac:dyDescent="0.2">
      <c r="A64" s="59" t="s">
        <v>1889</v>
      </c>
      <c r="B64" s="39" t="s">
        <v>119</v>
      </c>
      <c r="C64" s="39" t="s">
        <v>118</v>
      </c>
      <c r="D64" s="40">
        <v>36809</v>
      </c>
      <c r="E64" s="41">
        <v>330</v>
      </c>
      <c r="F64" s="41"/>
      <c r="G64" s="42"/>
      <c r="H64" s="43"/>
      <c r="I64" s="43" t="s">
        <v>2713</v>
      </c>
      <c r="J64" s="44"/>
      <c r="K64" s="43" t="s">
        <v>70</v>
      </c>
      <c r="L64" s="44" t="s">
        <v>87</v>
      </c>
      <c r="M64" s="44">
        <v>0</v>
      </c>
      <c r="N64" s="45"/>
    </row>
    <row r="65" spans="1:14" customFormat="1" ht="15" customHeight="1" x14ac:dyDescent="0.2">
      <c r="A65" s="59" t="s">
        <v>1890</v>
      </c>
      <c r="B65" s="39" t="s">
        <v>46</v>
      </c>
      <c r="C65" s="39" t="s">
        <v>120</v>
      </c>
      <c r="D65" s="40">
        <v>36816</v>
      </c>
      <c r="E65" s="41">
        <v>79</v>
      </c>
      <c r="F65" s="41"/>
      <c r="G65" s="42"/>
      <c r="H65" s="43"/>
      <c r="I65" s="43" t="s">
        <v>2713</v>
      </c>
      <c r="J65" s="44"/>
      <c r="K65" s="43" t="s">
        <v>62</v>
      </c>
      <c r="L65" s="44" t="s">
        <v>86</v>
      </c>
      <c r="M65" s="44">
        <v>0</v>
      </c>
      <c r="N65" s="45"/>
    </row>
    <row r="66" spans="1:14" customFormat="1" ht="15" customHeight="1" x14ac:dyDescent="0.2">
      <c r="A66" s="59" t="s">
        <v>1891</v>
      </c>
      <c r="B66" s="39" t="s">
        <v>117</v>
      </c>
      <c r="C66" s="39" t="s">
        <v>121</v>
      </c>
      <c r="D66" s="40">
        <v>36829</v>
      </c>
      <c r="E66" s="41">
        <v>530</v>
      </c>
      <c r="F66" s="46"/>
      <c r="G66" s="44" t="s">
        <v>364</v>
      </c>
      <c r="H66" s="43" t="s">
        <v>2723</v>
      </c>
      <c r="I66" s="43" t="s">
        <v>2713</v>
      </c>
      <c r="J66" s="44"/>
      <c r="K66" s="43" t="s">
        <v>158</v>
      </c>
      <c r="L66" s="44" t="s">
        <v>157</v>
      </c>
      <c r="M66" s="44">
        <v>0</v>
      </c>
      <c r="N66" s="45">
        <v>43530</v>
      </c>
    </row>
    <row r="67" spans="1:14" customFormat="1" ht="15" customHeight="1" x14ac:dyDescent="0.2">
      <c r="A67" s="59" t="s">
        <v>1892</v>
      </c>
      <c r="B67" s="39" t="s">
        <v>105</v>
      </c>
      <c r="C67" s="39" t="s">
        <v>122</v>
      </c>
      <c r="D67" s="40">
        <v>36847</v>
      </c>
      <c r="E67" s="41">
        <v>1000</v>
      </c>
      <c r="F67" s="41"/>
      <c r="G67" s="42"/>
      <c r="H67" s="43"/>
      <c r="I67" s="43" t="s">
        <v>2713</v>
      </c>
      <c r="J67" s="44"/>
      <c r="K67" s="43" t="s">
        <v>123</v>
      </c>
      <c r="L67" s="44" t="s">
        <v>86</v>
      </c>
      <c r="M67" s="44">
        <v>0</v>
      </c>
      <c r="N67" s="45"/>
    </row>
    <row r="68" spans="1:14" customFormat="1" ht="15" customHeight="1" x14ac:dyDescent="0.2">
      <c r="A68" s="59" t="s">
        <v>1893</v>
      </c>
      <c r="B68" s="39" t="s">
        <v>1894</v>
      </c>
      <c r="C68" s="39" t="s">
        <v>245</v>
      </c>
      <c r="D68" s="40">
        <v>36864</v>
      </c>
      <c r="E68" s="41">
        <v>440</v>
      </c>
      <c r="F68" s="41"/>
      <c r="G68" s="42"/>
      <c r="H68" s="43"/>
      <c r="I68" s="43" t="s">
        <v>2713</v>
      </c>
      <c r="J68" s="44"/>
      <c r="K68" s="43" t="s">
        <v>177</v>
      </c>
      <c r="L68" s="44" t="s">
        <v>86</v>
      </c>
      <c r="M68" s="44">
        <v>0</v>
      </c>
      <c r="N68" s="45"/>
    </row>
    <row r="69" spans="1:14" customFormat="1" ht="15" customHeight="1" x14ac:dyDescent="0.2">
      <c r="A69" s="59" t="s">
        <v>1895</v>
      </c>
      <c r="B69" s="39" t="s">
        <v>173</v>
      </c>
      <c r="C69" s="39" t="s">
        <v>174</v>
      </c>
      <c r="D69" s="40">
        <v>36906</v>
      </c>
      <c r="E69" s="41">
        <v>79.900000000000006</v>
      </c>
      <c r="F69" s="41"/>
      <c r="G69" s="42"/>
      <c r="H69" s="43"/>
      <c r="I69" s="43" t="s">
        <v>2713</v>
      </c>
      <c r="J69" s="44"/>
      <c r="K69" s="43" t="s">
        <v>64</v>
      </c>
      <c r="L69" s="44" t="s">
        <v>86</v>
      </c>
      <c r="M69" s="44">
        <v>0</v>
      </c>
      <c r="N69" s="45"/>
    </row>
    <row r="70" spans="1:14" customFormat="1" ht="15" customHeight="1" x14ac:dyDescent="0.2">
      <c r="A70" s="59" t="s">
        <v>1896</v>
      </c>
      <c r="B70" s="39" t="s">
        <v>105</v>
      </c>
      <c r="C70" s="39" t="s">
        <v>125</v>
      </c>
      <c r="D70" s="40">
        <v>36948</v>
      </c>
      <c r="E70" s="41">
        <v>500</v>
      </c>
      <c r="F70" s="41"/>
      <c r="G70" s="42"/>
      <c r="H70" s="43"/>
      <c r="I70" s="43" t="s">
        <v>2713</v>
      </c>
      <c r="J70" s="44"/>
      <c r="K70" s="43" t="s">
        <v>126</v>
      </c>
      <c r="L70" s="44" t="s">
        <v>86</v>
      </c>
      <c r="M70" s="44">
        <v>0</v>
      </c>
      <c r="N70" s="45"/>
    </row>
    <row r="71" spans="1:14" customFormat="1" ht="15" customHeight="1" x14ac:dyDescent="0.2">
      <c r="A71" s="59" t="s">
        <v>1897</v>
      </c>
      <c r="B71" s="39" t="s">
        <v>105</v>
      </c>
      <c r="C71" s="39" t="s">
        <v>127</v>
      </c>
      <c r="D71" s="40">
        <v>36948</v>
      </c>
      <c r="E71" s="41">
        <v>500</v>
      </c>
      <c r="F71" s="41"/>
      <c r="G71" s="42"/>
      <c r="H71" s="43"/>
      <c r="I71" s="43" t="s">
        <v>2713</v>
      </c>
      <c r="J71" s="44"/>
      <c r="K71" s="43" t="s">
        <v>128</v>
      </c>
      <c r="L71" s="44" t="s">
        <v>157</v>
      </c>
      <c r="M71" s="44">
        <v>0</v>
      </c>
      <c r="N71" s="45"/>
    </row>
    <row r="72" spans="1:14" customFormat="1" ht="14.45" customHeight="1" x14ac:dyDescent="0.2">
      <c r="A72" s="59" t="s">
        <v>1898</v>
      </c>
      <c r="B72" s="39" t="s">
        <v>133</v>
      </c>
      <c r="C72" s="39" t="s">
        <v>244</v>
      </c>
      <c r="D72" s="40">
        <v>36965</v>
      </c>
      <c r="E72" s="41">
        <v>600</v>
      </c>
      <c r="F72" s="41"/>
      <c r="G72" s="42"/>
      <c r="H72" s="43"/>
      <c r="I72" s="43" t="s">
        <v>2713</v>
      </c>
      <c r="J72" s="44"/>
      <c r="K72" s="43" t="s">
        <v>155</v>
      </c>
      <c r="L72" s="44" t="s">
        <v>86</v>
      </c>
      <c r="M72" s="44">
        <v>0</v>
      </c>
      <c r="N72" s="45"/>
    </row>
    <row r="73" spans="1:14" customFormat="1" ht="14.45" customHeight="1" x14ac:dyDescent="0.2">
      <c r="A73" s="59" t="s">
        <v>1899</v>
      </c>
      <c r="B73" s="39" t="s">
        <v>133</v>
      </c>
      <c r="C73" s="39" t="s">
        <v>244</v>
      </c>
      <c r="D73" s="40">
        <v>36965</v>
      </c>
      <c r="E73" s="41">
        <v>600</v>
      </c>
      <c r="F73" s="41"/>
      <c r="G73" s="42"/>
      <c r="H73" s="43"/>
      <c r="I73" s="43" t="s">
        <v>2713</v>
      </c>
      <c r="J73" s="44"/>
      <c r="K73" s="43" t="s">
        <v>155</v>
      </c>
      <c r="L73" s="44" t="s">
        <v>86</v>
      </c>
      <c r="M73" s="44">
        <v>0</v>
      </c>
      <c r="N73" s="45"/>
    </row>
    <row r="74" spans="1:14" customFormat="1" ht="14.45" customHeight="1" x14ac:dyDescent="0.2">
      <c r="A74" s="59" t="s">
        <v>1900</v>
      </c>
      <c r="B74" s="39" t="s">
        <v>132</v>
      </c>
      <c r="C74" s="39" t="s">
        <v>129</v>
      </c>
      <c r="D74" s="40">
        <v>36970</v>
      </c>
      <c r="E74" s="41">
        <v>79.900000000000006</v>
      </c>
      <c r="F74" s="46"/>
      <c r="G74" s="44" t="s">
        <v>364</v>
      </c>
      <c r="H74" s="43" t="s">
        <v>2714</v>
      </c>
      <c r="I74" s="43" t="s">
        <v>2713</v>
      </c>
      <c r="J74" s="44" t="s">
        <v>533</v>
      </c>
      <c r="K74" s="43" t="s">
        <v>281</v>
      </c>
      <c r="L74" s="44" t="s">
        <v>86</v>
      </c>
      <c r="M74" s="44">
        <v>0</v>
      </c>
      <c r="N74" s="45">
        <v>39960</v>
      </c>
    </row>
    <row r="75" spans="1:14" customFormat="1" ht="14.45" customHeight="1" x14ac:dyDescent="0.2">
      <c r="A75" s="59" t="s">
        <v>1901</v>
      </c>
      <c r="B75" s="39" t="s">
        <v>132</v>
      </c>
      <c r="C75" s="39" t="s">
        <v>130</v>
      </c>
      <c r="D75" s="40">
        <v>36970</v>
      </c>
      <c r="E75" s="41">
        <v>79.900000000000006</v>
      </c>
      <c r="F75" s="46"/>
      <c r="G75" s="44" t="s">
        <v>364</v>
      </c>
      <c r="H75" s="43" t="s">
        <v>2714</v>
      </c>
      <c r="I75" s="43" t="s">
        <v>2713</v>
      </c>
      <c r="J75" s="44" t="s">
        <v>533</v>
      </c>
      <c r="K75" s="43" t="s">
        <v>282</v>
      </c>
      <c r="L75" s="44" t="s">
        <v>86</v>
      </c>
      <c r="M75" s="44">
        <v>0</v>
      </c>
      <c r="N75" s="45">
        <v>39960</v>
      </c>
    </row>
    <row r="76" spans="1:14" customFormat="1" ht="14.45" customHeight="1" x14ac:dyDescent="0.2">
      <c r="A76" s="59" t="s">
        <v>1902</v>
      </c>
      <c r="B76" s="39" t="s">
        <v>134</v>
      </c>
      <c r="C76" s="39" t="s">
        <v>142</v>
      </c>
      <c r="D76" s="40">
        <v>37012</v>
      </c>
      <c r="E76" s="41">
        <v>79.900000000000006</v>
      </c>
      <c r="F76" s="41"/>
      <c r="G76" s="42"/>
      <c r="H76" s="43"/>
      <c r="I76" s="43" t="s">
        <v>2713</v>
      </c>
      <c r="J76" s="44"/>
      <c r="K76" s="43" t="s">
        <v>135</v>
      </c>
      <c r="L76" s="44" t="s">
        <v>86</v>
      </c>
      <c r="M76" s="44">
        <v>0</v>
      </c>
      <c r="N76" s="45"/>
    </row>
    <row r="77" spans="1:14" customFormat="1" ht="14.45" customHeight="1" x14ac:dyDescent="0.2">
      <c r="A77" s="59" t="s">
        <v>1903</v>
      </c>
      <c r="B77" s="39" t="s">
        <v>436</v>
      </c>
      <c r="C77" s="39" t="s">
        <v>181</v>
      </c>
      <c r="D77" s="40">
        <v>37022</v>
      </c>
      <c r="E77" s="41">
        <v>550</v>
      </c>
      <c r="F77" s="46"/>
      <c r="G77" s="44" t="s">
        <v>339</v>
      </c>
      <c r="H77" s="43" t="s">
        <v>2713</v>
      </c>
      <c r="I77" s="43" t="s">
        <v>2713</v>
      </c>
      <c r="J77" s="44"/>
      <c r="K77" s="43" t="s">
        <v>283</v>
      </c>
      <c r="L77" s="44" t="s">
        <v>86</v>
      </c>
      <c r="M77" s="44">
        <v>0</v>
      </c>
      <c r="N77" s="45">
        <v>39317</v>
      </c>
    </row>
    <row r="78" spans="1:14" customFormat="1" ht="15" customHeight="1" x14ac:dyDescent="0.2">
      <c r="A78" s="59" t="s">
        <v>1904</v>
      </c>
      <c r="B78" s="39" t="s">
        <v>117</v>
      </c>
      <c r="C78" s="39" t="s">
        <v>175</v>
      </c>
      <c r="D78" s="40">
        <v>37040</v>
      </c>
      <c r="E78" s="41">
        <v>45</v>
      </c>
      <c r="F78" s="46"/>
      <c r="G78" s="44" t="s">
        <v>364</v>
      </c>
      <c r="H78" s="43" t="s">
        <v>2719</v>
      </c>
      <c r="I78" s="43" t="s">
        <v>2713</v>
      </c>
      <c r="J78" s="44" t="s">
        <v>533</v>
      </c>
      <c r="K78" s="43" t="s">
        <v>284</v>
      </c>
      <c r="L78" s="44" t="s">
        <v>86</v>
      </c>
      <c r="M78" s="44">
        <v>0</v>
      </c>
      <c r="N78" s="45">
        <v>39639</v>
      </c>
    </row>
    <row r="79" spans="1:14" customFormat="1" ht="15" customHeight="1" x14ac:dyDescent="0.2">
      <c r="A79" s="59" t="s">
        <v>1905</v>
      </c>
      <c r="B79" s="39" t="s">
        <v>137</v>
      </c>
      <c r="C79" s="39" t="s">
        <v>136</v>
      </c>
      <c r="D79" s="40">
        <v>37057</v>
      </c>
      <c r="E79" s="41">
        <v>40</v>
      </c>
      <c r="F79" s="41"/>
      <c r="G79" s="42"/>
      <c r="H79" s="43"/>
      <c r="I79" s="43" t="s">
        <v>2713</v>
      </c>
      <c r="J79" s="44"/>
      <c r="K79" s="43" t="s">
        <v>138</v>
      </c>
      <c r="L79" s="44" t="s">
        <v>157</v>
      </c>
      <c r="M79" s="44">
        <v>0</v>
      </c>
      <c r="N79" s="45"/>
    </row>
    <row r="80" spans="1:14" customFormat="1" ht="15" customHeight="1" x14ac:dyDescent="0.2">
      <c r="A80" s="59" t="s">
        <v>1906</v>
      </c>
      <c r="B80" s="39" t="s">
        <v>139</v>
      </c>
      <c r="C80" s="39" t="s">
        <v>5964</v>
      </c>
      <c r="D80" s="40">
        <v>37064</v>
      </c>
      <c r="E80" s="41">
        <v>990</v>
      </c>
      <c r="F80" s="41"/>
      <c r="G80" s="42"/>
      <c r="H80" s="43"/>
      <c r="I80" s="43" t="s">
        <v>2713</v>
      </c>
      <c r="J80" s="44"/>
      <c r="K80" s="43" t="s">
        <v>140</v>
      </c>
      <c r="L80" s="44" t="s">
        <v>86</v>
      </c>
      <c r="M80" s="44">
        <v>0</v>
      </c>
      <c r="N80" s="45"/>
    </row>
    <row r="81" spans="1:14" customFormat="1" ht="15" customHeight="1" x14ac:dyDescent="0.2">
      <c r="A81" s="59" t="s">
        <v>1907</v>
      </c>
      <c r="B81" s="39" t="s">
        <v>105</v>
      </c>
      <c r="C81" s="39" t="s">
        <v>143</v>
      </c>
      <c r="D81" s="40">
        <v>37074</v>
      </c>
      <c r="E81" s="41">
        <v>500</v>
      </c>
      <c r="F81" s="41"/>
      <c r="G81" s="41"/>
      <c r="H81" s="43"/>
      <c r="I81" s="43" t="s">
        <v>2713</v>
      </c>
      <c r="J81" s="44"/>
      <c r="K81" s="43" t="s">
        <v>141</v>
      </c>
      <c r="L81" s="44" t="s">
        <v>86</v>
      </c>
      <c r="M81" s="44">
        <v>0</v>
      </c>
      <c r="N81" s="45"/>
    </row>
    <row r="82" spans="1:14" customFormat="1" ht="15" customHeight="1" x14ac:dyDescent="0.2">
      <c r="A82" s="59" t="s">
        <v>1908</v>
      </c>
      <c r="B82" s="39" t="s">
        <v>235</v>
      </c>
      <c r="C82" s="39" t="s">
        <v>144</v>
      </c>
      <c r="D82" s="40">
        <v>37085</v>
      </c>
      <c r="E82" s="41">
        <v>660</v>
      </c>
      <c r="F82" s="41"/>
      <c r="G82" s="41"/>
      <c r="H82" s="43"/>
      <c r="I82" s="43" t="s">
        <v>2713</v>
      </c>
      <c r="J82" s="44"/>
      <c r="K82" s="43" t="s">
        <v>178</v>
      </c>
      <c r="L82" s="44" t="s">
        <v>87</v>
      </c>
      <c r="M82" s="44">
        <v>0</v>
      </c>
      <c r="N82" s="45"/>
    </row>
    <row r="83" spans="1:14" customFormat="1" ht="15" customHeight="1" x14ac:dyDescent="0.2">
      <c r="A83" s="59" t="s">
        <v>1909</v>
      </c>
      <c r="B83" s="39" t="s">
        <v>238</v>
      </c>
      <c r="C83" s="39" t="s">
        <v>131</v>
      </c>
      <c r="D83" s="40">
        <v>37095</v>
      </c>
      <c r="E83" s="41">
        <v>400</v>
      </c>
      <c r="F83" s="46"/>
      <c r="G83" s="44" t="s">
        <v>364</v>
      </c>
      <c r="H83" s="43" t="s">
        <v>2811</v>
      </c>
      <c r="I83" s="43" t="s">
        <v>2713</v>
      </c>
      <c r="J83" s="44"/>
      <c r="K83" s="43" t="s">
        <v>264</v>
      </c>
      <c r="L83" s="44" t="s">
        <v>86</v>
      </c>
      <c r="M83" s="44">
        <v>0</v>
      </c>
      <c r="N83" s="45"/>
    </row>
    <row r="84" spans="1:14" customFormat="1" ht="15" customHeight="1" x14ac:dyDescent="0.2">
      <c r="A84" s="59" t="s">
        <v>1910</v>
      </c>
      <c r="B84" s="39" t="s">
        <v>239</v>
      </c>
      <c r="C84" s="39" t="s">
        <v>210</v>
      </c>
      <c r="D84" s="40">
        <v>37118</v>
      </c>
      <c r="E84" s="41">
        <v>1200</v>
      </c>
      <c r="F84" s="46"/>
      <c r="G84" s="44" t="s">
        <v>253</v>
      </c>
      <c r="H84" s="43" t="s">
        <v>5965</v>
      </c>
      <c r="I84" s="43" t="s">
        <v>2713</v>
      </c>
      <c r="J84" s="44"/>
      <c r="K84" s="48" t="s">
        <v>209</v>
      </c>
      <c r="L84" s="44" t="s">
        <v>216</v>
      </c>
      <c r="M84" s="44">
        <v>0</v>
      </c>
      <c r="N84" s="45"/>
    </row>
    <row r="85" spans="1:14" customFormat="1" ht="15" customHeight="1" x14ac:dyDescent="0.2">
      <c r="A85" s="59" t="s">
        <v>1911</v>
      </c>
      <c r="B85" s="39" t="s">
        <v>237</v>
      </c>
      <c r="C85" s="39" t="s">
        <v>146</v>
      </c>
      <c r="D85" s="40">
        <v>37127</v>
      </c>
      <c r="E85" s="41">
        <v>1200</v>
      </c>
      <c r="F85" s="41"/>
      <c r="G85" s="42"/>
      <c r="H85" s="43"/>
      <c r="I85" s="43" t="s">
        <v>2713</v>
      </c>
      <c r="J85" s="44"/>
      <c r="K85" s="43" t="s">
        <v>145</v>
      </c>
      <c r="L85" s="44" t="s">
        <v>86</v>
      </c>
      <c r="M85" s="44">
        <v>0</v>
      </c>
      <c r="N85" s="45"/>
    </row>
    <row r="86" spans="1:14" customFormat="1" ht="15" customHeight="1" x14ac:dyDescent="0.2">
      <c r="A86" s="59" t="s">
        <v>1912</v>
      </c>
      <c r="B86" s="39" t="s">
        <v>117</v>
      </c>
      <c r="C86" s="39" t="s">
        <v>161</v>
      </c>
      <c r="D86" s="40">
        <v>37169</v>
      </c>
      <c r="E86" s="41">
        <v>79.900000000000006</v>
      </c>
      <c r="F86" s="46"/>
      <c r="G86" s="44" t="s">
        <v>364</v>
      </c>
      <c r="H86" s="43" t="s">
        <v>2715</v>
      </c>
      <c r="I86" s="43" t="s">
        <v>2713</v>
      </c>
      <c r="J86" s="44"/>
      <c r="K86" s="48" t="s">
        <v>149</v>
      </c>
      <c r="L86" s="44" t="s">
        <v>86</v>
      </c>
      <c r="M86" s="44">
        <v>0</v>
      </c>
      <c r="N86" s="45">
        <v>43530</v>
      </c>
    </row>
    <row r="87" spans="1:14" customFormat="1" ht="15" customHeight="1" x14ac:dyDescent="0.2">
      <c r="A87" s="59" t="s">
        <v>1913</v>
      </c>
      <c r="B87" s="39" t="s">
        <v>151</v>
      </c>
      <c r="C87" s="39" t="s">
        <v>150</v>
      </c>
      <c r="D87" s="40">
        <v>37169</v>
      </c>
      <c r="E87" s="41">
        <v>1100</v>
      </c>
      <c r="F87" s="46"/>
      <c r="G87" s="44" t="s">
        <v>339</v>
      </c>
      <c r="H87" s="43" t="s">
        <v>2715</v>
      </c>
      <c r="I87" s="43" t="s">
        <v>2713</v>
      </c>
      <c r="J87" s="44" t="s">
        <v>533</v>
      </c>
      <c r="K87" s="48" t="s">
        <v>257</v>
      </c>
      <c r="L87" s="44" t="s">
        <v>86</v>
      </c>
      <c r="M87" s="44">
        <v>0</v>
      </c>
      <c r="N87" s="45">
        <v>40969</v>
      </c>
    </row>
    <row r="88" spans="1:14" customFormat="1" ht="15" customHeight="1" x14ac:dyDescent="0.2">
      <c r="A88" s="59" t="s">
        <v>1914</v>
      </c>
      <c r="B88" s="39" t="s">
        <v>226</v>
      </c>
      <c r="C88" s="39" t="s">
        <v>152</v>
      </c>
      <c r="D88" s="40">
        <v>37224</v>
      </c>
      <c r="E88" s="41">
        <v>575</v>
      </c>
      <c r="F88" s="46"/>
      <c r="G88" s="44" t="s">
        <v>364</v>
      </c>
      <c r="H88" s="43" t="s">
        <v>2716</v>
      </c>
      <c r="I88" s="43" t="s">
        <v>2713</v>
      </c>
      <c r="J88" s="44"/>
      <c r="K88" s="48" t="s">
        <v>285</v>
      </c>
      <c r="L88" s="44" t="s">
        <v>87</v>
      </c>
      <c r="M88" s="44">
        <v>0</v>
      </c>
      <c r="N88" s="45"/>
    </row>
    <row r="89" spans="1:14" customFormat="1" ht="15" customHeight="1" x14ac:dyDescent="0.2">
      <c r="A89" s="59" t="s">
        <v>1915</v>
      </c>
      <c r="B89" s="39" t="s">
        <v>117</v>
      </c>
      <c r="C89" s="39" t="s">
        <v>160</v>
      </c>
      <c r="D89" s="40">
        <v>37281</v>
      </c>
      <c r="E89" s="41">
        <v>79.900000000000006</v>
      </c>
      <c r="F89" s="41"/>
      <c r="G89" s="42"/>
      <c r="H89" s="43"/>
      <c r="I89" s="43" t="s">
        <v>2713</v>
      </c>
      <c r="J89" s="44"/>
      <c r="K89" s="43" t="s">
        <v>153</v>
      </c>
      <c r="L89" s="44" t="s">
        <v>86</v>
      </c>
      <c r="M89" s="44">
        <v>0</v>
      </c>
      <c r="N89" s="45"/>
    </row>
    <row r="90" spans="1:14" customFormat="1" ht="15" customHeight="1" x14ac:dyDescent="0.2">
      <c r="A90" s="59" t="s">
        <v>1916</v>
      </c>
      <c r="B90" s="39" t="s">
        <v>237</v>
      </c>
      <c r="C90" s="39" t="s">
        <v>159</v>
      </c>
      <c r="D90" s="40">
        <v>37291</v>
      </c>
      <c r="E90" s="41">
        <v>400</v>
      </c>
      <c r="F90" s="46"/>
      <c r="G90" s="44" t="s">
        <v>364</v>
      </c>
      <c r="H90" s="43" t="s">
        <v>2724</v>
      </c>
      <c r="I90" s="43" t="s">
        <v>2713</v>
      </c>
      <c r="J90" s="44"/>
      <c r="K90" s="48" t="s">
        <v>266</v>
      </c>
      <c r="L90" s="44" t="s">
        <v>86</v>
      </c>
      <c r="M90" s="44">
        <v>0</v>
      </c>
      <c r="N90" s="45">
        <v>43530</v>
      </c>
    </row>
    <row r="91" spans="1:14" customFormat="1" ht="15" customHeight="1" x14ac:dyDescent="0.2">
      <c r="A91" s="59" t="s">
        <v>1917</v>
      </c>
      <c r="B91" s="39" t="s">
        <v>234</v>
      </c>
      <c r="C91" s="39" t="s">
        <v>156</v>
      </c>
      <c r="D91" s="40">
        <v>37292</v>
      </c>
      <c r="E91" s="41">
        <v>290</v>
      </c>
      <c r="F91" s="46"/>
      <c r="G91" s="44" t="s">
        <v>364</v>
      </c>
      <c r="H91" s="43" t="s">
        <v>2725</v>
      </c>
      <c r="I91" s="43" t="s">
        <v>2713</v>
      </c>
      <c r="J91" s="44" t="s">
        <v>393</v>
      </c>
      <c r="K91" s="43" t="s">
        <v>286</v>
      </c>
      <c r="L91" s="44" t="s">
        <v>34</v>
      </c>
      <c r="M91" s="44">
        <v>0</v>
      </c>
      <c r="N91" s="45">
        <v>39639</v>
      </c>
    </row>
    <row r="92" spans="1:14" customFormat="1" ht="15" customHeight="1" x14ac:dyDescent="0.2">
      <c r="A92" s="59" t="s">
        <v>1918</v>
      </c>
      <c r="B92" s="39" t="s">
        <v>139</v>
      </c>
      <c r="C92" s="39" t="s">
        <v>163</v>
      </c>
      <c r="D92" s="40">
        <v>37355</v>
      </c>
      <c r="E92" s="41">
        <v>660</v>
      </c>
      <c r="F92" s="46"/>
      <c r="G92" s="44" t="s">
        <v>253</v>
      </c>
      <c r="H92" s="43" t="s">
        <v>2726</v>
      </c>
      <c r="I92" s="43" t="s">
        <v>2713</v>
      </c>
      <c r="J92" s="44"/>
      <c r="K92" s="43" t="s">
        <v>287</v>
      </c>
      <c r="L92" s="44" t="s">
        <v>86</v>
      </c>
      <c r="M92" s="44">
        <v>0</v>
      </c>
      <c r="N92" s="45">
        <v>38868</v>
      </c>
    </row>
    <row r="93" spans="1:14" customFormat="1" ht="15" customHeight="1" x14ac:dyDescent="0.2">
      <c r="A93" s="59" t="s">
        <v>1919</v>
      </c>
      <c r="B93" s="39" t="s">
        <v>425</v>
      </c>
      <c r="C93" s="39" t="s">
        <v>164</v>
      </c>
      <c r="D93" s="40">
        <v>37368</v>
      </c>
      <c r="E93" s="41">
        <v>55.5</v>
      </c>
      <c r="F93" s="46"/>
      <c r="G93" s="44" t="s">
        <v>124</v>
      </c>
      <c r="H93" s="43" t="s">
        <v>2727</v>
      </c>
      <c r="I93" s="43" t="s">
        <v>2713</v>
      </c>
      <c r="J93" s="44" t="s">
        <v>393</v>
      </c>
      <c r="K93" s="43" t="s">
        <v>268</v>
      </c>
      <c r="L93" s="44" t="s">
        <v>34</v>
      </c>
      <c r="M93" s="44">
        <v>0</v>
      </c>
      <c r="N93" s="45">
        <v>40268</v>
      </c>
    </row>
    <row r="94" spans="1:14" customFormat="1" ht="15" customHeight="1" x14ac:dyDescent="0.2">
      <c r="A94" s="59" t="s">
        <v>1920</v>
      </c>
      <c r="B94" s="39" t="s">
        <v>165</v>
      </c>
      <c r="C94" s="39" t="s">
        <v>167</v>
      </c>
      <c r="D94" s="40">
        <v>37368</v>
      </c>
      <c r="E94" s="41">
        <v>40.5</v>
      </c>
      <c r="F94" s="41"/>
      <c r="G94" s="42"/>
      <c r="H94" s="43"/>
      <c r="I94" s="43" t="s">
        <v>2713</v>
      </c>
      <c r="J94" s="44"/>
      <c r="K94" s="43" t="s">
        <v>179</v>
      </c>
      <c r="L94" s="44" t="s">
        <v>34</v>
      </c>
      <c r="M94" s="44">
        <v>0</v>
      </c>
      <c r="N94" s="45"/>
    </row>
    <row r="95" spans="1:14" customFormat="1" ht="15" customHeight="1" x14ac:dyDescent="0.2">
      <c r="A95" s="59" t="s">
        <v>1921</v>
      </c>
      <c r="B95" s="39" t="s">
        <v>237</v>
      </c>
      <c r="C95" s="39" t="s">
        <v>169</v>
      </c>
      <c r="D95" s="40">
        <v>37375</v>
      </c>
      <c r="E95" s="41">
        <v>600</v>
      </c>
      <c r="F95" s="41"/>
      <c r="G95" s="42"/>
      <c r="H95" s="43"/>
      <c r="I95" s="43" t="s">
        <v>2713</v>
      </c>
      <c r="J95" s="44"/>
      <c r="K95" s="43" t="s">
        <v>63</v>
      </c>
      <c r="L95" s="44" t="s">
        <v>86</v>
      </c>
      <c r="M95" s="44">
        <v>0</v>
      </c>
      <c r="N95" s="45"/>
    </row>
    <row r="96" spans="1:14" customFormat="1" ht="15" customHeight="1" x14ac:dyDescent="0.2">
      <c r="A96" s="59" t="s">
        <v>1922</v>
      </c>
      <c r="B96" s="39" t="s">
        <v>197</v>
      </c>
      <c r="C96" s="39" t="s">
        <v>241</v>
      </c>
      <c r="D96" s="40">
        <v>37390</v>
      </c>
      <c r="E96" s="41">
        <v>50</v>
      </c>
      <c r="F96" s="46"/>
      <c r="G96" s="44" t="s">
        <v>124</v>
      </c>
      <c r="H96" s="43" t="s">
        <v>2728</v>
      </c>
      <c r="I96" s="43" t="s">
        <v>2713</v>
      </c>
      <c r="J96" s="44"/>
      <c r="K96" s="43" t="s">
        <v>269</v>
      </c>
      <c r="L96" s="44" t="s">
        <v>157</v>
      </c>
      <c r="M96" s="44">
        <v>0</v>
      </c>
      <c r="N96" s="45">
        <v>39168</v>
      </c>
    </row>
    <row r="97" spans="1:21" customFormat="1" ht="15" customHeight="1" x14ac:dyDescent="0.2">
      <c r="A97" s="59" t="s">
        <v>1923</v>
      </c>
      <c r="B97" s="39" t="s">
        <v>165</v>
      </c>
      <c r="C97" s="39" t="s">
        <v>168</v>
      </c>
      <c r="D97" s="40">
        <v>37391</v>
      </c>
      <c r="E97" s="41">
        <v>75</v>
      </c>
      <c r="F97" s="41"/>
      <c r="G97" s="42"/>
      <c r="H97" s="43"/>
      <c r="I97" s="43" t="s">
        <v>2713</v>
      </c>
      <c r="J97" s="44"/>
      <c r="K97" s="43" t="s">
        <v>166</v>
      </c>
      <c r="L97" s="44" t="s">
        <v>34</v>
      </c>
      <c r="M97" s="44">
        <v>0</v>
      </c>
      <c r="N97" s="45"/>
    </row>
    <row r="98" spans="1:21" customFormat="1" ht="15" customHeight="1" x14ac:dyDescent="0.2">
      <c r="A98" s="59" t="s">
        <v>1924</v>
      </c>
      <c r="B98" s="39" t="s">
        <v>171</v>
      </c>
      <c r="C98" s="39" t="s">
        <v>170</v>
      </c>
      <c r="D98" s="40">
        <v>37396</v>
      </c>
      <c r="E98" s="41">
        <v>78.2</v>
      </c>
      <c r="F98" s="46"/>
      <c r="G98" s="44" t="s">
        <v>124</v>
      </c>
      <c r="H98" s="43" t="s">
        <v>2727</v>
      </c>
      <c r="I98" s="43" t="s">
        <v>2713</v>
      </c>
      <c r="J98" s="44" t="s">
        <v>393</v>
      </c>
      <c r="K98" s="43" t="s">
        <v>268</v>
      </c>
      <c r="L98" s="44" t="s">
        <v>34</v>
      </c>
      <c r="M98" s="44">
        <v>0</v>
      </c>
      <c r="N98" s="45">
        <v>41578</v>
      </c>
      <c r="O98" s="4"/>
      <c r="P98" s="4"/>
      <c r="Q98" s="4"/>
      <c r="R98" s="4"/>
      <c r="S98" s="4"/>
      <c r="T98" s="4"/>
    </row>
    <row r="99" spans="1:21" customFormat="1" ht="15" customHeight="1" x14ac:dyDescent="0.2">
      <c r="A99" s="59" t="s">
        <v>1925</v>
      </c>
      <c r="B99" s="39" t="s">
        <v>171</v>
      </c>
      <c r="C99" s="39" t="s">
        <v>172</v>
      </c>
      <c r="D99" s="40">
        <v>37396</v>
      </c>
      <c r="E99" s="41">
        <v>79.5</v>
      </c>
      <c r="F99" s="41"/>
      <c r="G99" s="42"/>
      <c r="H99" s="43"/>
      <c r="I99" s="43" t="s">
        <v>2713</v>
      </c>
      <c r="J99" s="44"/>
      <c r="K99" s="43" t="s">
        <v>180</v>
      </c>
      <c r="L99" s="44" t="s">
        <v>34</v>
      </c>
      <c r="M99" s="44">
        <v>0</v>
      </c>
      <c r="N99" s="45"/>
      <c r="U99" s="4"/>
    </row>
    <row r="100" spans="1:21" customFormat="1" ht="15" customHeight="1" x14ac:dyDescent="0.2">
      <c r="A100" s="59" t="s">
        <v>1926</v>
      </c>
      <c r="B100" s="39" t="s">
        <v>183</v>
      </c>
      <c r="C100" s="39" t="s">
        <v>182</v>
      </c>
      <c r="D100" s="40">
        <v>37438</v>
      </c>
      <c r="E100" s="41">
        <v>79.900000000000006</v>
      </c>
      <c r="F100" s="46"/>
      <c r="G100" s="44" t="s">
        <v>364</v>
      </c>
      <c r="H100" s="43" t="s">
        <v>2715</v>
      </c>
      <c r="I100" s="43" t="s">
        <v>2713</v>
      </c>
      <c r="J100" s="44"/>
      <c r="K100" s="43" t="s">
        <v>267</v>
      </c>
      <c r="L100" s="44" t="s">
        <v>86</v>
      </c>
      <c r="M100" s="44">
        <v>0</v>
      </c>
      <c r="N100" s="45"/>
    </row>
    <row r="101" spans="1:21" customFormat="1" ht="15" customHeight="1" x14ac:dyDescent="0.2">
      <c r="A101" s="59" t="s">
        <v>1927</v>
      </c>
      <c r="B101" s="39" t="s">
        <v>139</v>
      </c>
      <c r="C101" s="39" t="s">
        <v>184</v>
      </c>
      <c r="D101" s="40">
        <v>37509</v>
      </c>
      <c r="E101" s="41">
        <v>350</v>
      </c>
      <c r="F101" s="46"/>
      <c r="G101" s="44" t="s">
        <v>253</v>
      </c>
      <c r="H101" s="43"/>
      <c r="I101" s="43" t="s">
        <v>2713</v>
      </c>
      <c r="J101" s="44"/>
      <c r="K101" s="43" t="s">
        <v>265</v>
      </c>
      <c r="L101" s="44" t="s">
        <v>87</v>
      </c>
      <c r="M101" s="44">
        <v>0</v>
      </c>
      <c r="N101" s="45">
        <v>38868</v>
      </c>
    </row>
    <row r="102" spans="1:21" customFormat="1" ht="15" customHeight="1" x14ac:dyDescent="0.2">
      <c r="A102" s="59" t="s">
        <v>1928</v>
      </c>
      <c r="B102" s="39" t="s">
        <v>176</v>
      </c>
      <c r="C102" s="39" t="s">
        <v>185</v>
      </c>
      <c r="D102" s="40">
        <v>37518</v>
      </c>
      <c r="E102" s="41">
        <v>150</v>
      </c>
      <c r="F102" s="41"/>
      <c r="G102" s="42"/>
      <c r="H102" s="43"/>
      <c r="I102" s="43" t="s">
        <v>2713</v>
      </c>
      <c r="J102" s="44"/>
      <c r="K102" s="43" t="s">
        <v>186</v>
      </c>
      <c r="L102" s="44" t="s">
        <v>87</v>
      </c>
      <c r="M102" s="44">
        <v>0</v>
      </c>
      <c r="N102" s="45"/>
    </row>
    <row r="103" spans="1:21" customFormat="1" ht="14.45" customHeight="1" x14ac:dyDescent="0.2">
      <c r="A103" s="59" t="s">
        <v>1929</v>
      </c>
      <c r="B103" s="60" t="s">
        <v>499</v>
      </c>
      <c r="C103" s="60" t="s">
        <v>4847</v>
      </c>
      <c r="D103" s="40">
        <v>37538</v>
      </c>
      <c r="E103" s="61">
        <v>5.5</v>
      </c>
      <c r="F103" s="62"/>
      <c r="G103" s="63" t="s">
        <v>124</v>
      </c>
      <c r="H103" s="64" t="s">
        <v>2729</v>
      </c>
      <c r="I103" s="64" t="s">
        <v>2713</v>
      </c>
      <c r="J103" s="63" t="s">
        <v>530</v>
      </c>
      <c r="K103" s="64" t="s">
        <v>227</v>
      </c>
      <c r="L103" s="63" t="s">
        <v>34</v>
      </c>
      <c r="M103" s="63">
        <v>0</v>
      </c>
      <c r="N103" s="65">
        <v>45077</v>
      </c>
    </row>
    <row r="104" spans="1:21" ht="15" customHeight="1" x14ac:dyDescent="0.2">
      <c r="A104" s="59" t="s">
        <v>3033</v>
      </c>
      <c r="B104" s="39" t="s">
        <v>2990</v>
      </c>
      <c r="C104" s="39" t="s">
        <v>3017</v>
      </c>
      <c r="D104" s="40">
        <v>37580</v>
      </c>
      <c r="E104" s="41">
        <v>240</v>
      </c>
      <c r="F104" s="47"/>
      <c r="G104" s="44" t="s">
        <v>124</v>
      </c>
      <c r="H104" s="48"/>
      <c r="I104" s="43" t="s">
        <v>2713</v>
      </c>
      <c r="J104" s="44"/>
      <c r="K104" s="43" t="s">
        <v>3018</v>
      </c>
      <c r="L104" s="44" t="s">
        <v>157</v>
      </c>
      <c r="M104" s="44">
        <v>0</v>
      </c>
      <c r="N104" s="48"/>
      <c r="U104"/>
    </row>
    <row r="105" spans="1:21" customFormat="1" ht="15" customHeight="1" x14ac:dyDescent="0.2">
      <c r="A105" s="59" t="s">
        <v>3034</v>
      </c>
      <c r="B105" s="39" t="s">
        <v>187</v>
      </c>
      <c r="C105" s="39" t="s">
        <v>3019</v>
      </c>
      <c r="D105" s="40">
        <v>37600</v>
      </c>
      <c r="E105" s="41">
        <v>2000</v>
      </c>
      <c r="F105" s="47"/>
      <c r="G105" s="44" t="s">
        <v>253</v>
      </c>
      <c r="H105" s="48"/>
      <c r="I105" s="43" t="s">
        <v>2713</v>
      </c>
      <c r="J105" s="44"/>
      <c r="K105" s="43" t="s">
        <v>3020</v>
      </c>
      <c r="L105" s="44" t="s">
        <v>3021</v>
      </c>
      <c r="M105" s="44">
        <v>0</v>
      </c>
      <c r="N105" s="48"/>
      <c r="O105" s="4"/>
      <c r="P105" s="4"/>
      <c r="Q105" s="4"/>
      <c r="R105" s="4"/>
      <c r="S105" s="4"/>
      <c r="T105" s="4"/>
      <c r="U105" s="4"/>
    </row>
    <row r="106" spans="1:21" customFormat="1" ht="14.45" customHeight="1" x14ac:dyDescent="0.2">
      <c r="A106" s="59" t="s">
        <v>1930</v>
      </c>
      <c r="B106" s="39" t="s">
        <v>189</v>
      </c>
      <c r="C106" s="39" t="s">
        <v>188</v>
      </c>
      <c r="D106" s="40">
        <v>37635</v>
      </c>
      <c r="E106" s="41">
        <v>79.900000000000006</v>
      </c>
      <c r="F106" s="41"/>
      <c r="G106" s="42"/>
      <c r="H106" s="43"/>
      <c r="I106" s="43" t="s">
        <v>2713</v>
      </c>
      <c r="J106" s="44"/>
      <c r="K106" s="43" t="s">
        <v>190</v>
      </c>
      <c r="L106" s="44" t="s">
        <v>86</v>
      </c>
      <c r="M106" s="44">
        <v>0</v>
      </c>
      <c r="N106" s="45"/>
      <c r="U106" s="4"/>
    </row>
    <row r="107" spans="1:21" customFormat="1" ht="15" customHeight="1" x14ac:dyDescent="0.2">
      <c r="A107" s="59" t="s">
        <v>3030</v>
      </c>
      <c r="B107" s="39" t="s">
        <v>3022</v>
      </c>
      <c r="C107" s="39" t="s">
        <v>3023</v>
      </c>
      <c r="D107" s="40">
        <v>37685</v>
      </c>
      <c r="E107" s="41">
        <v>10.5</v>
      </c>
      <c r="F107" s="46"/>
      <c r="G107" s="44" t="s">
        <v>124</v>
      </c>
      <c r="H107" s="48"/>
      <c r="I107" s="43" t="s">
        <v>2713</v>
      </c>
      <c r="J107" s="44"/>
      <c r="K107" s="43" t="s">
        <v>3024</v>
      </c>
      <c r="L107" s="44" t="s">
        <v>157</v>
      </c>
      <c r="M107" s="44">
        <v>0</v>
      </c>
      <c r="N107" s="48"/>
      <c r="O107" s="4"/>
      <c r="P107" s="4"/>
      <c r="Q107" s="4"/>
      <c r="R107" s="4"/>
      <c r="S107" s="4"/>
      <c r="T107" s="4"/>
    </row>
    <row r="108" spans="1:21" customFormat="1" ht="15" customHeight="1" x14ac:dyDescent="0.2">
      <c r="A108" s="59" t="s">
        <v>3031</v>
      </c>
      <c r="B108" s="39" t="s">
        <v>3025</v>
      </c>
      <c r="C108" s="39" t="s">
        <v>3026</v>
      </c>
      <c r="D108" s="40">
        <v>37752</v>
      </c>
      <c r="E108" s="41">
        <v>40</v>
      </c>
      <c r="F108" s="46"/>
      <c r="G108" s="44" t="s">
        <v>124</v>
      </c>
      <c r="H108" s="48"/>
      <c r="I108" s="43" t="s">
        <v>2713</v>
      </c>
      <c r="J108" s="44"/>
      <c r="K108" s="43" t="s">
        <v>3027</v>
      </c>
      <c r="L108" s="44" t="s">
        <v>34</v>
      </c>
      <c r="M108" s="44">
        <v>0</v>
      </c>
      <c r="N108" s="48"/>
      <c r="O108" s="4"/>
      <c r="P108" s="4"/>
      <c r="Q108" s="4"/>
      <c r="R108" s="4"/>
      <c r="S108" s="4"/>
      <c r="T108" s="4"/>
      <c r="U108" s="4"/>
    </row>
    <row r="109" spans="1:21" customFormat="1" ht="14.45" customHeight="1" x14ac:dyDescent="0.2">
      <c r="A109" s="59" t="s">
        <v>3032</v>
      </c>
      <c r="B109" s="39" t="s">
        <v>139</v>
      </c>
      <c r="C109" s="39" t="s">
        <v>3028</v>
      </c>
      <c r="D109" s="40">
        <v>37762</v>
      </c>
      <c r="E109" s="41">
        <v>650</v>
      </c>
      <c r="F109" s="41"/>
      <c r="G109" s="49"/>
      <c r="H109" s="43"/>
      <c r="I109" s="43" t="s">
        <v>2713</v>
      </c>
      <c r="J109" s="44"/>
      <c r="K109" s="43" t="s">
        <v>3029</v>
      </c>
      <c r="L109" s="44" t="s">
        <v>87</v>
      </c>
      <c r="M109" s="44">
        <v>0</v>
      </c>
      <c r="N109" s="50"/>
      <c r="O109" s="4"/>
      <c r="P109" s="4"/>
      <c r="Q109" s="4"/>
      <c r="R109" s="4"/>
      <c r="S109" s="4"/>
      <c r="T109" s="4"/>
      <c r="U109" s="4"/>
    </row>
    <row r="110" spans="1:21" customFormat="1" ht="15" customHeight="1" x14ac:dyDescent="0.2">
      <c r="A110" s="59" t="s">
        <v>1931</v>
      </c>
      <c r="B110" s="39" t="s">
        <v>187</v>
      </c>
      <c r="C110" s="39" t="s">
        <v>200</v>
      </c>
      <c r="D110" s="40">
        <v>37788</v>
      </c>
      <c r="E110" s="41">
        <v>2000</v>
      </c>
      <c r="F110" s="41"/>
      <c r="G110" s="42"/>
      <c r="H110" s="43"/>
      <c r="I110" s="43" t="s">
        <v>2713</v>
      </c>
      <c r="J110" s="44"/>
      <c r="K110" s="43" t="s">
        <v>192</v>
      </c>
      <c r="L110" s="44" t="s">
        <v>218</v>
      </c>
      <c r="M110" s="44">
        <v>0</v>
      </c>
      <c r="N110" s="45"/>
      <c r="U110" s="4"/>
    </row>
    <row r="111" spans="1:21" ht="15" customHeight="1" x14ac:dyDescent="0.2">
      <c r="A111" s="59" t="s">
        <v>1932</v>
      </c>
      <c r="B111" s="39" t="s">
        <v>194</v>
      </c>
      <c r="C111" s="39" t="s">
        <v>193</v>
      </c>
      <c r="D111" s="40">
        <v>37859</v>
      </c>
      <c r="E111" s="41" t="s">
        <v>54</v>
      </c>
      <c r="F111" s="46"/>
      <c r="G111" s="44" t="s">
        <v>256</v>
      </c>
      <c r="H111" s="43" t="s">
        <v>2730</v>
      </c>
      <c r="I111" s="43" t="s">
        <v>2713</v>
      </c>
      <c r="J111" s="44" t="s">
        <v>539</v>
      </c>
      <c r="K111" s="43" t="s">
        <v>262</v>
      </c>
      <c r="L111" s="44" t="s">
        <v>157</v>
      </c>
      <c r="M111" s="44">
        <v>0</v>
      </c>
      <c r="N111" s="45">
        <v>39639</v>
      </c>
      <c r="O111"/>
      <c r="P111"/>
      <c r="Q111"/>
      <c r="R111"/>
      <c r="S111"/>
      <c r="T111"/>
      <c r="U111"/>
    </row>
    <row r="112" spans="1:21" customFormat="1" ht="14.45" customHeight="1" x14ac:dyDescent="0.2">
      <c r="A112" s="59" t="s">
        <v>1933</v>
      </c>
      <c r="B112" s="39" t="s">
        <v>221</v>
      </c>
      <c r="C112" s="39" t="s">
        <v>228</v>
      </c>
      <c r="D112" s="40">
        <v>37873</v>
      </c>
      <c r="E112" s="41">
        <v>23.1</v>
      </c>
      <c r="F112" s="46"/>
      <c r="G112" s="44" t="s">
        <v>124</v>
      </c>
      <c r="H112" s="43" t="s">
        <v>2731</v>
      </c>
      <c r="I112" s="43" t="s">
        <v>2713</v>
      </c>
      <c r="J112" s="44"/>
      <c r="K112" s="43" t="s">
        <v>229</v>
      </c>
      <c r="L112" s="44" t="s">
        <v>34</v>
      </c>
      <c r="M112" s="44">
        <v>0</v>
      </c>
      <c r="N112" s="45"/>
      <c r="U112" s="4"/>
    </row>
    <row r="113" spans="1:21" ht="15" customHeight="1" x14ac:dyDescent="0.2">
      <c r="A113" s="59" t="s">
        <v>1934</v>
      </c>
      <c r="B113" s="39" t="s">
        <v>556</v>
      </c>
      <c r="C113" s="39" t="s">
        <v>614</v>
      </c>
      <c r="D113" s="40">
        <v>37924</v>
      </c>
      <c r="E113" s="41">
        <v>50</v>
      </c>
      <c r="F113" s="46"/>
      <c r="G113" s="44" t="s">
        <v>124</v>
      </c>
      <c r="H113" s="43" t="s">
        <v>2732</v>
      </c>
      <c r="I113" s="43" t="s">
        <v>2713</v>
      </c>
      <c r="J113" s="44" t="s">
        <v>393</v>
      </c>
      <c r="K113" s="43" t="s">
        <v>248</v>
      </c>
      <c r="L113" s="44" t="s">
        <v>34</v>
      </c>
      <c r="M113" s="44">
        <v>0</v>
      </c>
      <c r="N113" s="45">
        <v>40333</v>
      </c>
      <c r="O113"/>
      <c r="P113"/>
      <c r="Q113"/>
      <c r="R113"/>
      <c r="S113"/>
      <c r="T113"/>
      <c r="U113"/>
    </row>
    <row r="114" spans="1:21" customFormat="1" ht="15" customHeight="1" x14ac:dyDescent="0.2">
      <c r="A114" s="59" t="s">
        <v>1935</v>
      </c>
      <c r="B114" s="39" t="s">
        <v>202</v>
      </c>
      <c r="C114" s="39" t="s">
        <v>201</v>
      </c>
      <c r="D114" s="40">
        <v>38093</v>
      </c>
      <c r="E114" s="41">
        <v>31.5</v>
      </c>
      <c r="F114" s="46"/>
      <c r="G114" s="44" t="s">
        <v>124</v>
      </c>
      <c r="H114" s="43" t="s">
        <v>2729</v>
      </c>
      <c r="I114" s="43" t="s">
        <v>2713</v>
      </c>
      <c r="J114" s="44" t="s">
        <v>393</v>
      </c>
      <c r="K114" s="43" t="s">
        <v>358</v>
      </c>
      <c r="L114" s="44" t="s">
        <v>157</v>
      </c>
      <c r="M114" s="44">
        <v>0</v>
      </c>
      <c r="N114" s="45">
        <v>41152</v>
      </c>
    </row>
    <row r="115" spans="1:21" ht="15" customHeight="1" x14ac:dyDescent="0.2">
      <c r="A115" s="59" t="s">
        <v>1936</v>
      </c>
      <c r="B115" s="39" t="s">
        <v>204</v>
      </c>
      <c r="C115" s="39" t="s">
        <v>203</v>
      </c>
      <c r="D115" s="40">
        <v>38125</v>
      </c>
      <c r="E115" s="41">
        <v>79.900000000000006</v>
      </c>
      <c r="F115" s="41"/>
      <c r="G115" s="42"/>
      <c r="H115" s="43"/>
      <c r="I115" s="43" t="s">
        <v>2713</v>
      </c>
      <c r="J115" s="44"/>
      <c r="K115" s="43" t="s">
        <v>205</v>
      </c>
      <c r="L115" s="44" t="s">
        <v>87</v>
      </c>
      <c r="M115" s="44">
        <v>0</v>
      </c>
      <c r="N115" s="45"/>
      <c r="O115"/>
      <c r="P115"/>
      <c r="Q115"/>
      <c r="R115"/>
      <c r="S115"/>
      <c r="T115"/>
      <c r="U115"/>
    </row>
    <row r="116" spans="1:21" customFormat="1" ht="14.45" customHeight="1" x14ac:dyDescent="0.2">
      <c r="A116" s="59" t="s">
        <v>1937</v>
      </c>
      <c r="B116" s="39" t="s">
        <v>207</v>
      </c>
      <c r="C116" s="39" t="s">
        <v>206</v>
      </c>
      <c r="D116" s="40">
        <v>38155</v>
      </c>
      <c r="E116" s="41">
        <v>70</v>
      </c>
      <c r="F116" s="46"/>
      <c r="G116" s="44" t="s">
        <v>124</v>
      </c>
      <c r="H116" s="43" t="s">
        <v>2733</v>
      </c>
      <c r="I116" s="43" t="s">
        <v>2713</v>
      </c>
      <c r="J116" s="44" t="s">
        <v>530</v>
      </c>
      <c r="K116" s="43" t="s">
        <v>502</v>
      </c>
      <c r="L116" s="44" t="s">
        <v>157</v>
      </c>
      <c r="M116" s="44">
        <v>0</v>
      </c>
      <c r="N116" s="45">
        <v>40268</v>
      </c>
    </row>
    <row r="117" spans="1:21" ht="15" customHeight="1" x14ac:dyDescent="0.2">
      <c r="A117" s="59" t="s">
        <v>1938</v>
      </c>
      <c r="B117" s="39" t="s">
        <v>199</v>
      </c>
      <c r="C117" s="39" t="s">
        <v>208</v>
      </c>
      <c r="D117" s="40">
        <v>38168</v>
      </c>
      <c r="E117" s="41" t="s">
        <v>54</v>
      </c>
      <c r="F117" s="46"/>
      <c r="G117" s="44" t="s">
        <v>256</v>
      </c>
      <c r="H117" s="43" t="s">
        <v>2713</v>
      </c>
      <c r="I117" s="43" t="s">
        <v>2713</v>
      </c>
      <c r="J117" s="44" t="s">
        <v>533</v>
      </c>
      <c r="K117" s="43" t="s">
        <v>261</v>
      </c>
      <c r="L117" s="44" t="s">
        <v>86</v>
      </c>
      <c r="M117" s="44">
        <v>0</v>
      </c>
      <c r="N117" s="45">
        <v>40633</v>
      </c>
      <c r="O117"/>
      <c r="P117"/>
      <c r="Q117"/>
      <c r="R117"/>
      <c r="S117"/>
      <c r="T117"/>
      <c r="U117"/>
    </row>
    <row r="118" spans="1:21" ht="15" customHeight="1" x14ac:dyDescent="0.2">
      <c r="A118" s="59" t="s">
        <v>1939</v>
      </c>
      <c r="B118" s="39" t="s">
        <v>587</v>
      </c>
      <c r="C118" s="39" t="s">
        <v>517</v>
      </c>
      <c r="D118" s="40">
        <v>38191</v>
      </c>
      <c r="E118" s="41">
        <v>99</v>
      </c>
      <c r="F118" s="46">
        <v>99</v>
      </c>
      <c r="G118" s="44" t="s">
        <v>124</v>
      </c>
      <c r="H118" s="43" t="s">
        <v>2734</v>
      </c>
      <c r="I118" s="43" t="s">
        <v>2713</v>
      </c>
      <c r="J118" s="44" t="s">
        <v>530</v>
      </c>
      <c r="K118" s="43" t="s">
        <v>260</v>
      </c>
      <c r="L118" s="44" t="s">
        <v>34</v>
      </c>
      <c r="M118" s="44">
        <v>0</v>
      </c>
      <c r="N118" s="45">
        <v>40724</v>
      </c>
      <c r="O118"/>
      <c r="P118"/>
      <c r="Q118"/>
      <c r="R118"/>
      <c r="S118"/>
      <c r="T118"/>
      <c r="U118"/>
    </row>
    <row r="119" spans="1:21" customFormat="1" ht="15" customHeight="1" x14ac:dyDescent="0.2">
      <c r="A119" s="59" t="s">
        <v>1940</v>
      </c>
      <c r="B119" s="39" t="s">
        <v>176</v>
      </c>
      <c r="C119" s="39" t="s">
        <v>211</v>
      </c>
      <c r="D119" s="40">
        <v>38218</v>
      </c>
      <c r="E119" s="41" t="s">
        <v>54</v>
      </c>
      <c r="F119" s="50" t="s">
        <v>54</v>
      </c>
      <c r="G119" s="44" t="s">
        <v>256</v>
      </c>
      <c r="H119" s="43" t="s">
        <v>2716</v>
      </c>
      <c r="I119" s="43" t="s">
        <v>2713</v>
      </c>
      <c r="J119" s="44" t="s">
        <v>532</v>
      </c>
      <c r="K119" s="43" t="s">
        <v>259</v>
      </c>
      <c r="L119" s="44" t="s">
        <v>87</v>
      </c>
      <c r="M119" s="44">
        <v>0</v>
      </c>
      <c r="N119" s="45">
        <v>42794</v>
      </c>
      <c r="O119" s="4"/>
      <c r="P119" s="4"/>
      <c r="Q119" s="4"/>
      <c r="R119" s="4"/>
      <c r="S119" s="4"/>
      <c r="T119" s="4"/>
    </row>
    <row r="120" spans="1:21" x14ac:dyDescent="0.2">
      <c r="A120" s="59" t="s">
        <v>1941</v>
      </c>
      <c r="B120" s="39" t="s">
        <v>219</v>
      </c>
      <c r="C120" s="39" t="s">
        <v>220</v>
      </c>
      <c r="D120" s="40">
        <v>38247</v>
      </c>
      <c r="E120" s="41">
        <v>148.5</v>
      </c>
      <c r="F120" s="46"/>
      <c r="G120" s="44" t="s">
        <v>124</v>
      </c>
      <c r="H120" s="43" t="s">
        <v>2732</v>
      </c>
      <c r="I120" s="43" t="s">
        <v>2713</v>
      </c>
      <c r="J120" s="44" t="s">
        <v>393</v>
      </c>
      <c r="K120" s="43" t="s">
        <v>317</v>
      </c>
      <c r="L120" s="44" t="s">
        <v>34</v>
      </c>
      <c r="M120" s="44">
        <v>0</v>
      </c>
      <c r="N120" s="45">
        <v>40969</v>
      </c>
      <c r="O120"/>
      <c r="P120"/>
      <c r="Q120"/>
      <c r="R120"/>
      <c r="S120"/>
      <c r="T120"/>
      <c r="U120"/>
    </row>
    <row r="121" spans="1:21" customFormat="1" ht="15" customHeight="1" x14ac:dyDescent="0.2">
      <c r="A121" s="59" t="s">
        <v>1942</v>
      </c>
      <c r="B121" s="39" t="s">
        <v>415</v>
      </c>
      <c r="C121" s="39" t="s">
        <v>222</v>
      </c>
      <c r="D121" s="40">
        <v>38272</v>
      </c>
      <c r="E121" s="41">
        <v>100</v>
      </c>
      <c r="F121" s="46">
        <v>100</v>
      </c>
      <c r="G121" s="44" t="s">
        <v>124</v>
      </c>
      <c r="H121" s="43" t="s">
        <v>2737</v>
      </c>
      <c r="I121" s="43" t="s">
        <v>2713</v>
      </c>
      <c r="J121" s="44" t="s">
        <v>530</v>
      </c>
      <c r="K121" s="43" t="s">
        <v>322</v>
      </c>
      <c r="L121" s="44" t="s">
        <v>157</v>
      </c>
      <c r="M121" s="44">
        <v>0</v>
      </c>
      <c r="N121" s="45">
        <v>40969</v>
      </c>
      <c r="U121" s="4"/>
    </row>
    <row r="122" spans="1:21" customFormat="1" ht="15" customHeight="1" x14ac:dyDescent="0.2">
      <c r="A122" s="59" t="s">
        <v>1943</v>
      </c>
      <c r="B122" s="39" t="s">
        <v>223</v>
      </c>
      <c r="C122" s="39" t="s">
        <v>224</v>
      </c>
      <c r="D122" s="40">
        <v>38272</v>
      </c>
      <c r="E122" s="41">
        <v>100</v>
      </c>
      <c r="F122" s="46">
        <v>100</v>
      </c>
      <c r="G122" s="44" t="s">
        <v>124</v>
      </c>
      <c r="H122" s="43" t="s">
        <v>2736</v>
      </c>
      <c r="I122" s="43" t="s">
        <v>2713</v>
      </c>
      <c r="J122" s="44"/>
      <c r="K122" s="43" t="s">
        <v>323</v>
      </c>
      <c r="L122" s="44" t="s">
        <v>157</v>
      </c>
      <c r="M122" s="44">
        <v>0</v>
      </c>
      <c r="N122" s="45">
        <v>43471</v>
      </c>
    </row>
    <row r="123" spans="1:21" customFormat="1" ht="15" customHeight="1" x14ac:dyDescent="0.2">
      <c r="A123" s="59" t="s">
        <v>1944</v>
      </c>
      <c r="B123" s="39" t="s">
        <v>223</v>
      </c>
      <c r="C123" s="39" t="s">
        <v>225</v>
      </c>
      <c r="D123" s="40">
        <v>38272</v>
      </c>
      <c r="E123" s="41">
        <v>150</v>
      </c>
      <c r="F123" s="41"/>
      <c r="G123" s="42"/>
      <c r="H123" s="43" t="s">
        <v>2735</v>
      </c>
      <c r="I123" s="43" t="s">
        <v>2713</v>
      </c>
      <c r="J123" s="44"/>
      <c r="K123" s="43" t="s">
        <v>381</v>
      </c>
      <c r="L123" s="44" t="s">
        <v>34</v>
      </c>
      <c r="M123" s="44">
        <v>0</v>
      </c>
      <c r="N123" s="45"/>
    </row>
    <row r="124" spans="1:21" customFormat="1" ht="15" customHeight="1" x14ac:dyDescent="0.2">
      <c r="A124" s="59" t="s">
        <v>1945</v>
      </c>
      <c r="B124" s="39" t="s">
        <v>416</v>
      </c>
      <c r="C124" s="39" t="s">
        <v>417</v>
      </c>
      <c r="D124" s="40">
        <v>38272</v>
      </c>
      <c r="E124" s="41">
        <v>79.2</v>
      </c>
      <c r="F124" s="46">
        <v>79.2</v>
      </c>
      <c r="G124" s="44" t="s">
        <v>124</v>
      </c>
      <c r="H124" s="43" t="s">
        <v>2738</v>
      </c>
      <c r="I124" s="43" t="s">
        <v>2713</v>
      </c>
      <c r="J124" s="44" t="s">
        <v>420</v>
      </c>
      <c r="K124" s="43" t="s">
        <v>541</v>
      </c>
      <c r="L124" s="44" t="s">
        <v>41</v>
      </c>
      <c r="M124" s="44">
        <v>0</v>
      </c>
      <c r="N124" s="45">
        <v>40663</v>
      </c>
    </row>
    <row r="125" spans="1:21" customFormat="1" ht="15" customHeight="1" x14ac:dyDescent="0.2">
      <c r="A125" s="59" t="s">
        <v>1946</v>
      </c>
      <c r="B125" s="39" t="s">
        <v>294</v>
      </c>
      <c r="C125" s="39" t="s">
        <v>1947</v>
      </c>
      <c r="D125" s="40">
        <v>38336</v>
      </c>
      <c r="E125" s="41">
        <v>70</v>
      </c>
      <c r="F125" s="46"/>
      <c r="G125" s="44" t="s">
        <v>124</v>
      </c>
      <c r="H125" s="43" t="s">
        <v>2722</v>
      </c>
      <c r="I125" s="43" t="s">
        <v>2713</v>
      </c>
      <c r="J125" s="44"/>
      <c r="K125" s="43" t="s">
        <v>326</v>
      </c>
      <c r="L125" s="44" t="s">
        <v>34</v>
      </c>
      <c r="M125" s="44">
        <v>0</v>
      </c>
      <c r="N125" s="45">
        <v>43682</v>
      </c>
    </row>
    <row r="126" spans="1:21" customFormat="1" ht="15" customHeight="1" x14ac:dyDescent="0.2">
      <c r="A126" s="59" t="s">
        <v>1948</v>
      </c>
      <c r="B126" s="39" t="s">
        <v>1949</v>
      </c>
      <c r="C126" s="39" t="s">
        <v>374</v>
      </c>
      <c r="D126" s="40">
        <v>38365</v>
      </c>
      <c r="E126" s="41">
        <v>100</v>
      </c>
      <c r="F126" s="46">
        <v>100</v>
      </c>
      <c r="G126" s="44" t="s">
        <v>124</v>
      </c>
      <c r="H126" s="43" t="s">
        <v>2732</v>
      </c>
      <c r="I126" s="43" t="s">
        <v>2713</v>
      </c>
      <c r="J126" s="44" t="s">
        <v>393</v>
      </c>
      <c r="K126" s="43" t="s">
        <v>295</v>
      </c>
      <c r="L126" s="44" t="s">
        <v>34</v>
      </c>
      <c r="M126" s="44">
        <v>0</v>
      </c>
      <c r="N126" s="45">
        <v>39679</v>
      </c>
    </row>
    <row r="127" spans="1:21" customFormat="1" ht="15" customHeight="1" x14ac:dyDescent="0.2">
      <c r="A127" s="59" t="s">
        <v>1950</v>
      </c>
      <c r="B127" s="39" t="s">
        <v>289</v>
      </c>
      <c r="C127" s="39" t="s">
        <v>1331</v>
      </c>
      <c r="D127" s="40">
        <v>38380</v>
      </c>
      <c r="E127" s="41">
        <v>140</v>
      </c>
      <c r="F127" s="46">
        <v>140</v>
      </c>
      <c r="G127" s="44" t="s">
        <v>124</v>
      </c>
      <c r="H127" s="43" t="s">
        <v>2716</v>
      </c>
      <c r="I127" s="43" t="s">
        <v>2713</v>
      </c>
      <c r="J127" s="44"/>
      <c r="K127" s="43" t="s">
        <v>290</v>
      </c>
      <c r="L127" s="44" t="s">
        <v>87</v>
      </c>
      <c r="M127" s="44">
        <v>0</v>
      </c>
      <c r="N127" s="45">
        <v>39504</v>
      </c>
    </row>
    <row r="128" spans="1:21" customFormat="1" ht="15" customHeight="1" x14ac:dyDescent="0.2">
      <c r="A128" s="59" t="s">
        <v>1951</v>
      </c>
      <c r="B128" s="39" t="s">
        <v>217</v>
      </c>
      <c r="C128" s="39" t="s">
        <v>296</v>
      </c>
      <c r="D128" s="40">
        <v>38383</v>
      </c>
      <c r="E128" s="41">
        <v>500</v>
      </c>
      <c r="F128" s="46">
        <v>500</v>
      </c>
      <c r="G128" s="44" t="s">
        <v>124</v>
      </c>
      <c r="H128" s="43" t="s">
        <v>2739</v>
      </c>
      <c r="I128" s="43" t="s">
        <v>2713</v>
      </c>
      <c r="J128" s="44"/>
      <c r="K128" s="43" t="s">
        <v>297</v>
      </c>
      <c r="L128" s="44" t="s">
        <v>157</v>
      </c>
      <c r="M128" s="44">
        <v>0</v>
      </c>
      <c r="N128" s="45">
        <v>43774</v>
      </c>
    </row>
    <row r="129" spans="1:21" ht="15" customHeight="1" x14ac:dyDescent="0.2">
      <c r="A129" s="59" t="s">
        <v>1952</v>
      </c>
      <c r="B129" s="39" t="s">
        <v>708</v>
      </c>
      <c r="C129" s="39" t="s">
        <v>298</v>
      </c>
      <c r="D129" s="40">
        <v>38391</v>
      </c>
      <c r="E129" s="41">
        <v>75.900000000000006</v>
      </c>
      <c r="F129" s="46">
        <v>75.900000000000006</v>
      </c>
      <c r="G129" s="44" t="s">
        <v>124</v>
      </c>
      <c r="H129" s="43" t="s">
        <v>2740</v>
      </c>
      <c r="I129" s="43" t="s">
        <v>2713</v>
      </c>
      <c r="J129" s="44" t="s">
        <v>530</v>
      </c>
      <c r="K129" s="43" t="s">
        <v>503</v>
      </c>
      <c r="L129" s="44" t="s">
        <v>157</v>
      </c>
      <c r="M129" s="44">
        <v>0</v>
      </c>
      <c r="N129" s="45">
        <v>41698</v>
      </c>
      <c r="O129"/>
      <c r="P129"/>
      <c r="Q129"/>
      <c r="R129"/>
      <c r="S129"/>
      <c r="T129"/>
      <c r="U129"/>
    </row>
    <row r="130" spans="1:21" customFormat="1" ht="15" customHeight="1" x14ac:dyDescent="0.2">
      <c r="A130" s="59" t="s">
        <v>1953</v>
      </c>
      <c r="B130" s="39" t="s">
        <v>5966</v>
      </c>
      <c r="C130" s="39" t="s">
        <v>300</v>
      </c>
      <c r="D130" s="40">
        <v>38391</v>
      </c>
      <c r="E130" s="41">
        <v>80</v>
      </c>
      <c r="F130" s="51"/>
      <c r="G130" s="44" t="s">
        <v>124</v>
      </c>
      <c r="H130" s="43" t="s">
        <v>2740</v>
      </c>
      <c r="I130" s="43" t="s">
        <v>2713</v>
      </c>
      <c r="J130" s="44"/>
      <c r="K130" s="43" t="s">
        <v>299</v>
      </c>
      <c r="L130" s="44" t="s">
        <v>157</v>
      </c>
      <c r="M130" s="44">
        <v>0</v>
      </c>
      <c r="N130" s="45">
        <v>43621</v>
      </c>
    </row>
    <row r="131" spans="1:21" customFormat="1" ht="15" customHeight="1" x14ac:dyDescent="0.2">
      <c r="A131" s="59" t="s">
        <v>1954</v>
      </c>
      <c r="B131" s="39" t="s">
        <v>352</v>
      </c>
      <c r="C131" s="39" t="s">
        <v>353</v>
      </c>
      <c r="D131" s="40">
        <v>38391</v>
      </c>
      <c r="E131" s="41">
        <v>120</v>
      </c>
      <c r="F131" s="46">
        <v>120</v>
      </c>
      <c r="G131" s="44" t="s">
        <v>124</v>
      </c>
      <c r="H131" s="43" t="s">
        <v>2098</v>
      </c>
      <c r="I131" s="43" t="s">
        <v>2713</v>
      </c>
      <c r="J131" s="44" t="s">
        <v>393</v>
      </c>
      <c r="K131" s="43" t="s">
        <v>301</v>
      </c>
      <c r="L131" s="44" t="s">
        <v>34</v>
      </c>
      <c r="M131" s="44">
        <v>0</v>
      </c>
      <c r="N131" s="45">
        <v>40969</v>
      </c>
    </row>
    <row r="132" spans="1:21" customFormat="1" ht="15" customHeight="1" x14ac:dyDescent="0.2">
      <c r="A132" s="59" t="s">
        <v>1955</v>
      </c>
      <c r="B132" s="39" t="s">
        <v>418</v>
      </c>
      <c r="C132" s="39" t="s">
        <v>419</v>
      </c>
      <c r="D132" s="40">
        <v>38391</v>
      </c>
      <c r="E132" s="41">
        <v>79.8</v>
      </c>
      <c r="F132" s="46">
        <v>79.8</v>
      </c>
      <c r="G132" s="44" t="s">
        <v>124</v>
      </c>
      <c r="H132" s="43" t="s">
        <v>2739</v>
      </c>
      <c r="I132" s="43" t="s">
        <v>2713</v>
      </c>
      <c r="J132" s="44" t="s">
        <v>540</v>
      </c>
      <c r="K132" s="43" t="s">
        <v>302</v>
      </c>
      <c r="L132" s="44" t="s">
        <v>157</v>
      </c>
      <c r="M132" s="44">
        <v>0</v>
      </c>
      <c r="N132" s="45">
        <v>41061</v>
      </c>
    </row>
    <row r="133" spans="1:21" customFormat="1" ht="15" customHeight="1" x14ac:dyDescent="0.2">
      <c r="A133" s="59" t="s">
        <v>1956</v>
      </c>
      <c r="B133" s="39" t="s">
        <v>332</v>
      </c>
      <c r="C133" s="39" t="s">
        <v>303</v>
      </c>
      <c r="D133" s="40">
        <v>38391</v>
      </c>
      <c r="E133" s="41">
        <v>90</v>
      </c>
      <c r="F133" s="46">
        <v>90</v>
      </c>
      <c r="G133" s="44" t="s">
        <v>124</v>
      </c>
      <c r="H133" s="43" t="s">
        <v>2741</v>
      </c>
      <c r="I133" s="43" t="s">
        <v>2713</v>
      </c>
      <c r="J133" s="44"/>
      <c r="K133" s="43" t="s">
        <v>325</v>
      </c>
      <c r="L133" s="44" t="s">
        <v>157</v>
      </c>
      <c r="M133" s="44">
        <v>0</v>
      </c>
      <c r="N133" s="45">
        <v>39001</v>
      </c>
    </row>
    <row r="134" spans="1:21" customFormat="1" ht="15" customHeight="1" x14ac:dyDescent="0.2">
      <c r="A134" s="59" t="s">
        <v>1957</v>
      </c>
      <c r="B134" s="39" t="s">
        <v>291</v>
      </c>
      <c r="C134" s="39" t="s">
        <v>292</v>
      </c>
      <c r="D134" s="40">
        <v>38397</v>
      </c>
      <c r="E134" s="41">
        <v>129</v>
      </c>
      <c r="F134" s="46">
        <v>129</v>
      </c>
      <c r="G134" s="44" t="s">
        <v>124</v>
      </c>
      <c r="H134" s="43" t="s">
        <v>2098</v>
      </c>
      <c r="I134" s="43" t="s">
        <v>2713</v>
      </c>
      <c r="J134" s="44"/>
      <c r="K134" s="43" t="s">
        <v>293</v>
      </c>
      <c r="L134" s="52" t="s">
        <v>351</v>
      </c>
      <c r="M134" s="44">
        <v>0</v>
      </c>
      <c r="N134" s="45">
        <v>38916</v>
      </c>
    </row>
    <row r="135" spans="1:21" customFormat="1" ht="15" customHeight="1" x14ac:dyDescent="0.2">
      <c r="A135" s="59" t="s">
        <v>1958</v>
      </c>
      <c r="B135" s="39" t="s">
        <v>585</v>
      </c>
      <c r="C135" s="39" t="s">
        <v>586</v>
      </c>
      <c r="D135" s="40">
        <v>38397</v>
      </c>
      <c r="E135" s="41">
        <v>100.5</v>
      </c>
      <c r="F135" s="46">
        <v>100.5</v>
      </c>
      <c r="G135" s="44" t="s">
        <v>124</v>
      </c>
      <c r="H135" s="43" t="s">
        <v>2741</v>
      </c>
      <c r="I135" s="43" t="s">
        <v>2713</v>
      </c>
      <c r="J135" s="44" t="s">
        <v>531</v>
      </c>
      <c r="K135" s="43" t="s">
        <v>421</v>
      </c>
      <c r="L135" s="52" t="s">
        <v>351</v>
      </c>
      <c r="M135" s="44">
        <v>0</v>
      </c>
      <c r="N135" s="45">
        <v>40357</v>
      </c>
    </row>
    <row r="136" spans="1:21" customFormat="1" ht="15" customHeight="1" x14ac:dyDescent="0.2">
      <c r="A136" s="59" t="s">
        <v>1959</v>
      </c>
      <c r="B136" s="39" t="s">
        <v>291</v>
      </c>
      <c r="C136" s="39" t="s">
        <v>385</v>
      </c>
      <c r="D136" s="40">
        <v>38397</v>
      </c>
      <c r="E136" s="41">
        <v>102</v>
      </c>
      <c r="F136" s="46">
        <v>102</v>
      </c>
      <c r="G136" s="44" t="s">
        <v>124</v>
      </c>
      <c r="H136" s="43" t="s">
        <v>2738</v>
      </c>
      <c r="I136" s="43" t="s">
        <v>2713</v>
      </c>
      <c r="J136" s="44" t="s">
        <v>530</v>
      </c>
      <c r="K136" s="43" t="s">
        <v>370</v>
      </c>
      <c r="L136" s="44" t="s">
        <v>34</v>
      </c>
      <c r="M136" s="44">
        <v>0</v>
      </c>
      <c r="N136" s="45">
        <v>39849</v>
      </c>
    </row>
    <row r="137" spans="1:21" customFormat="1" ht="15" customHeight="1" x14ac:dyDescent="0.2">
      <c r="A137" s="59" t="s">
        <v>1960</v>
      </c>
      <c r="B137" s="39" t="s">
        <v>198</v>
      </c>
      <c r="C137" s="39" t="s">
        <v>304</v>
      </c>
      <c r="D137" s="40">
        <v>38406</v>
      </c>
      <c r="E137" s="41">
        <v>165</v>
      </c>
      <c r="F137" s="46">
        <v>165</v>
      </c>
      <c r="G137" s="44" t="s">
        <v>124</v>
      </c>
      <c r="H137" s="43" t="s">
        <v>2098</v>
      </c>
      <c r="I137" s="43" t="s">
        <v>2713</v>
      </c>
      <c r="J137" s="44"/>
      <c r="K137" s="43" t="s">
        <v>301</v>
      </c>
      <c r="L137" s="44" t="s">
        <v>34</v>
      </c>
      <c r="M137" s="44">
        <v>0</v>
      </c>
      <c r="N137" s="45">
        <v>39091</v>
      </c>
    </row>
    <row r="138" spans="1:21" customFormat="1" ht="14.45" customHeight="1" x14ac:dyDescent="0.2">
      <c r="A138" s="59" t="s">
        <v>1961</v>
      </c>
      <c r="B138" s="39" t="s">
        <v>606</v>
      </c>
      <c r="C138" s="39" t="s">
        <v>607</v>
      </c>
      <c r="D138" s="40">
        <v>38428</v>
      </c>
      <c r="E138" s="41">
        <v>10</v>
      </c>
      <c r="F138" s="46">
        <v>10</v>
      </c>
      <c r="G138" s="44" t="s">
        <v>124</v>
      </c>
      <c r="H138" s="43" t="s">
        <v>2729</v>
      </c>
      <c r="I138" s="43" t="s">
        <v>2713</v>
      </c>
      <c r="J138" s="44" t="s">
        <v>393</v>
      </c>
      <c r="K138" s="43" t="s">
        <v>608</v>
      </c>
      <c r="L138" s="44" t="s">
        <v>157</v>
      </c>
      <c r="M138" s="44">
        <v>0</v>
      </c>
      <c r="N138" s="45">
        <v>42794</v>
      </c>
      <c r="O138" s="4"/>
      <c r="P138" s="4"/>
      <c r="Q138" s="4"/>
      <c r="R138" s="4"/>
      <c r="S138" s="4"/>
      <c r="T138" s="4"/>
      <c r="U138" s="4"/>
    </row>
    <row r="139" spans="1:21" customFormat="1" ht="15" customHeight="1" x14ac:dyDescent="0.2">
      <c r="A139" s="59" t="s">
        <v>1962</v>
      </c>
      <c r="B139" s="39" t="s">
        <v>305</v>
      </c>
      <c r="C139" s="39" t="s">
        <v>306</v>
      </c>
      <c r="D139" s="40">
        <v>38432</v>
      </c>
      <c r="E139" s="41">
        <v>69.3</v>
      </c>
      <c r="F139" s="53"/>
      <c r="G139" s="44" t="s">
        <v>124</v>
      </c>
      <c r="H139" s="43" t="s">
        <v>2741</v>
      </c>
      <c r="I139" s="43" t="s">
        <v>2713</v>
      </c>
      <c r="J139" s="44"/>
      <c r="K139" s="43" t="s">
        <v>328</v>
      </c>
      <c r="L139" s="44" t="s">
        <v>157</v>
      </c>
      <c r="M139" s="44">
        <v>0</v>
      </c>
      <c r="N139" s="45">
        <v>43713</v>
      </c>
    </row>
    <row r="140" spans="1:21" customFormat="1" ht="15" customHeight="1" x14ac:dyDescent="0.2">
      <c r="A140" s="59" t="s">
        <v>1963</v>
      </c>
      <c r="B140" s="39" t="s">
        <v>198</v>
      </c>
      <c r="C140" s="39" t="s">
        <v>307</v>
      </c>
      <c r="D140" s="40">
        <v>38439</v>
      </c>
      <c r="E140" s="41">
        <v>165</v>
      </c>
      <c r="F140" s="46">
        <v>165</v>
      </c>
      <c r="G140" s="44" t="s">
        <v>124</v>
      </c>
      <c r="H140" s="43" t="s">
        <v>2098</v>
      </c>
      <c r="I140" s="43" t="s">
        <v>2713</v>
      </c>
      <c r="J140" s="44"/>
      <c r="K140" s="43" t="s">
        <v>348</v>
      </c>
      <c r="L140" s="44" t="s">
        <v>309</v>
      </c>
      <c r="M140" s="44">
        <v>0</v>
      </c>
      <c r="N140" s="45">
        <v>43804</v>
      </c>
    </row>
    <row r="141" spans="1:21" customFormat="1" ht="15" customHeight="1" x14ac:dyDescent="0.2">
      <c r="A141" s="59" t="s">
        <v>1964</v>
      </c>
      <c r="B141" s="39" t="s">
        <v>198</v>
      </c>
      <c r="C141" s="39" t="s">
        <v>308</v>
      </c>
      <c r="D141" s="40">
        <v>38439</v>
      </c>
      <c r="E141" s="41">
        <v>75.900000000000006</v>
      </c>
      <c r="F141" s="53"/>
      <c r="G141" s="44" t="s">
        <v>124</v>
      </c>
      <c r="H141" s="43" t="s">
        <v>2742</v>
      </c>
      <c r="I141" s="43" t="s">
        <v>2713</v>
      </c>
      <c r="J141" s="44"/>
      <c r="K141" s="43" t="s">
        <v>310</v>
      </c>
      <c r="L141" s="44" t="s">
        <v>309</v>
      </c>
      <c r="M141" s="44">
        <v>0</v>
      </c>
      <c r="N141" s="45">
        <v>43682</v>
      </c>
      <c r="U141" s="4"/>
    </row>
    <row r="142" spans="1:21" customFormat="1" ht="15" customHeight="1" x14ac:dyDescent="0.2">
      <c r="A142" s="59" t="s">
        <v>1965</v>
      </c>
      <c r="B142" s="39" t="s">
        <v>581</v>
      </c>
      <c r="C142" s="39" t="s">
        <v>311</v>
      </c>
      <c r="D142" s="40">
        <v>38443</v>
      </c>
      <c r="E142" s="41">
        <v>80</v>
      </c>
      <c r="F142" s="46">
        <v>80</v>
      </c>
      <c r="G142" s="44" t="s">
        <v>124</v>
      </c>
      <c r="H142" s="43" t="s">
        <v>2737</v>
      </c>
      <c r="I142" s="43" t="s">
        <v>2713</v>
      </c>
      <c r="J142" s="44" t="s">
        <v>530</v>
      </c>
      <c r="K142" s="43" t="s">
        <v>312</v>
      </c>
      <c r="L142" s="44" t="s">
        <v>157</v>
      </c>
      <c r="M142" s="44">
        <v>0</v>
      </c>
      <c r="N142" s="45">
        <v>40816</v>
      </c>
    </row>
    <row r="143" spans="1:21" customFormat="1" ht="14.45" customHeight="1" x14ac:dyDescent="0.2">
      <c r="A143" s="59" t="s">
        <v>1966</v>
      </c>
      <c r="B143" s="39" t="s">
        <v>605</v>
      </c>
      <c r="C143" s="39" t="s">
        <v>313</v>
      </c>
      <c r="D143" s="40">
        <v>38447</v>
      </c>
      <c r="E143" s="41">
        <v>109.5</v>
      </c>
      <c r="F143" s="46">
        <v>109.5</v>
      </c>
      <c r="G143" s="44" t="s">
        <v>124</v>
      </c>
      <c r="H143" s="43" t="s">
        <v>2735</v>
      </c>
      <c r="I143" s="43" t="s">
        <v>2713</v>
      </c>
      <c r="J143" s="44" t="s">
        <v>420</v>
      </c>
      <c r="K143" s="43" t="s">
        <v>288</v>
      </c>
      <c r="L143" s="44" t="s">
        <v>41</v>
      </c>
      <c r="M143" s="44">
        <v>0</v>
      </c>
      <c r="N143" s="45">
        <v>39849</v>
      </c>
    </row>
    <row r="144" spans="1:21" customFormat="1" ht="15" customHeight="1" x14ac:dyDescent="0.2">
      <c r="A144" s="59" t="s">
        <v>1967</v>
      </c>
      <c r="B144" s="39" t="s">
        <v>202</v>
      </c>
      <c r="C144" s="39" t="s">
        <v>314</v>
      </c>
      <c r="D144" s="40">
        <v>38447</v>
      </c>
      <c r="E144" s="41">
        <v>96</v>
      </c>
      <c r="F144" s="51"/>
      <c r="G144" s="44" t="s">
        <v>124</v>
      </c>
      <c r="H144" s="43" t="s">
        <v>2098</v>
      </c>
      <c r="I144" s="43" t="s">
        <v>2713</v>
      </c>
      <c r="J144" s="44"/>
      <c r="K144" s="43" t="s">
        <v>324</v>
      </c>
      <c r="L144" s="44" t="s">
        <v>34</v>
      </c>
      <c r="M144" s="44">
        <v>0</v>
      </c>
      <c r="N144" s="45">
        <v>43682</v>
      </c>
    </row>
    <row r="145" spans="1:21" customFormat="1" ht="15" customHeight="1" x14ac:dyDescent="0.2">
      <c r="A145" s="59" t="s">
        <v>1968</v>
      </c>
      <c r="B145" s="39" t="s">
        <v>588</v>
      </c>
      <c r="C145" s="39" t="s">
        <v>733</v>
      </c>
      <c r="D145" s="40">
        <v>38450</v>
      </c>
      <c r="E145" s="41">
        <v>126</v>
      </c>
      <c r="F145" s="46">
        <v>126</v>
      </c>
      <c r="G145" s="44" t="s">
        <v>124</v>
      </c>
      <c r="H145" s="43" t="s">
        <v>2740</v>
      </c>
      <c r="I145" s="43" t="s">
        <v>2713</v>
      </c>
      <c r="J145" s="44" t="s">
        <v>530</v>
      </c>
      <c r="K145" s="43" t="s">
        <v>346</v>
      </c>
      <c r="L145" s="44" t="s">
        <v>157</v>
      </c>
      <c r="M145" s="44">
        <v>0</v>
      </c>
      <c r="N145" s="45">
        <v>41759</v>
      </c>
    </row>
    <row r="146" spans="1:21" customFormat="1" ht="15" customHeight="1" x14ac:dyDescent="0.2">
      <c r="A146" s="59" t="s">
        <v>1969</v>
      </c>
      <c r="B146" s="39" t="s">
        <v>315</v>
      </c>
      <c r="C146" s="39" t="s">
        <v>316</v>
      </c>
      <c r="D146" s="40">
        <v>38450</v>
      </c>
      <c r="E146" s="41">
        <v>66</v>
      </c>
      <c r="F146" s="46">
        <v>66</v>
      </c>
      <c r="G146" s="44" t="s">
        <v>124</v>
      </c>
      <c r="H146" s="43" t="s">
        <v>2740</v>
      </c>
      <c r="I146" s="43" t="s">
        <v>2713</v>
      </c>
      <c r="J146" s="44"/>
      <c r="K146" s="43" t="s">
        <v>345</v>
      </c>
      <c r="L146" s="44" t="s">
        <v>157</v>
      </c>
      <c r="M146" s="44">
        <v>0</v>
      </c>
      <c r="N146" s="45">
        <v>39001</v>
      </c>
    </row>
    <row r="147" spans="1:21" customFormat="1" ht="15" customHeight="1" x14ac:dyDescent="0.2">
      <c r="A147" s="59" t="s">
        <v>1970</v>
      </c>
      <c r="B147" s="39" t="s">
        <v>5967</v>
      </c>
      <c r="C147" s="39" t="s">
        <v>5967</v>
      </c>
      <c r="D147" s="40">
        <v>38485</v>
      </c>
      <c r="E147" s="41">
        <v>1200</v>
      </c>
      <c r="F147" s="46">
        <v>1200</v>
      </c>
      <c r="G147" s="44" t="s">
        <v>253</v>
      </c>
      <c r="H147" s="43" t="s">
        <v>2743</v>
      </c>
      <c r="I147" s="43" t="s">
        <v>2713</v>
      </c>
      <c r="J147" s="44" t="s">
        <v>542</v>
      </c>
      <c r="K147" s="48" t="s">
        <v>343</v>
      </c>
      <c r="L147" s="44" t="s">
        <v>362</v>
      </c>
      <c r="M147" s="44">
        <v>0</v>
      </c>
      <c r="N147" s="45">
        <v>39911</v>
      </c>
    </row>
    <row r="148" spans="1:21" x14ac:dyDescent="0.2">
      <c r="A148" s="59" t="s">
        <v>1971</v>
      </c>
      <c r="B148" s="39" t="s">
        <v>223</v>
      </c>
      <c r="C148" s="39" t="s">
        <v>319</v>
      </c>
      <c r="D148" s="40">
        <v>38489</v>
      </c>
      <c r="E148" s="41">
        <v>75</v>
      </c>
      <c r="F148" s="46">
        <v>75</v>
      </c>
      <c r="G148" s="44" t="s">
        <v>124</v>
      </c>
      <c r="H148" s="43" t="s">
        <v>2731</v>
      </c>
      <c r="I148" s="43" t="s">
        <v>2713</v>
      </c>
      <c r="J148" s="44"/>
      <c r="K148" s="43" t="s">
        <v>301</v>
      </c>
      <c r="L148" s="44" t="s">
        <v>34</v>
      </c>
      <c r="M148" s="44">
        <v>0</v>
      </c>
      <c r="N148" s="45">
        <v>43471</v>
      </c>
      <c r="O148"/>
      <c r="P148"/>
      <c r="Q148"/>
      <c r="R148"/>
      <c r="S148"/>
      <c r="T148"/>
      <c r="U148"/>
    </row>
    <row r="149" spans="1:21" customFormat="1" ht="15" customHeight="1" x14ac:dyDescent="0.2">
      <c r="A149" s="59" t="s">
        <v>1972</v>
      </c>
      <c r="B149" s="39" t="s">
        <v>223</v>
      </c>
      <c r="C149" s="39" t="s">
        <v>782</v>
      </c>
      <c r="D149" s="40">
        <v>38489</v>
      </c>
      <c r="E149" s="42">
        <v>60</v>
      </c>
      <c r="F149" s="48">
        <v>60</v>
      </c>
      <c r="G149" s="44" t="s">
        <v>124</v>
      </c>
      <c r="H149" s="43" t="s">
        <v>2098</v>
      </c>
      <c r="I149" s="43" t="s">
        <v>2713</v>
      </c>
      <c r="J149" s="44"/>
      <c r="K149" s="43" t="s">
        <v>783</v>
      </c>
      <c r="L149" s="44" t="s">
        <v>34</v>
      </c>
      <c r="M149" s="44">
        <v>0</v>
      </c>
      <c r="N149" s="45">
        <v>39091</v>
      </c>
    </row>
    <row r="150" spans="1:21" customFormat="1" ht="15" customHeight="1" x14ac:dyDescent="0.2">
      <c r="A150" s="59" t="s">
        <v>1973</v>
      </c>
      <c r="B150" s="39" t="s">
        <v>321</v>
      </c>
      <c r="C150" s="39" t="s">
        <v>320</v>
      </c>
      <c r="D150" s="40">
        <v>38498</v>
      </c>
      <c r="E150" s="41">
        <v>300</v>
      </c>
      <c r="F150" s="46">
        <v>300</v>
      </c>
      <c r="G150" s="44" t="s">
        <v>758</v>
      </c>
      <c r="H150" s="43" t="s">
        <v>2713</v>
      </c>
      <c r="I150" s="43" t="s">
        <v>2713</v>
      </c>
      <c r="J150" s="44"/>
      <c r="K150" s="43" t="s">
        <v>349</v>
      </c>
      <c r="L150" s="44" t="s">
        <v>86</v>
      </c>
      <c r="M150" s="44">
        <v>0</v>
      </c>
      <c r="N150" s="45">
        <v>43502</v>
      </c>
    </row>
    <row r="151" spans="1:21" ht="15" customHeight="1" x14ac:dyDescent="0.2">
      <c r="A151" s="59" t="s">
        <v>1974</v>
      </c>
      <c r="B151" s="39" t="s">
        <v>432</v>
      </c>
      <c r="C151" s="39" t="s">
        <v>327</v>
      </c>
      <c r="D151" s="40">
        <v>38517</v>
      </c>
      <c r="E151" s="41">
        <v>200</v>
      </c>
      <c r="F151" s="46">
        <v>200</v>
      </c>
      <c r="G151" s="44" t="s">
        <v>253</v>
      </c>
      <c r="H151" s="43" t="s">
        <v>2714</v>
      </c>
      <c r="I151" s="43" t="s">
        <v>2713</v>
      </c>
      <c r="J151" s="44" t="s">
        <v>533</v>
      </c>
      <c r="K151" s="43" t="s">
        <v>344</v>
      </c>
      <c r="L151" s="44" t="s">
        <v>86</v>
      </c>
      <c r="M151" s="44">
        <v>0</v>
      </c>
      <c r="N151" s="45">
        <v>40025</v>
      </c>
      <c r="O151"/>
      <c r="P151"/>
      <c r="Q151"/>
      <c r="R151"/>
      <c r="S151"/>
      <c r="T151"/>
      <c r="U151"/>
    </row>
    <row r="152" spans="1:21" customFormat="1" ht="15" customHeight="1" x14ac:dyDescent="0.2">
      <c r="A152" s="59" t="s">
        <v>1975</v>
      </c>
      <c r="B152" s="39" t="s">
        <v>331</v>
      </c>
      <c r="C152" s="39" t="s">
        <v>329</v>
      </c>
      <c r="D152" s="40">
        <v>38534</v>
      </c>
      <c r="E152" s="41">
        <v>79.900000000000006</v>
      </c>
      <c r="F152" s="46">
        <v>79.8</v>
      </c>
      <c r="G152" s="44" t="s">
        <v>124</v>
      </c>
      <c r="H152" s="43" t="s">
        <v>2744</v>
      </c>
      <c r="I152" s="43" t="s">
        <v>2713</v>
      </c>
      <c r="J152" s="44"/>
      <c r="K152" s="43" t="s">
        <v>330</v>
      </c>
      <c r="L152" s="44" t="s">
        <v>157</v>
      </c>
      <c r="M152" s="44">
        <v>0</v>
      </c>
      <c r="N152" s="45">
        <v>38908</v>
      </c>
    </row>
    <row r="153" spans="1:21" customFormat="1" ht="15" customHeight="1" x14ac:dyDescent="0.2">
      <c r="A153" s="59" t="s">
        <v>1976</v>
      </c>
      <c r="B153" s="39" t="s">
        <v>386</v>
      </c>
      <c r="C153" s="39" t="s">
        <v>685</v>
      </c>
      <c r="D153" s="40">
        <v>38534</v>
      </c>
      <c r="E153" s="41">
        <v>78</v>
      </c>
      <c r="F153" s="46">
        <v>78</v>
      </c>
      <c r="G153" s="44" t="s">
        <v>124</v>
      </c>
      <c r="H153" s="43" t="s">
        <v>2744</v>
      </c>
      <c r="I153" s="43" t="s">
        <v>2713</v>
      </c>
      <c r="J153" s="44" t="s">
        <v>530</v>
      </c>
      <c r="K153" s="43" t="s">
        <v>347</v>
      </c>
      <c r="L153" s="44" t="s">
        <v>157</v>
      </c>
      <c r="M153" s="44">
        <v>0</v>
      </c>
      <c r="N153" s="45">
        <v>42490</v>
      </c>
      <c r="O153" s="4"/>
      <c r="P153" s="4"/>
      <c r="Q153" s="4"/>
      <c r="R153" s="4"/>
      <c r="S153" s="4"/>
      <c r="T153" s="4"/>
    </row>
    <row r="154" spans="1:21" customFormat="1" ht="15" customHeight="1" x14ac:dyDescent="0.2">
      <c r="A154" s="59" t="s">
        <v>1977</v>
      </c>
      <c r="B154" s="39" t="s">
        <v>817</v>
      </c>
      <c r="C154" s="39" t="s">
        <v>610</v>
      </c>
      <c r="D154" s="40">
        <v>38554</v>
      </c>
      <c r="E154" s="41">
        <v>79.8</v>
      </c>
      <c r="F154" s="46">
        <v>79.8</v>
      </c>
      <c r="G154" s="44" t="s">
        <v>124</v>
      </c>
      <c r="H154" s="43" t="s">
        <v>2728</v>
      </c>
      <c r="I154" s="43" t="s">
        <v>2713</v>
      </c>
      <c r="J154" s="44" t="s">
        <v>531</v>
      </c>
      <c r="K154" s="43" t="s">
        <v>334</v>
      </c>
      <c r="L154" s="44" t="s">
        <v>157</v>
      </c>
      <c r="M154" s="44">
        <v>0</v>
      </c>
      <c r="N154" s="45">
        <v>41547</v>
      </c>
      <c r="O154" s="4"/>
      <c r="P154" s="4"/>
      <c r="Q154" s="4"/>
      <c r="R154" s="4"/>
      <c r="S154" s="4"/>
      <c r="T154" s="4"/>
    </row>
    <row r="155" spans="1:21" customFormat="1" ht="15" customHeight="1" x14ac:dyDescent="0.2">
      <c r="A155" s="59" t="s">
        <v>1978</v>
      </c>
      <c r="B155" s="39" t="s">
        <v>335</v>
      </c>
      <c r="C155" s="39" t="s">
        <v>785</v>
      </c>
      <c r="D155" s="40">
        <v>38580</v>
      </c>
      <c r="E155" s="42">
        <v>845</v>
      </c>
      <c r="F155" s="48">
        <v>915</v>
      </c>
      <c r="G155" s="44" t="s">
        <v>339</v>
      </c>
      <c r="H155" s="43" t="s">
        <v>3156</v>
      </c>
      <c r="I155" s="43" t="s">
        <v>2713</v>
      </c>
      <c r="J155" s="44"/>
      <c r="K155" s="43" t="s">
        <v>786</v>
      </c>
      <c r="L155" s="44" t="s">
        <v>86</v>
      </c>
      <c r="M155" s="44">
        <v>0</v>
      </c>
      <c r="N155" s="45">
        <v>43502</v>
      </c>
    </row>
    <row r="156" spans="1:21" customFormat="1" ht="15" customHeight="1" x14ac:dyDescent="0.2">
      <c r="A156" s="59" t="s">
        <v>1979</v>
      </c>
      <c r="B156" s="39" t="s">
        <v>336</v>
      </c>
      <c r="C156" s="39" t="s">
        <v>338</v>
      </c>
      <c r="D156" s="40">
        <v>38581</v>
      </c>
      <c r="E156" s="41">
        <v>200</v>
      </c>
      <c r="F156" s="46">
        <v>200</v>
      </c>
      <c r="G156" s="44" t="s">
        <v>339</v>
      </c>
      <c r="H156" s="43" t="s">
        <v>2719</v>
      </c>
      <c r="I156" s="43" t="s">
        <v>2713</v>
      </c>
      <c r="J156" s="44" t="s">
        <v>533</v>
      </c>
      <c r="K156" s="43" t="s">
        <v>647</v>
      </c>
      <c r="L156" s="44" t="s">
        <v>86</v>
      </c>
      <c r="M156" s="44">
        <v>0</v>
      </c>
      <c r="N156" s="45">
        <v>42216</v>
      </c>
      <c r="O156" s="4"/>
      <c r="P156" s="4"/>
      <c r="Q156" s="4"/>
      <c r="R156" s="4"/>
      <c r="S156" s="4"/>
      <c r="T156" s="4"/>
      <c r="U156" s="4"/>
    </row>
    <row r="157" spans="1:21" customFormat="1" ht="15" customHeight="1" x14ac:dyDescent="0.2">
      <c r="A157" s="59" t="s">
        <v>1980</v>
      </c>
      <c r="B157" s="39" t="s">
        <v>342</v>
      </c>
      <c r="C157" s="39" t="s">
        <v>337</v>
      </c>
      <c r="D157" s="40">
        <v>38589</v>
      </c>
      <c r="E157" s="41">
        <v>130</v>
      </c>
      <c r="F157" s="46">
        <v>130</v>
      </c>
      <c r="G157" s="44" t="s">
        <v>364</v>
      </c>
      <c r="H157" s="43" t="s">
        <v>3156</v>
      </c>
      <c r="I157" s="43" t="s">
        <v>2713</v>
      </c>
      <c r="J157" s="44"/>
      <c r="K157" s="43" t="s">
        <v>344</v>
      </c>
      <c r="L157" s="44" t="s">
        <v>86</v>
      </c>
      <c r="M157" s="44">
        <v>0</v>
      </c>
      <c r="N157" s="45">
        <v>43530</v>
      </c>
      <c r="U157" s="4"/>
    </row>
    <row r="158" spans="1:21" customFormat="1" ht="15" customHeight="1" x14ac:dyDescent="0.2">
      <c r="A158" s="59" t="s">
        <v>1981</v>
      </c>
      <c r="B158" s="39" t="s">
        <v>368</v>
      </c>
      <c r="C158" s="39" t="s">
        <v>369</v>
      </c>
      <c r="D158" s="40">
        <v>38646</v>
      </c>
      <c r="E158" s="41">
        <v>478.5</v>
      </c>
      <c r="F158" s="46">
        <v>478.5</v>
      </c>
      <c r="G158" s="44" t="s">
        <v>124</v>
      </c>
      <c r="H158" s="43" t="s">
        <v>2739</v>
      </c>
      <c r="I158" s="43" t="s">
        <v>2713</v>
      </c>
      <c r="J158" s="44" t="s">
        <v>531</v>
      </c>
      <c r="K158" s="43" t="s">
        <v>361</v>
      </c>
      <c r="L158" s="44" t="s">
        <v>34</v>
      </c>
      <c r="M158" s="44">
        <v>0</v>
      </c>
      <c r="N158" s="45">
        <v>40268</v>
      </c>
    </row>
    <row r="159" spans="1:21" customFormat="1" ht="15" customHeight="1" x14ac:dyDescent="0.2">
      <c r="A159" s="59" t="s">
        <v>1982</v>
      </c>
      <c r="B159" s="39" t="s">
        <v>1949</v>
      </c>
      <c r="C159" s="39" t="s">
        <v>375</v>
      </c>
      <c r="D159" s="40">
        <v>38652</v>
      </c>
      <c r="E159" s="41">
        <v>150</v>
      </c>
      <c r="F159" s="46">
        <v>150</v>
      </c>
      <c r="G159" s="44" t="s">
        <v>124</v>
      </c>
      <c r="H159" s="43" t="s">
        <v>2732</v>
      </c>
      <c r="I159" s="43" t="s">
        <v>2713</v>
      </c>
      <c r="J159" s="44" t="s">
        <v>393</v>
      </c>
      <c r="K159" s="43" t="s">
        <v>350</v>
      </c>
      <c r="L159" s="44" t="s">
        <v>34</v>
      </c>
      <c r="M159" s="44">
        <v>0</v>
      </c>
      <c r="N159" s="45">
        <v>39679</v>
      </c>
      <c r="U159" s="4"/>
    </row>
    <row r="160" spans="1:21" customFormat="1" ht="14.45" customHeight="1" x14ac:dyDescent="0.2">
      <c r="A160" s="59" t="s">
        <v>1983</v>
      </c>
      <c r="B160" s="39" t="s">
        <v>633</v>
      </c>
      <c r="C160" s="39" t="s">
        <v>634</v>
      </c>
      <c r="D160" s="40">
        <v>38656</v>
      </c>
      <c r="E160" s="41">
        <v>19.5</v>
      </c>
      <c r="F160" s="46">
        <v>19.5</v>
      </c>
      <c r="G160" s="44" t="s">
        <v>124</v>
      </c>
      <c r="H160" s="43" t="s">
        <v>2735</v>
      </c>
      <c r="I160" s="43" t="s">
        <v>2713</v>
      </c>
      <c r="J160" s="44" t="s">
        <v>420</v>
      </c>
      <c r="K160" s="43" t="s">
        <v>701</v>
      </c>
      <c r="L160" s="44" t="s">
        <v>34</v>
      </c>
      <c r="M160" s="44">
        <v>0</v>
      </c>
      <c r="N160" s="45">
        <v>41364</v>
      </c>
      <c r="O160" s="4"/>
      <c r="P160" s="4"/>
      <c r="Q160" s="4"/>
      <c r="R160" s="4"/>
      <c r="S160" s="4"/>
      <c r="T160" s="4"/>
      <c r="U160" s="4"/>
    </row>
    <row r="161" spans="1:21" customFormat="1" ht="15" customHeight="1" x14ac:dyDescent="0.2">
      <c r="A161" s="59" t="s">
        <v>1984</v>
      </c>
      <c r="B161" s="39" t="s">
        <v>708</v>
      </c>
      <c r="C161" s="39" t="s">
        <v>357</v>
      </c>
      <c r="D161" s="40">
        <v>38729</v>
      </c>
      <c r="E161" s="41">
        <v>209.3</v>
      </c>
      <c r="F161" s="46">
        <v>209.3</v>
      </c>
      <c r="G161" s="44" t="s">
        <v>124</v>
      </c>
      <c r="H161" s="43" t="s">
        <v>2740</v>
      </c>
      <c r="I161" s="43" t="s">
        <v>2713</v>
      </c>
      <c r="J161" s="44" t="s">
        <v>530</v>
      </c>
      <c r="K161" s="43" t="s">
        <v>503</v>
      </c>
      <c r="L161" s="44" t="s">
        <v>157</v>
      </c>
      <c r="M161" s="44">
        <v>0</v>
      </c>
      <c r="N161" s="45">
        <v>41698</v>
      </c>
      <c r="O161" s="4"/>
      <c r="P161" s="4"/>
      <c r="Q161" s="4"/>
      <c r="R161" s="4"/>
      <c r="S161" s="4"/>
      <c r="T161" s="4"/>
    </row>
    <row r="162" spans="1:21" customFormat="1" ht="15" customHeight="1" x14ac:dyDescent="0.2">
      <c r="A162" s="59" t="s">
        <v>1985</v>
      </c>
      <c r="B162" s="39" t="s">
        <v>354</v>
      </c>
      <c r="C162" s="39" t="s">
        <v>355</v>
      </c>
      <c r="D162" s="40">
        <v>38734</v>
      </c>
      <c r="E162" s="41">
        <v>35</v>
      </c>
      <c r="F162" s="46">
        <v>36</v>
      </c>
      <c r="G162" s="44" t="s">
        <v>758</v>
      </c>
      <c r="H162" s="43" t="s">
        <v>2745</v>
      </c>
      <c r="I162" s="43" t="s">
        <v>2713</v>
      </c>
      <c r="J162" s="44"/>
      <c r="K162" s="43" t="s">
        <v>356</v>
      </c>
      <c r="L162" s="44" t="s">
        <v>34</v>
      </c>
      <c r="M162" s="44">
        <v>0</v>
      </c>
      <c r="N162" s="45">
        <v>38985</v>
      </c>
    </row>
    <row r="163" spans="1:21" customFormat="1" ht="15" customHeight="1" x14ac:dyDescent="0.2">
      <c r="A163" s="59" t="s">
        <v>1986</v>
      </c>
      <c r="B163" s="39" t="s">
        <v>360</v>
      </c>
      <c r="C163" s="39" t="s">
        <v>359</v>
      </c>
      <c r="D163" s="40">
        <v>38758</v>
      </c>
      <c r="E163" s="41">
        <v>88</v>
      </c>
      <c r="F163" s="46">
        <v>100</v>
      </c>
      <c r="G163" s="44" t="s">
        <v>364</v>
      </c>
      <c r="H163" s="43" t="s">
        <v>2746</v>
      </c>
      <c r="I163" s="43" t="s">
        <v>2713</v>
      </c>
      <c r="J163" s="44"/>
      <c r="K163" s="43" t="s">
        <v>365</v>
      </c>
      <c r="L163" s="44" t="s">
        <v>87</v>
      </c>
      <c r="M163" s="44">
        <v>0</v>
      </c>
      <c r="N163" s="45">
        <v>39273</v>
      </c>
    </row>
    <row r="164" spans="1:21" customFormat="1" ht="15" customHeight="1" x14ac:dyDescent="0.2">
      <c r="A164" s="59" t="s">
        <v>1987</v>
      </c>
      <c r="B164" s="39" t="s">
        <v>367</v>
      </c>
      <c r="C164" s="39" t="s">
        <v>366</v>
      </c>
      <c r="D164" s="40">
        <v>38790</v>
      </c>
      <c r="E164" s="41">
        <v>150</v>
      </c>
      <c r="F164" s="46">
        <v>150</v>
      </c>
      <c r="G164" s="44" t="s">
        <v>256</v>
      </c>
      <c r="H164" s="43" t="s">
        <v>2722</v>
      </c>
      <c r="I164" s="43" t="s">
        <v>2713</v>
      </c>
      <c r="J164" s="44" t="s">
        <v>531</v>
      </c>
      <c r="K164" s="43" t="s">
        <v>661</v>
      </c>
      <c r="L164" s="44" t="s">
        <v>157</v>
      </c>
      <c r="M164" s="44">
        <v>0</v>
      </c>
      <c r="N164" s="45">
        <v>40268</v>
      </c>
      <c r="U164" s="4"/>
    </row>
    <row r="165" spans="1:21" customFormat="1" ht="15" customHeight="1" x14ac:dyDescent="0.2">
      <c r="A165" s="59" t="s">
        <v>1988</v>
      </c>
      <c r="B165" s="39" t="s">
        <v>291</v>
      </c>
      <c r="C165" s="39" t="s">
        <v>645</v>
      </c>
      <c r="D165" s="40">
        <v>38810</v>
      </c>
      <c r="E165" s="41">
        <v>21</v>
      </c>
      <c r="F165" s="46">
        <v>21</v>
      </c>
      <c r="G165" s="44" t="s">
        <v>124</v>
      </c>
      <c r="H165" s="43" t="s">
        <v>2735</v>
      </c>
      <c r="I165" s="43" t="s">
        <v>2713</v>
      </c>
      <c r="J165" s="44" t="s">
        <v>420</v>
      </c>
      <c r="K165" s="43" t="s">
        <v>333</v>
      </c>
      <c r="L165" s="44" t="s">
        <v>41</v>
      </c>
      <c r="M165" s="44">
        <v>0</v>
      </c>
      <c r="N165" s="45">
        <v>41394</v>
      </c>
      <c r="O165" s="4"/>
      <c r="P165" s="4"/>
      <c r="Q165" s="4"/>
      <c r="R165" s="4"/>
      <c r="S165" s="4"/>
      <c r="T165" s="4"/>
      <c r="U165" s="4"/>
    </row>
    <row r="166" spans="1:21" customFormat="1" ht="14.45" customHeight="1" x14ac:dyDescent="0.2">
      <c r="A166" s="59" t="s">
        <v>1989</v>
      </c>
      <c r="B166" s="39" t="s">
        <v>504</v>
      </c>
      <c r="C166" s="39" t="s">
        <v>505</v>
      </c>
      <c r="D166" s="40">
        <v>38810</v>
      </c>
      <c r="E166" s="41">
        <v>120</v>
      </c>
      <c r="F166" s="46">
        <v>120</v>
      </c>
      <c r="G166" s="44" t="s">
        <v>124</v>
      </c>
      <c r="H166" s="43" t="s">
        <v>2747</v>
      </c>
      <c r="I166" s="43" t="s">
        <v>2713</v>
      </c>
      <c r="J166" s="44" t="s">
        <v>420</v>
      </c>
      <c r="K166" s="43" t="s">
        <v>389</v>
      </c>
      <c r="L166" s="44" t="s">
        <v>41</v>
      </c>
      <c r="M166" s="44">
        <v>0</v>
      </c>
      <c r="N166" s="45">
        <v>39849</v>
      </c>
    </row>
    <row r="167" spans="1:21" customFormat="1" ht="15" customHeight="1" x14ac:dyDescent="0.2">
      <c r="A167" s="59" t="s">
        <v>1990</v>
      </c>
      <c r="B167" s="39" t="s">
        <v>372</v>
      </c>
      <c r="C167" s="39" t="s">
        <v>371</v>
      </c>
      <c r="D167" s="40">
        <v>38874</v>
      </c>
      <c r="E167" s="41">
        <v>90</v>
      </c>
      <c r="F167" s="46">
        <v>90</v>
      </c>
      <c r="G167" s="44" t="s">
        <v>124</v>
      </c>
      <c r="H167" s="43" t="s">
        <v>2748</v>
      </c>
      <c r="I167" s="43" t="s">
        <v>2749</v>
      </c>
      <c r="J167" s="44" t="s">
        <v>393</v>
      </c>
      <c r="K167" s="43" t="s">
        <v>286</v>
      </c>
      <c r="L167" s="44" t="s">
        <v>34</v>
      </c>
      <c r="M167" s="44">
        <v>0</v>
      </c>
      <c r="N167" s="45">
        <v>39804</v>
      </c>
    </row>
    <row r="168" spans="1:21" ht="15" customHeight="1" x14ac:dyDescent="0.2">
      <c r="A168" s="59" t="s">
        <v>1991</v>
      </c>
      <c r="B168" s="39" t="s">
        <v>373</v>
      </c>
      <c r="C168" s="39" t="s">
        <v>1992</v>
      </c>
      <c r="D168" s="40">
        <v>38901</v>
      </c>
      <c r="E168" s="41">
        <v>150</v>
      </c>
      <c r="F168" s="46">
        <v>150</v>
      </c>
      <c r="G168" s="44" t="s">
        <v>124</v>
      </c>
      <c r="H168" s="43" t="s">
        <v>2750</v>
      </c>
      <c r="I168" s="43" t="s">
        <v>2749</v>
      </c>
      <c r="J168" s="44"/>
      <c r="K168" s="43" t="s">
        <v>286</v>
      </c>
      <c r="L168" s="44" t="s">
        <v>34</v>
      </c>
      <c r="M168" s="44">
        <v>0</v>
      </c>
      <c r="N168" s="45">
        <v>38925</v>
      </c>
      <c r="O168"/>
      <c r="P168"/>
      <c r="Q168"/>
      <c r="R168"/>
      <c r="S168"/>
      <c r="T168"/>
      <c r="U168"/>
    </row>
    <row r="169" spans="1:21" ht="15" customHeight="1" x14ac:dyDescent="0.2">
      <c r="A169" s="59" t="s">
        <v>1993</v>
      </c>
      <c r="B169" s="39" t="s">
        <v>382</v>
      </c>
      <c r="C169" s="39" t="s">
        <v>376</v>
      </c>
      <c r="D169" s="40">
        <v>38910</v>
      </c>
      <c r="E169" s="41">
        <v>752</v>
      </c>
      <c r="F169" s="46">
        <v>752</v>
      </c>
      <c r="G169" s="44" t="s">
        <v>339</v>
      </c>
      <c r="H169" s="43" t="s">
        <v>2722</v>
      </c>
      <c r="I169" s="43" t="s">
        <v>2713</v>
      </c>
      <c r="J169" s="44" t="s">
        <v>531</v>
      </c>
      <c r="K169" s="43" t="s">
        <v>377</v>
      </c>
      <c r="L169" s="44" t="s">
        <v>157</v>
      </c>
      <c r="M169" s="44">
        <v>0</v>
      </c>
      <c r="N169" s="45">
        <v>39804</v>
      </c>
      <c r="O169"/>
      <c r="P169"/>
      <c r="Q169"/>
      <c r="R169"/>
      <c r="S169"/>
      <c r="T169"/>
    </row>
    <row r="170" spans="1:21" customFormat="1" ht="15" customHeight="1" x14ac:dyDescent="0.2">
      <c r="A170" s="59" t="s">
        <v>1994</v>
      </c>
      <c r="B170" s="39" t="s">
        <v>372</v>
      </c>
      <c r="C170" s="39" t="s">
        <v>378</v>
      </c>
      <c r="D170" s="40">
        <v>38917</v>
      </c>
      <c r="E170" s="41">
        <v>175</v>
      </c>
      <c r="F170" s="46">
        <v>175</v>
      </c>
      <c r="G170" s="44" t="s">
        <v>124</v>
      </c>
      <c r="H170" s="43" t="s">
        <v>2751</v>
      </c>
      <c r="I170" s="43" t="s">
        <v>2749</v>
      </c>
      <c r="J170" s="44" t="s">
        <v>393</v>
      </c>
      <c r="K170" s="43" t="s">
        <v>286</v>
      </c>
      <c r="L170" s="44" t="s">
        <v>34</v>
      </c>
      <c r="M170" s="44">
        <v>0</v>
      </c>
      <c r="N170" s="45">
        <v>39679</v>
      </c>
    </row>
    <row r="171" spans="1:21" ht="15" customHeight="1" x14ac:dyDescent="0.2">
      <c r="A171" s="59" t="s">
        <v>1995</v>
      </c>
      <c r="B171" s="39" t="s">
        <v>372</v>
      </c>
      <c r="C171" s="39" t="s">
        <v>379</v>
      </c>
      <c r="D171" s="40">
        <v>38917</v>
      </c>
      <c r="E171" s="41">
        <v>75</v>
      </c>
      <c r="F171" s="46">
        <v>75</v>
      </c>
      <c r="G171" s="44" t="s">
        <v>124</v>
      </c>
      <c r="H171" s="43" t="s">
        <v>2751</v>
      </c>
      <c r="I171" s="43" t="s">
        <v>2749</v>
      </c>
      <c r="J171" s="44" t="s">
        <v>393</v>
      </c>
      <c r="K171" s="43" t="s">
        <v>286</v>
      </c>
      <c r="L171" s="44" t="s">
        <v>34</v>
      </c>
      <c r="M171" s="44">
        <v>0</v>
      </c>
      <c r="N171" s="45">
        <v>39911</v>
      </c>
      <c r="O171"/>
      <c r="P171"/>
      <c r="Q171"/>
      <c r="R171"/>
      <c r="S171"/>
      <c r="T171"/>
      <c r="U171"/>
    </row>
    <row r="172" spans="1:21" x14ac:dyDescent="0.2">
      <c r="A172" s="59" t="s">
        <v>1996</v>
      </c>
      <c r="B172" s="39" t="s">
        <v>722</v>
      </c>
      <c r="C172" s="39" t="s">
        <v>387</v>
      </c>
      <c r="D172" s="40">
        <v>38919</v>
      </c>
      <c r="E172" s="41">
        <v>90</v>
      </c>
      <c r="F172" s="46">
        <v>90</v>
      </c>
      <c r="G172" s="44" t="s">
        <v>124</v>
      </c>
      <c r="H172" s="43" t="s">
        <v>2728</v>
      </c>
      <c r="I172" s="43" t="s">
        <v>2713</v>
      </c>
      <c r="J172" s="44" t="s">
        <v>531</v>
      </c>
      <c r="K172" s="43" t="s">
        <v>390</v>
      </c>
      <c r="L172" s="44" t="s">
        <v>157</v>
      </c>
      <c r="M172" s="44">
        <v>0</v>
      </c>
      <c r="N172" s="45">
        <v>41608</v>
      </c>
      <c r="U172"/>
    </row>
    <row r="173" spans="1:21" customFormat="1" ht="15" customHeight="1" x14ac:dyDescent="0.2">
      <c r="A173" s="59" t="s">
        <v>1997</v>
      </c>
      <c r="B173" s="39" t="s">
        <v>291</v>
      </c>
      <c r="C173" s="39" t="s">
        <v>380</v>
      </c>
      <c r="D173" s="40">
        <v>38919</v>
      </c>
      <c r="E173" s="41">
        <v>99</v>
      </c>
      <c r="F173" s="46">
        <v>99</v>
      </c>
      <c r="G173" s="44" t="s">
        <v>124</v>
      </c>
      <c r="H173" s="43" t="s">
        <v>2728</v>
      </c>
      <c r="I173" s="43" t="s">
        <v>2713</v>
      </c>
      <c r="J173" s="44"/>
      <c r="K173" s="43" t="s">
        <v>334</v>
      </c>
      <c r="L173" s="44" t="s">
        <v>157</v>
      </c>
      <c r="M173" s="44">
        <v>0</v>
      </c>
      <c r="N173" s="45">
        <v>39153</v>
      </c>
    </row>
    <row r="174" spans="1:21" customFormat="1" ht="15" customHeight="1" x14ac:dyDescent="0.2">
      <c r="A174" s="59" t="s">
        <v>1998</v>
      </c>
      <c r="B174" s="39" t="s">
        <v>382</v>
      </c>
      <c r="C174" s="39" t="s">
        <v>383</v>
      </c>
      <c r="D174" s="40">
        <v>38952</v>
      </c>
      <c r="E174" s="41">
        <v>50</v>
      </c>
      <c r="F174" s="46">
        <v>90</v>
      </c>
      <c r="G174" s="44" t="s">
        <v>339</v>
      </c>
      <c r="H174" s="43" t="s">
        <v>2719</v>
      </c>
      <c r="I174" s="43" t="s">
        <v>2713</v>
      </c>
      <c r="J174" s="44" t="s">
        <v>533</v>
      </c>
      <c r="K174" s="43" t="s">
        <v>647</v>
      </c>
      <c r="L174" s="44" t="s">
        <v>86</v>
      </c>
      <c r="M174" s="44">
        <v>0</v>
      </c>
      <c r="N174" s="45">
        <v>42216</v>
      </c>
      <c r="O174" s="4"/>
      <c r="P174" s="4"/>
      <c r="Q174" s="4"/>
      <c r="R174" s="4"/>
      <c r="S174" s="4"/>
      <c r="T174" s="4"/>
    </row>
    <row r="175" spans="1:21" customFormat="1" ht="14.45" customHeight="1" x14ac:dyDescent="0.2">
      <c r="A175" s="59" t="s">
        <v>1999</v>
      </c>
      <c r="B175" s="39" t="s">
        <v>444</v>
      </c>
      <c r="C175" s="39" t="s">
        <v>445</v>
      </c>
      <c r="D175" s="40">
        <v>38965</v>
      </c>
      <c r="E175" s="41">
        <v>6.4</v>
      </c>
      <c r="F175" s="46">
        <v>6.4</v>
      </c>
      <c r="G175" s="44" t="s">
        <v>440</v>
      </c>
      <c r="H175" s="43" t="s">
        <v>2756</v>
      </c>
      <c r="I175" s="43" t="s">
        <v>2713</v>
      </c>
      <c r="J175" s="44" t="s">
        <v>393</v>
      </c>
      <c r="K175" s="43" t="s">
        <v>324</v>
      </c>
      <c r="L175" s="44" t="s">
        <v>34</v>
      </c>
      <c r="M175" s="44">
        <v>0</v>
      </c>
      <c r="N175" s="45">
        <v>39553</v>
      </c>
      <c r="U175" s="4"/>
    </row>
    <row r="176" spans="1:21" customFormat="1" ht="14.45" customHeight="1" x14ac:dyDescent="0.2">
      <c r="A176" s="59" t="s">
        <v>2000</v>
      </c>
      <c r="B176" s="39" t="s">
        <v>446</v>
      </c>
      <c r="C176" s="39" t="s">
        <v>583</v>
      </c>
      <c r="D176" s="40">
        <v>38968</v>
      </c>
      <c r="E176" s="41">
        <v>9.3000000000000007</v>
      </c>
      <c r="F176" s="46">
        <v>9.3000000000000007</v>
      </c>
      <c r="G176" s="44" t="s">
        <v>494</v>
      </c>
      <c r="H176" s="43" t="s">
        <v>2755</v>
      </c>
      <c r="I176" s="43" t="s">
        <v>2713</v>
      </c>
      <c r="J176" s="44" t="s">
        <v>471</v>
      </c>
      <c r="K176" s="43" t="s">
        <v>447</v>
      </c>
      <c r="L176" s="44" t="s">
        <v>157</v>
      </c>
      <c r="M176" s="44">
        <v>0</v>
      </c>
      <c r="N176" s="45">
        <v>40421</v>
      </c>
      <c r="U176" s="4"/>
    </row>
    <row r="177" spans="1:21" customFormat="1" ht="14.45" customHeight="1" x14ac:dyDescent="0.2">
      <c r="A177" s="59" t="s">
        <v>2001</v>
      </c>
      <c r="B177" s="39" t="s">
        <v>448</v>
      </c>
      <c r="C177" s="39" t="s">
        <v>449</v>
      </c>
      <c r="D177" s="40">
        <v>38975</v>
      </c>
      <c r="E177" s="41">
        <v>2.2000000000000002</v>
      </c>
      <c r="F177" s="46">
        <v>2.2000000000000002</v>
      </c>
      <c r="G177" s="44" t="s">
        <v>340</v>
      </c>
      <c r="H177" s="43" t="s">
        <v>2737</v>
      </c>
      <c r="I177" s="43" t="s">
        <v>2713</v>
      </c>
      <c r="J177" s="44" t="s">
        <v>530</v>
      </c>
      <c r="K177" s="43" t="s">
        <v>381</v>
      </c>
      <c r="L177" s="44" t="s">
        <v>157</v>
      </c>
      <c r="M177" s="44">
        <v>0</v>
      </c>
      <c r="N177" s="45">
        <v>39639</v>
      </c>
      <c r="U177" s="4"/>
    </row>
    <row r="178" spans="1:21" customFormat="1" ht="15" customHeight="1" x14ac:dyDescent="0.2">
      <c r="A178" s="59" t="s">
        <v>2002</v>
      </c>
      <c r="B178" s="39" t="s">
        <v>335</v>
      </c>
      <c r="C178" s="39" t="s">
        <v>384</v>
      </c>
      <c r="D178" s="40">
        <v>38968</v>
      </c>
      <c r="E178" s="41">
        <v>1200</v>
      </c>
      <c r="F178" s="46">
        <v>1200</v>
      </c>
      <c r="G178" s="44" t="s">
        <v>339</v>
      </c>
      <c r="H178" s="43" t="s">
        <v>3156</v>
      </c>
      <c r="I178" s="43" t="s">
        <v>2713</v>
      </c>
      <c r="J178" s="44"/>
      <c r="K178" s="43" t="s">
        <v>2003</v>
      </c>
      <c r="L178" s="44" t="s">
        <v>86</v>
      </c>
      <c r="M178" s="44">
        <v>0</v>
      </c>
      <c r="N178" s="45">
        <v>39035</v>
      </c>
    </row>
    <row r="179" spans="1:21" ht="15" customHeight="1" x14ac:dyDescent="0.2">
      <c r="A179" s="59" t="s">
        <v>2004</v>
      </c>
      <c r="B179" s="39" t="s">
        <v>556</v>
      </c>
      <c r="C179" s="39" t="s">
        <v>388</v>
      </c>
      <c r="D179" s="40">
        <v>38988</v>
      </c>
      <c r="E179" s="41">
        <v>120</v>
      </c>
      <c r="F179" s="46">
        <v>120</v>
      </c>
      <c r="G179" s="44" t="s">
        <v>124</v>
      </c>
      <c r="H179" s="43" t="s">
        <v>2754</v>
      </c>
      <c r="I179" s="43" t="s">
        <v>2713</v>
      </c>
      <c r="J179" s="44" t="s">
        <v>531</v>
      </c>
      <c r="K179" s="43" t="s">
        <v>402</v>
      </c>
      <c r="L179" s="44" t="s">
        <v>157</v>
      </c>
      <c r="M179" s="44">
        <v>0</v>
      </c>
      <c r="N179" s="45">
        <v>39735</v>
      </c>
      <c r="O179"/>
      <c r="P179"/>
      <c r="Q179"/>
      <c r="R179"/>
      <c r="S179"/>
      <c r="T179"/>
    </row>
    <row r="180" spans="1:21" customFormat="1" ht="14.45" customHeight="1" x14ac:dyDescent="0.2">
      <c r="A180" s="59" t="s">
        <v>2005</v>
      </c>
      <c r="B180" s="39" t="s">
        <v>450</v>
      </c>
      <c r="C180" s="39" t="s">
        <v>451</v>
      </c>
      <c r="D180" s="40">
        <v>39020</v>
      </c>
      <c r="E180" s="41">
        <v>7</v>
      </c>
      <c r="F180" s="46">
        <v>7</v>
      </c>
      <c r="G180" s="44" t="s">
        <v>494</v>
      </c>
      <c r="H180" s="43" t="s">
        <v>2741</v>
      </c>
      <c r="I180" s="43" t="s">
        <v>2713</v>
      </c>
      <c r="J180" s="44" t="s">
        <v>531</v>
      </c>
      <c r="K180" s="43" t="s">
        <v>452</v>
      </c>
      <c r="L180" s="44" t="s">
        <v>157</v>
      </c>
      <c r="M180" s="44">
        <v>0</v>
      </c>
      <c r="N180" s="45">
        <v>41425</v>
      </c>
      <c r="O180" s="4"/>
      <c r="P180" s="4"/>
      <c r="Q180" s="4"/>
      <c r="R180" s="4"/>
      <c r="S180" s="4"/>
      <c r="T180" s="4"/>
      <c r="U180" s="4"/>
    </row>
    <row r="181" spans="1:21" ht="15" customHeight="1" x14ac:dyDescent="0.2">
      <c r="A181" s="59" t="s">
        <v>2006</v>
      </c>
      <c r="B181" s="39" t="s">
        <v>391</v>
      </c>
      <c r="C181" s="39" t="s">
        <v>392</v>
      </c>
      <c r="D181" s="40">
        <v>39020</v>
      </c>
      <c r="E181" s="41">
        <v>516</v>
      </c>
      <c r="F181" s="46">
        <v>536</v>
      </c>
      <c r="G181" s="44" t="s">
        <v>393</v>
      </c>
      <c r="H181" s="43" t="s">
        <v>2753</v>
      </c>
      <c r="I181" s="43" t="s">
        <v>2713</v>
      </c>
      <c r="J181" s="44"/>
      <c r="K181" s="43" t="s">
        <v>381</v>
      </c>
      <c r="L181" s="44" t="s">
        <v>34</v>
      </c>
      <c r="M181" s="44">
        <v>0</v>
      </c>
      <c r="N181" s="45">
        <v>39196</v>
      </c>
      <c r="O181"/>
      <c r="P181"/>
      <c r="Q181"/>
      <c r="R181"/>
      <c r="S181"/>
      <c r="T181"/>
      <c r="U181"/>
    </row>
    <row r="182" spans="1:21" customFormat="1" ht="15" customHeight="1" x14ac:dyDescent="0.2">
      <c r="A182" s="59" t="s">
        <v>2007</v>
      </c>
      <c r="B182" s="39" t="s">
        <v>394</v>
      </c>
      <c r="C182" s="39" t="s">
        <v>395</v>
      </c>
      <c r="D182" s="40">
        <v>39022</v>
      </c>
      <c r="E182" s="41">
        <v>687</v>
      </c>
      <c r="F182" s="46">
        <v>706</v>
      </c>
      <c r="G182" s="44" t="s">
        <v>393</v>
      </c>
      <c r="H182" s="43" t="s">
        <v>2722</v>
      </c>
      <c r="I182" s="43" t="s">
        <v>2713</v>
      </c>
      <c r="J182" s="44"/>
      <c r="K182" s="43" t="s">
        <v>399</v>
      </c>
      <c r="L182" s="44" t="s">
        <v>34</v>
      </c>
      <c r="M182" s="44">
        <v>0</v>
      </c>
      <c r="N182" s="45">
        <v>39168</v>
      </c>
      <c r="U182" s="4"/>
    </row>
    <row r="183" spans="1:21" customFormat="1" ht="15" customHeight="1" x14ac:dyDescent="0.2">
      <c r="A183" s="59" t="s">
        <v>2008</v>
      </c>
      <c r="B183" s="39" t="s">
        <v>397</v>
      </c>
      <c r="C183" s="39" t="s">
        <v>396</v>
      </c>
      <c r="D183" s="40">
        <v>39023</v>
      </c>
      <c r="E183" s="41">
        <v>30</v>
      </c>
      <c r="F183" s="46">
        <v>30</v>
      </c>
      <c r="G183" s="44" t="s">
        <v>340</v>
      </c>
      <c r="H183" s="43"/>
      <c r="I183" s="43" t="s">
        <v>2713</v>
      </c>
      <c r="J183" s="44"/>
      <c r="K183" s="43" t="s">
        <v>398</v>
      </c>
      <c r="L183" s="44"/>
      <c r="M183" s="44">
        <v>0</v>
      </c>
      <c r="N183" s="45">
        <v>39042</v>
      </c>
    </row>
    <row r="184" spans="1:21" customFormat="1" ht="15" customHeight="1" x14ac:dyDescent="0.2">
      <c r="A184" s="59" t="s">
        <v>2009</v>
      </c>
      <c r="B184" s="39" t="s">
        <v>400</v>
      </c>
      <c r="C184" s="39" t="s">
        <v>401</v>
      </c>
      <c r="D184" s="40">
        <v>39023</v>
      </c>
      <c r="E184" s="41">
        <v>6.4</v>
      </c>
      <c r="F184" s="46">
        <v>6.4</v>
      </c>
      <c r="G184" s="44" t="s">
        <v>440</v>
      </c>
      <c r="H184" s="43" t="s">
        <v>401</v>
      </c>
      <c r="I184" s="43" t="s">
        <v>2713</v>
      </c>
      <c r="J184" s="44" t="s">
        <v>393</v>
      </c>
      <c r="K184" s="43" t="s">
        <v>506</v>
      </c>
      <c r="L184" s="44" t="s">
        <v>34</v>
      </c>
      <c r="M184" s="44">
        <v>0</v>
      </c>
      <c r="N184" s="45">
        <v>41029</v>
      </c>
    </row>
    <row r="185" spans="1:21" customFormat="1" ht="14.45" customHeight="1" x14ac:dyDescent="0.2">
      <c r="A185" s="59" t="s">
        <v>2010</v>
      </c>
      <c r="B185" s="39" t="s">
        <v>404</v>
      </c>
      <c r="C185" s="39" t="s">
        <v>405</v>
      </c>
      <c r="D185" s="40">
        <v>39063</v>
      </c>
      <c r="E185" s="41">
        <v>120</v>
      </c>
      <c r="F185" s="46">
        <v>120</v>
      </c>
      <c r="G185" s="44" t="s">
        <v>124</v>
      </c>
      <c r="H185" s="43" t="s">
        <v>2750</v>
      </c>
      <c r="I185" s="43" t="s">
        <v>2749</v>
      </c>
      <c r="J185" s="44"/>
      <c r="K185" s="43" t="s">
        <v>286</v>
      </c>
      <c r="L185" s="44" t="s">
        <v>34</v>
      </c>
      <c r="M185" s="44">
        <v>0</v>
      </c>
      <c r="N185" s="45">
        <v>39371</v>
      </c>
    </row>
    <row r="186" spans="1:21" customFormat="1" ht="14.45" customHeight="1" x14ac:dyDescent="0.2">
      <c r="A186" s="59" t="s">
        <v>2011</v>
      </c>
      <c r="B186" s="39" t="s">
        <v>404</v>
      </c>
      <c r="C186" s="39" t="s">
        <v>406</v>
      </c>
      <c r="D186" s="40">
        <v>39065</v>
      </c>
      <c r="E186" s="41">
        <v>150</v>
      </c>
      <c r="F186" s="46">
        <v>150</v>
      </c>
      <c r="G186" s="44" t="s">
        <v>124</v>
      </c>
      <c r="H186" s="43" t="s">
        <v>2752</v>
      </c>
      <c r="I186" s="43" t="s">
        <v>2713</v>
      </c>
      <c r="J186" s="44" t="s">
        <v>393</v>
      </c>
      <c r="K186" s="43" t="s">
        <v>407</v>
      </c>
      <c r="L186" s="44" t="s">
        <v>34</v>
      </c>
      <c r="M186" s="44">
        <v>0</v>
      </c>
      <c r="N186" s="45">
        <v>40663</v>
      </c>
    </row>
    <row r="187" spans="1:21" customFormat="1" ht="14.45" customHeight="1" x14ac:dyDescent="0.2">
      <c r="A187" s="59" t="s">
        <v>2012</v>
      </c>
      <c r="B187" s="39" t="s">
        <v>409</v>
      </c>
      <c r="C187" s="39" t="s">
        <v>410</v>
      </c>
      <c r="D187" s="40">
        <v>39091</v>
      </c>
      <c r="E187" s="41">
        <v>72.5</v>
      </c>
      <c r="F187" s="46">
        <v>72.5</v>
      </c>
      <c r="G187" s="44" t="s">
        <v>124</v>
      </c>
      <c r="H187" s="43" t="s">
        <v>2741</v>
      </c>
      <c r="I187" s="43" t="s">
        <v>2713</v>
      </c>
      <c r="J187" s="44" t="s">
        <v>531</v>
      </c>
      <c r="K187" s="43" t="s">
        <v>2013</v>
      </c>
      <c r="L187" s="44" t="s">
        <v>157</v>
      </c>
      <c r="M187" s="44">
        <v>0</v>
      </c>
      <c r="N187" s="45">
        <v>42063</v>
      </c>
      <c r="O187" s="4"/>
      <c r="P187" s="4"/>
      <c r="Q187" s="4"/>
      <c r="R187" s="4"/>
      <c r="S187" s="4"/>
      <c r="T187" s="4"/>
    </row>
    <row r="188" spans="1:21" ht="15" customHeight="1" x14ac:dyDescent="0.2">
      <c r="A188" s="59" t="s">
        <v>2014</v>
      </c>
      <c r="B188" s="39" t="s">
        <v>411</v>
      </c>
      <c r="C188" s="39" t="s">
        <v>413</v>
      </c>
      <c r="D188" s="40">
        <v>39112</v>
      </c>
      <c r="E188" s="41">
        <v>75</v>
      </c>
      <c r="F188" s="46">
        <v>75</v>
      </c>
      <c r="G188" s="44" t="s">
        <v>124</v>
      </c>
      <c r="H188" s="43" t="s">
        <v>2739</v>
      </c>
      <c r="I188" s="43" t="s">
        <v>2713</v>
      </c>
      <c r="J188" s="44" t="s">
        <v>531</v>
      </c>
      <c r="K188" s="43" t="s">
        <v>2015</v>
      </c>
      <c r="L188" s="44" t="s">
        <v>157</v>
      </c>
      <c r="M188" s="44">
        <v>0</v>
      </c>
      <c r="N188" s="45">
        <v>40025</v>
      </c>
      <c r="O188"/>
      <c r="P188"/>
      <c r="Q188"/>
      <c r="R188"/>
      <c r="S188"/>
      <c r="T188"/>
    </row>
    <row r="189" spans="1:21" customFormat="1" ht="15" customHeight="1" x14ac:dyDescent="0.2">
      <c r="A189" s="59" t="s">
        <v>2016</v>
      </c>
      <c r="B189" s="39" t="s">
        <v>412</v>
      </c>
      <c r="C189" s="39" t="s">
        <v>414</v>
      </c>
      <c r="D189" s="40">
        <v>39112</v>
      </c>
      <c r="E189" s="41">
        <v>100</v>
      </c>
      <c r="F189" s="46">
        <v>100</v>
      </c>
      <c r="G189" s="44" t="s">
        <v>124</v>
      </c>
      <c r="H189" s="43" t="s">
        <v>2727</v>
      </c>
      <c r="I189" s="43" t="s">
        <v>2713</v>
      </c>
      <c r="J189" s="44" t="s">
        <v>393</v>
      </c>
      <c r="K189" s="43" t="s">
        <v>2017</v>
      </c>
      <c r="L189" s="44" t="s">
        <v>34</v>
      </c>
      <c r="M189" s="44">
        <v>0</v>
      </c>
      <c r="N189" s="45">
        <v>40938</v>
      </c>
    </row>
    <row r="190" spans="1:21" customFormat="1" ht="14.45" customHeight="1" x14ac:dyDescent="0.2">
      <c r="A190" s="59" t="s">
        <v>2018</v>
      </c>
      <c r="B190" s="39" t="s">
        <v>431</v>
      </c>
      <c r="C190" s="39" t="s">
        <v>453</v>
      </c>
      <c r="D190" s="40">
        <v>39113</v>
      </c>
      <c r="E190" s="41">
        <v>6.4</v>
      </c>
      <c r="F190" s="46">
        <v>6.4</v>
      </c>
      <c r="G190" s="44" t="s">
        <v>440</v>
      </c>
      <c r="H190" s="43" t="s">
        <v>2722</v>
      </c>
      <c r="I190" s="43" t="s">
        <v>2713</v>
      </c>
      <c r="J190" s="44" t="s">
        <v>531</v>
      </c>
      <c r="K190" s="43" t="s">
        <v>2019</v>
      </c>
      <c r="L190" s="44" t="s">
        <v>157</v>
      </c>
      <c r="M190" s="44">
        <v>0</v>
      </c>
      <c r="N190" s="45">
        <v>41394</v>
      </c>
      <c r="O190" s="4"/>
      <c r="P190" s="4"/>
      <c r="Q190" s="4"/>
      <c r="R190" s="4"/>
      <c r="S190" s="4"/>
      <c r="T190" s="4"/>
      <c r="U190" s="4"/>
    </row>
    <row r="191" spans="1:21" customFormat="1" ht="14.45" customHeight="1" x14ac:dyDescent="0.2">
      <c r="A191" s="59" t="s">
        <v>2020</v>
      </c>
      <c r="B191" s="39" t="s">
        <v>291</v>
      </c>
      <c r="C191" s="39" t="s">
        <v>422</v>
      </c>
      <c r="D191" s="40">
        <v>39139</v>
      </c>
      <c r="E191" s="41">
        <v>100</v>
      </c>
      <c r="F191" s="46">
        <v>100</v>
      </c>
      <c r="G191" s="44" t="s">
        <v>124</v>
      </c>
      <c r="H191" s="43" t="s">
        <v>2757</v>
      </c>
      <c r="I191" s="43" t="s">
        <v>2713</v>
      </c>
      <c r="J191" s="44" t="s">
        <v>531</v>
      </c>
      <c r="K191" s="43" t="s">
        <v>423</v>
      </c>
      <c r="L191" s="44" t="s">
        <v>157</v>
      </c>
      <c r="M191" s="44">
        <v>0</v>
      </c>
      <c r="N191" s="45">
        <v>40025</v>
      </c>
    </row>
    <row r="192" spans="1:21" customFormat="1" ht="15" customHeight="1" x14ac:dyDescent="0.2">
      <c r="A192" s="59" t="s">
        <v>2021</v>
      </c>
      <c r="B192" s="39" t="s">
        <v>508</v>
      </c>
      <c r="C192" s="39" t="s">
        <v>427</v>
      </c>
      <c r="D192" s="40">
        <v>39156</v>
      </c>
      <c r="E192" s="41">
        <v>19.5</v>
      </c>
      <c r="F192" s="46">
        <v>19.5</v>
      </c>
      <c r="G192" s="44" t="s">
        <v>124</v>
      </c>
      <c r="H192" s="43" t="s">
        <v>2738</v>
      </c>
      <c r="I192" s="43" t="s">
        <v>2713</v>
      </c>
      <c r="J192" s="44" t="s">
        <v>420</v>
      </c>
      <c r="K192" s="43" t="s">
        <v>702</v>
      </c>
      <c r="L192" s="44" t="s">
        <v>34</v>
      </c>
      <c r="M192" s="44">
        <v>0</v>
      </c>
      <c r="N192" s="45">
        <v>41152</v>
      </c>
    </row>
    <row r="193" spans="1:21" customFormat="1" ht="15" customHeight="1" x14ac:dyDescent="0.2">
      <c r="A193" s="59" t="s">
        <v>2022</v>
      </c>
      <c r="B193" s="39" t="s">
        <v>191</v>
      </c>
      <c r="C193" s="39" t="s">
        <v>428</v>
      </c>
      <c r="D193" s="40">
        <v>39181</v>
      </c>
      <c r="E193" s="42">
        <v>6</v>
      </c>
      <c r="F193" s="48">
        <v>6</v>
      </c>
      <c r="G193" s="44" t="s">
        <v>318</v>
      </c>
      <c r="H193" s="43" t="s">
        <v>2758</v>
      </c>
      <c r="I193" s="43" t="s">
        <v>2713</v>
      </c>
      <c r="J193" s="44"/>
      <c r="K193" s="43" t="s">
        <v>784</v>
      </c>
      <c r="L193" s="44" t="s">
        <v>34</v>
      </c>
      <c r="M193" s="44">
        <v>0</v>
      </c>
      <c r="N193" s="45">
        <v>39238</v>
      </c>
    </row>
    <row r="194" spans="1:21" customFormat="1" ht="15" customHeight="1" x14ac:dyDescent="0.2">
      <c r="A194" s="59" t="s">
        <v>2023</v>
      </c>
      <c r="B194" s="39" t="s">
        <v>429</v>
      </c>
      <c r="C194" s="39" t="s">
        <v>430</v>
      </c>
      <c r="D194" s="40">
        <v>39184</v>
      </c>
      <c r="E194" s="41">
        <v>100</v>
      </c>
      <c r="F194" s="46">
        <v>230</v>
      </c>
      <c r="G194" s="44" t="s">
        <v>339</v>
      </c>
      <c r="H194" s="43" t="s">
        <v>2719</v>
      </c>
      <c r="I194" s="43" t="s">
        <v>2713</v>
      </c>
      <c r="J194" s="44" t="s">
        <v>533</v>
      </c>
      <c r="K194" s="43" t="s">
        <v>662</v>
      </c>
      <c r="L194" s="44" t="s">
        <v>403</v>
      </c>
      <c r="M194" s="44">
        <v>0</v>
      </c>
      <c r="N194" s="45">
        <v>40268</v>
      </c>
    </row>
    <row r="195" spans="1:21" customFormat="1" ht="15" customHeight="1" x14ac:dyDescent="0.2">
      <c r="A195" s="59" t="s">
        <v>2024</v>
      </c>
      <c r="B195" s="39" t="s">
        <v>391</v>
      </c>
      <c r="C195" s="39" t="s">
        <v>392</v>
      </c>
      <c r="D195" s="40">
        <v>39185</v>
      </c>
      <c r="E195" s="41">
        <v>650</v>
      </c>
      <c r="F195" s="46">
        <v>650</v>
      </c>
      <c r="G195" s="44" t="s">
        <v>393</v>
      </c>
      <c r="H195" s="43" t="s">
        <v>2753</v>
      </c>
      <c r="I195" s="43" t="s">
        <v>2713</v>
      </c>
      <c r="J195" s="44"/>
      <c r="K195" s="43" t="s">
        <v>2025</v>
      </c>
      <c r="L195" s="44" t="s">
        <v>34</v>
      </c>
      <c r="M195" s="44">
        <v>0</v>
      </c>
      <c r="N195" s="45">
        <v>39527</v>
      </c>
    </row>
    <row r="196" spans="1:21" x14ac:dyDescent="0.2">
      <c r="A196" s="59" t="s">
        <v>2026</v>
      </c>
      <c r="B196" s="39" t="s">
        <v>434</v>
      </c>
      <c r="C196" s="39" t="s">
        <v>435</v>
      </c>
      <c r="D196" s="40">
        <v>39234</v>
      </c>
      <c r="E196" s="41">
        <v>250</v>
      </c>
      <c r="F196" s="46">
        <v>250</v>
      </c>
      <c r="G196" s="44" t="s">
        <v>124</v>
      </c>
      <c r="H196" s="43" t="s">
        <v>2740</v>
      </c>
      <c r="I196" s="43" t="s">
        <v>2713</v>
      </c>
      <c r="J196" s="44" t="s">
        <v>530</v>
      </c>
      <c r="K196" s="43" t="s">
        <v>678</v>
      </c>
      <c r="L196" s="44" t="s">
        <v>157</v>
      </c>
      <c r="M196" s="44">
        <v>0</v>
      </c>
      <c r="N196" s="45">
        <v>40969</v>
      </c>
      <c r="O196"/>
      <c r="P196"/>
      <c r="Q196"/>
      <c r="R196"/>
      <c r="S196"/>
      <c r="T196"/>
    </row>
    <row r="197" spans="1:21" x14ac:dyDescent="0.2">
      <c r="A197" s="59" t="s">
        <v>2027</v>
      </c>
      <c r="B197" s="39" t="s">
        <v>191</v>
      </c>
      <c r="C197" s="39" t="s">
        <v>437</v>
      </c>
      <c r="D197" s="40">
        <v>39244</v>
      </c>
      <c r="E197" s="41">
        <v>300</v>
      </c>
      <c r="F197" s="46">
        <v>325</v>
      </c>
      <c r="G197" s="44" t="s">
        <v>339</v>
      </c>
      <c r="H197" s="43" t="s">
        <v>2758</v>
      </c>
      <c r="I197" s="43" t="s">
        <v>2713</v>
      </c>
      <c r="J197" s="44" t="s">
        <v>540</v>
      </c>
      <c r="K197" s="43" t="s">
        <v>439</v>
      </c>
      <c r="L197" s="44" t="s">
        <v>191</v>
      </c>
      <c r="M197" s="44">
        <v>0</v>
      </c>
      <c r="N197" s="45">
        <v>41029</v>
      </c>
      <c r="O197"/>
      <c r="P197"/>
      <c r="Q197"/>
      <c r="R197"/>
      <c r="S197"/>
      <c r="T197"/>
      <c r="U197"/>
    </row>
    <row r="198" spans="1:21" x14ac:dyDescent="0.2">
      <c r="A198" s="59" t="s">
        <v>2028</v>
      </c>
      <c r="B198" s="39" t="s">
        <v>191</v>
      </c>
      <c r="C198" s="39" t="s">
        <v>438</v>
      </c>
      <c r="D198" s="40">
        <v>39244</v>
      </c>
      <c r="E198" s="41">
        <v>300</v>
      </c>
      <c r="F198" s="46">
        <v>300</v>
      </c>
      <c r="G198" s="44" t="s">
        <v>393</v>
      </c>
      <c r="H198" s="43" t="s">
        <v>2758</v>
      </c>
      <c r="I198" s="43" t="s">
        <v>2713</v>
      </c>
      <c r="J198" s="44"/>
      <c r="K198" s="43" t="s">
        <v>439</v>
      </c>
      <c r="L198" s="44" t="s">
        <v>34</v>
      </c>
      <c r="M198" s="44">
        <v>0</v>
      </c>
      <c r="N198" s="45">
        <v>39357</v>
      </c>
      <c r="O198"/>
      <c r="P198"/>
      <c r="Q198"/>
      <c r="R198"/>
      <c r="S198"/>
      <c r="T198"/>
      <c r="U198"/>
    </row>
    <row r="199" spans="1:21" customFormat="1" ht="15" customHeight="1" x14ac:dyDescent="0.2">
      <c r="A199" s="59" t="s">
        <v>2029</v>
      </c>
      <c r="B199" s="39" t="s">
        <v>441</v>
      </c>
      <c r="C199" s="39" t="s">
        <v>442</v>
      </c>
      <c r="D199" s="40">
        <v>39253</v>
      </c>
      <c r="E199" s="41">
        <v>250</v>
      </c>
      <c r="F199" s="46">
        <v>250</v>
      </c>
      <c r="G199" s="44" t="s">
        <v>420</v>
      </c>
      <c r="H199" s="43" t="s">
        <v>320</v>
      </c>
      <c r="I199" s="43" t="s">
        <v>2781</v>
      </c>
      <c r="J199" s="44"/>
      <c r="K199" s="43" t="s">
        <v>408</v>
      </c>
      <c r="L199" s="44" t="s">
        <v>403</v>
      </c>
      <c r="M199" s="44">
        <v>0</v>
      </c>
      <c r="N199" s="45">
        <v>39357</v>
      </c>
      <c r="U199" s="4"/>
    </row>
    <row r="200" spans="1:21" ht="15" customHeight="1" x14ac:dyDescent="0.2">
      <c r="A200" s="59" t="s">
        <v>2030</v>
      </c>
      <c r="B200" s="39" t="s">
        <v>455</v>
      </c>
      <c r="C200" s="39" t="s">
        <v>456</v>
      </c>
      <c r="D200" s="40">
        <v>39295</v>
      </c>
      <c r="E200" s="41">
        <v>350</v>
      </c>
      <c r="F200" s="46">
        <v>350</v>
      </c>
      <c r="G200" s="44" t="s">
        <v>253</v>
      </c>
      <c r="H200" s="43" t="s">
        <v>2713</v>
      </c>
      <c r="I200" s="43" t="s">
        <v>2713</v>
      </c>
      <c r="J200" s="44" t="s">
        <v>533</v>
      </c>
      <c r="K200" s="43" t="s">
        <v>457</v>
      </c>
      <c r="L200" s="44" t="s">
        <v>403</v>
      </c>
      <c r="M200" s="44">
        <v>0</v>
      </c>
      <c r="N200" s="45">
        <v>39639</v>
      </c>
      <c r="O200"/>
      <c r="P200"/>
      <c r="Q200"/>
      <c r="R200"/>
      <c r="S200"/>
      <c r="T200"/>
      <c r="U200"/>
    </row>
    <row r="201" spans="1:21" customFormat="1" ht="14.45" customHeight="1" x14ac:dyDescent="0.2">
      <c r="A201" s="59" t="s">
        <v>2031</v>
      </c>
      <c r="B201" s="39" t="s">
        <v>426</v>
      </c>
      <c r="C201" s="39" t="s">
        <v>458</v>
      </c>
      <c r="D201" s="40">
        <v>39307</v>
      </c>
      <c r="E201" s="54" t="s">
        <v>381</v>
      </c>
      <c r="F201" s="51" t="s">
        <v>381</v>
      </c>
      <c r="G201" s="44" t="s">
        <v>256</v>
      </c>
      <c r="H201" s="43" t="s">
        <v>2735</v>
      </c>
      <c r="I201" s="43" t="s">
        <v>2713</v>
      </c>
      <c r="J201" s="44" t="s">
        <v>420</v>
      </c>
      <c r="K201" s="43" t="s">
        <v>462</v>
      </c>
      <c r="L201" s="44" t="s">
        <v>41</v>
      </c>
      <c r="M201" s="44">
        <v>0</v>
      </c>
      <c r="N201" s="45">
        <v>41090</v>
      </c>
    </row>
    <row r="202" spans="1:21" x14ac:dyDescent="0.2">
      <c r="A202" s="59" t="s">
        <v>2032</v>
      </c>
      <c r="B202" s="39" t="s">
        <v>635</v>
      </c>
      <c r="C202" s="39" t="s">
        <v>460</v>
      </c>
      <c r="D202" s="40">
        <v>39308</v>
      </c>
      <c r="E202" s="41">
        <v>124.2</v>
      </c>
      <c r="F202" s="46">
        <v>124.2</v>
      </c>
      <c r="G202" s="44" t="s">
        <v>124</v>
      </c>
      <c r="H202" s="43" t="s">
        <v>2835</v>
      </c>
      <c r="I202" s="43" t="s">
        <v>2713</v>
      </c>
      <c r="J202" s="44" t="s">
        <v>531</v>
      </c>
      <c r="K202" s="43" t="s">
        <v>461</v>
      </c>
      <c r="L202" s="44" t="s">
        <v>157</v>
      </c>
      <c r="M202" s="44">
        <v>0</v>
      </c>
      <c r="N202" s="45">
        <v>40969</v>
      </c>
      <c r="O202"/>
      <c r="P202"/>
      <c r="Q202"/>
      <c r="R202"/>
      <c r="S202"/>
      <c r="T202"/>
      <c r="U202"/>
    </row>
    <row r="203" spans="1:21" customFormat="1" ht="15" customHeight="1" x14ac:dyDescent="0.2">
      <c r="A203" s="59" t="s">
        <v>2033</v>
      </c>
      <c r="B203" s="39" t="s">
        <v>463</v>
      </c>
      <c r="C203" s="39" t="s">
        <v>475</v>
      </c>
      <c r="D203" s="40">
        <v>39317</v>
      </c>
      <c r="E203" s="41">
        <v>550</v>
      </c>
      <c r="F203" s="46">
        <v>550</v>
      </c>
      <c r="G203" s="44" t="s">
        <v>339</v>
      </c>
      <c r="H203" s="43" t="s">
        <v>3156</v>
      </c>
      <c r="I203" s="43" t="s">
        <v>2713</v>
      </c>
      <c r="J203" s="44" t="s">
        <v>533</v>
      </c>
      <c r="K203" s="43" t="s">
        <v>283</v>
      </c>
      <c r="L203" s="44" t="s">
        <v>403</v>
      </c>
      <c r="M203" s="44">
        <v>0</v>
      </c>
      <c r="N203" s="45">
        <v>39630</v>
      </c>
    </row>
    <row r="204" spans="1:21" ht="15" customHeight="1" x14ac:dyDescent="0.2">
      <c r="A204" s="59" t="s">
        <v>2034</v>
      </c>
      <c r="B204" s="39" t="s">
        <v>465</v>
      </c>
      <c r="C204" s="39" t="s">
        <v>466</v>
      </c>
      <c r="D204" s="40">
        <v>39329</v>
      </c>
      <c r="E204" s="41">
        <v>70.5</v>
      </c>
      <c r="F204" s="46">
        <v>70.5</v>
      </c>
      <c r="G204" s="44" t="s">
        <v>124</v>
      </c>
      <c r="H204" s="43" t="s">
        <v>2722</v>
      </c>
      <c r="I204" s="43" t="s">
        <v>2713</v>
      </c>
      <c r="J204" s="44" t="s">
        <v>531</v>
      </c>
      <c r="K204" s="43" t="s">
        <v>663</v>
      </c>
      <c r="L204" s="44" t="s">
        <v>34</v>
      </c>
      <c r="M204" s="44">
        <v>0</v>
      </c>
      <c r="N204" s="45">
        <v>40268</v>
      </c>
      <c r="O204"/>
      <c r="P204"/>
      <c r="Q204"/>
      <c r="R204"/>
      <c r="S204"/>
      <c r="T204"/>
      <c r="U204"/>
    </row>
    <row r="205" spans="1:21" customFormat="1" ht="15" customHeight="1" x14ac:dyDescent="0.2">
      <c r="A205" s="59" t="s">
        <v>2035</v>
      </c>
      <c r="B205" s="39" t="s">
        <v>191</v>
      </c>
      <c r="C205" s="39" t="s">
        <v>428</v>
      </c>
      <c r="D205" s="40">
        <v>39337</v>
      </c>
      <c r="E205" s="41">
        <v>2</v>
      </c>
      <c r="F205" s="46">
        <v>2</v>
      </c>
      <c r="G205" s="44" t="s">
        <v>318</v>
      </c>
      <c r="H205" s="43" t="s">
        <v>2758</v>
      </c>
      <c r="I205" s="43" t="s">
        <v>2713</v>
      </c>
      <c r="J205" s="44" t="s">
        <v>540</v>
      </c>
      <c r="K205" s="43" t="s">
        <v>467</v>
      </c>
      <c r="L205" s="44" t="s">
        <v>191</v>
      </c>
      <c r="M205" s="44">
        <v>0</v>
      </c>
      <c r="N205" s="45">
        <v>40633</v>
      </c>
    </row>
    <row r="206" spans="1:21" customFormat="1" ht="15" customHeight="1" x14ac:dyDescent="0.2">
      <c r="A206" s="59" t="s">
        <v>2036</v>
      </c>
      <c r="B206" s="39" t="s">
        <v>459</v>
      </c>
      <c r="C206" s="39" t="s">
        <v>470</v>
      </c>
      <c r="D206" s="40">
        <v>39349</v>
      </c>
      <c r="E206" s="41">
        <v>124.8</v>
      </c>
      <c r="F206" s="46">
        <v>124.8</v>
      </c>
      <c r="G206" s="44" t="s">
        <v>124</v>
      </c>
      <c r="H206" s="43" t="s">
        <v>2728</v>
      </c>
      <c r="I206" s="43" t="s">
        <v>2713</v>
      </c>
      <c r="J206" s="44"/>
      <c r="K206" s="43" t="s">
        <v>461</v>
      </c>
      <c r="L206" s="44" t="s">
        <v>157</v>
      </c>
      <c r="M206" s="44">
        <v>0</v>
      </c>
      <c r="N206" s="45">
        <v>39371</v>
      </c>
    </row>
    <row r="207" spans="1:21" customFormat="1" ht="15" customHeight="1" x14ac:dyDescent="0.2">
      <c r="A207" s="59" t="s">
        <v>2037</v>
      </c>
      <c r="B207" s="39" t="s">
        <v>468</v>
      </c>
      <c r="C207" s="39" t="s">
        <v>469</v>
      </c>
      <c r="D207" s="40">
        <v>39349</v>
      </c>
      <c r="E207" s="41">
        <v>1</v>
      </c>
      <c r="F207" s="46">
        <v>1</v>
      </c>
      <c r="G207" s="44" t="s">
        <v>440</v>
      </c>
      <c r="H207" s="43" t="s">
        <v>2734</v>
      </c>
      <c r="I207" s="43" t="s">
        <v>2713</v>
      </c>
      <c r="J207" s="44"/>
      <c r="K207" s="43" t="s">
        <v>381</v>
      </c>
      <c r="L207" s="44" t="s">
        <v>34</v>
      </c>
      <c r="M207" s="44">
        <v>0</v>
      </c>
      <c r="N207" s="45">
        <v>39476</v>
      </c>
    </row>
    <row r="208" spans="1:21" customFormat="1" ht="15" customHeight="1" x14ac:dyDescent="0.2">
      <c r="A208" s="59" t="s">
        <v>2038</v>
      </c>
      <c r="B208" s="39" t="s">
        <v>472</v>
      </c>
      <c r="C208" s="39" t="s">
        <v>509</v>
      </c>
      <c r="D208" s="40">
        <v>39357</v>
      </c>
      <c r="E208" s="41">
        <v>105</v>
      </c>
      <c r="F208" s="46">
        <v>108</v>
      </c>
      <c r="G208" s="44" t="s">
        <v>364</v>
      </c>
      <c r="H208" s="43" t="s">
        <v>2715</v>
      </c>
      <c r="I208" s="43" t="s">
        <v>2713</v>
      </c>
      <c r="J208" s="44" t="s">
        <v>533</v>
      </c>
      <c r="K208" s="43" t="s">
        <v>267</v>
      </c>
      <c r="L208" s="44" t="s">
        <v>403</v>
      </c>
      <c r="M208" s="44">
        <v>0</v>
      </c>
      <c r="N208" s="45">
        <v>40969</v>
      </c>
    </row>
    <row r="209" spans="1:21" customFormat="1" ht="15" customHeight="1" x14ac:dyDescent="0.2">
      <c r="A209" s="59" t="s">
        <v>2039</v>
      </c>
      <c r="B209" s="39" t="s">
        <v>493</v>
      </c>
      <c r="C209" s="39" t="s">
        <v>474</v>
      </c>
      <c r="D209" s="40">
        <v>39360</v>
      </c>
      <c r="E209" s="41">
        <v>70</v>
      </c>
      <c r="F209" s="46">
        <v>70</v>
      </c>
      <c r="G209" s="44" t="s">
        <v>124</v>
      </c>
      <c r="H209" s="43" t="s">
        <v>2798</v>
      </c>
      <c r="I209" s="43" t="s">
        <v>2713</v>
      </c>
      <c r="J209" s="44" t="s">
        <v>471</v>
      </c>
      <c r="K209" s="43" t="s">
        <v>447</v>
      </c>
      <c r="L209" s="44" t="s">
        <v>157</v>
      </c>
      <c r="M209" s="44">
        <v>0</v>
      </c>
      <c r="N209" s="45">
        <v>39945</v>
      </c>
    </row>
    <row r="210" spans="1:21" ht="15" customHeight="1" x14ac:dyDescent="0.2">
      <c r="A210" s="59" t="s">
        <v>2040</v>
      </c>
      <c r="B210" s="39" t="s">
        <v>191</v>
      </c>
      <c r="C210" s="39" t="s">
        <v>476</v>
      </c>
      <c r="D210" s="40">
        <v>39378</v>
      </c>
      <c r="E210" s="41">
        <v>2.8</v>
      </c>
      <c r="F210" s="46">
        <v>2.8</v>
      </c>
      <c r="G210" s="44" t="s">
        <v>318</v>
      </c>
      <c r="H210" s="43" t="s">
        <v>2758</v>
      </c>
      <c r="I210" s="43" t="s">
        <v>2713</v>
      </c>
      <c r="J210" s="44" t="s">
        <v>540</v>
      </c>
      <c r="K210" s="43" t="s">
        <v>477</v>
      </c>
      <c r="L210" s="44" t="s">
        <v>191</v>
      </c>
      <c r="M210" s="44">
        <v>0</v>
      </c>
      <c r="N210" s="45">
        <v>41729</v>
      </c>
      <c r="O210"/>
      <c r="P210"/>
      <c r="Q210"/>
      <c r="R210"/>
      <c r="S210"/>
      <c r="T210"/>
      <c r="U210"/>
    </row>
    <row r="211" spans="1:21" customFormat="1" ht="15" customHeight="1" x14ac:dyDescent="0.2">
      <c r="A211" s="59" t="s">
        <v>2041</v>
      </c>
      <c r="B211" s="39" t="s">
        <v>478</v>
      </c>
      <c r="C211" s="39" t="s">
        <v>479</v>
      </c>
      <c r="D211" s="40">
        <v>39402</v>
      </c>
      <c r="E211" s="41">
        <v>1100</v>
      </c>
      <c r="F211" s="46">
        <v>1100</v>
      </c>
      <c r="G211" s="44" t="s">
        <v>253</v>
      </c>
      <c r="H211" s="43" t="s">
        <v>2836</v>
      </c>
      <c r="I211" s="43" t="s">
        <v>2713</v>
      </c>
      <c r="J211" s="44" t="s">
        <v>626</v>
      </c>
      <c r="K211" s="43" t="s">
        <v>2042</v>
      </c>
      <c r="L211" s="44" t="s">
        <v>403</v>
      </c>
      <c r="M211" s="44">
        <v>0</v>
      </c>
      <c r="N211" s="45">
        <v>40268</v>
      </c>
      <c r="O211" s="4"/>
      <c r="P211" s="4"/>
      <c r="Q211" s="4"/>
      <c r="R211" s="4"/>
      <c r="S211" s="4"/>
      <c r="T211" s="4"/>
    </row>
    <row r="212" spans="1:21" x14ac:dyDescent="0.2">
      <c r="A212" s="59" t="s">
        <v>2043</v>
      </c>
      <c r="B212" s="39" t="s">
        <v>382</v>
      </c>
      <c r="C212" s="39" t="s">
        <v>480</v>
      </c>
      <c r="D212" s="40">
        <v>39414</v>
      </c>
      <c r="E212" s="41">
        <v>250</v>
      </c>
      <c r="F212" s="46">
        <v>290</v>
      </c>
      <c r="G212" s="44" t="s">
        <v>339</v>
      </c>
      <c r="H212" s="43" t="s">
        <v>2719</v>
      </c>
      <c r="I212" s="43" t="s">
        <v>2713</v>
      </c>
      <c r="J212" s="44" t="s">
        <v>533</v>
      </c>
      <c r="K212" s="43" t="s">
        <v>916</v>
      </c>
      <c r="L212" s="44" t="s">
        <v>41</v>
      </c>
      <c r="M212" s="44">
        <v>0</v>
      </c>
      <c r="N212" s="45">
        <v>42185</v>
      </c>
      <c r="O212"/>
      <c r="P212"/>
      <c r="Q212"/>
      <c r="R212"/>
      <c r="S212"/>
      <c r="T212"/>
      <c r="U212"/>
    </row>
    <row r="213" spans="1:21" customFormat="1" ht="15" customHeight="1" x14ac:dyDescent="0.2">
      <c r="A213" s="59" t="s">
        <v>2044</v>
      </c>
      <c r="B213" s="39" t="s">
        <v>482</v>
      </c>
      <c r="C213" s="39" t="s">
        <v>484</v>
      </c>
      <c r="D213" s="40">
        <v>39416</v>
      </c>
      <c r="E213" s="41">
        <v>600</v>
      </c>
      <c r="F213" s="46">
        <v>600</v>
      </c>
      <c r="G213" s="44" t="s">
        <v>124</v>
      </c>
      <c r="H213" s="43" t="s">
        <v>2713</v>
      </c>
      <c r="I213" s="43" t="s">
        <v>2713</v>
      </c>
      <c r="J213" s="44" t="s">
        <v>533</v>
      </c>
      <c r="K213" s="43" t="s">
        <v>507</v>
      </c>
      <c r="L213" s="44" t="s">
        <v>403</v>
      </c>
      <c r="M213" s="44">
        <v>0</v>
      </c>
      <c r="N213" s="45">
        <v>41121</v>
      </c>
    </row>
    <row r="214" spans="1:21" customFormat="1" ht="15" customHeight="1" x14ac:dyDescent="0.2">
      <c r="A214" s="59" t="s">
        <v>2045</v>
      </c>
      <c r="B214" s="39" t="s">
        <v>382</v>
      </c>
      <c r="C214" s="39" t="s">
        <v>485</v>
      </c>
      <c r="D214" s="40">
        <v>39423</v>
      </c>
      <c r="E214" s="41">
        <v>800</v>
      </c>
      <c r="F214" s="46">
        <v>800</v>
      </c>
      <c r="G214" s="44" t="s">
        <v>339</v>
      </c>
      <c r="H214" s="43" t="s">
        <v>2713</v>
      </c>
      <c r="I214" s="43" t="s">
        <v>2713</v>
      </c>
      <c r="J214" s="44" t="s">
        <v>533</v>
      </c>
      <c r="K214" s="43" t="s">
        <v>473</v>
      </c>
      <c r="L214" s="44" t="s">
        <v>403</v>
      </c>
      <c r="M214" s="44">
        <v>0</v>
      </c>
      <c r="N214" s="45">
        <v>39639</v>
      </c>
    </row>
    <row r="215" spans="1:21" customFormat="1" ht="15" customHeight="1" x14ac:dyDescent="0.2">
      <c r="A215" s="59" t="s">
        <v>2046</v>
      </c>
      <c r="B215" s="39" t="s">
        <v>483</v>
      </c>
      <c r="C215" s="39" t="s">
        <v>486</v>
      </c>
      <c r="D215" s="40">
        <v>39426</v>
      </c>
      <c r="E215" s="41">
        <v>2</v>
      </c>
      <c r="F215" s="46">
        <v>2</v>
      </c>
      <c r="G215" s="44" t="s">
        <v>440</v>
      </c>
      <c r="H215" s="43" t="s">
        <v>2729</v>
      </c>
      <c r="I215" s="43" t="s">
        <v>2713</v>
      </c>
      <c r="J215" s="44"/>
      <c r="K215" s="43" t="s">
        <v>487</v>
      </c>
      <c r="L215" s="44" t="s">
        <v>157</v>
      </c>
      <c r="M215" s="44">
        <v>0</v>
      </c>
      <c r="N215" s="45">
        <v>39476</v>
      </c>
    </row>
    <row r="216" spans="1:21" customFormat="1" ht="15" customHeight="1" x14ac:dyDescent="0.2">
      <c r="A216" s="59" t="s">
        <v>2047</v>
      </c>
      <c r="B216" s="39" t="s">
        <v>636</v>
      </c>
      <c r="C216" s="39" t="s">
        <v>488</v>
      </c>
      <c r="D216" s="40">
        <v>39429</v>
      </c>
      <c r="E216" s="41">
        <v>244.8</v>
      </c>
      <c r="F216" s="46">
        <v>244.8</v>
      </c>
      <c r="G216" s="44" t="s">
        <v>124</v>
      </c>
      <c r="H216" s="43" t="s">
        <v>2740</v>
      </c>
      <c r="I216" s="43" t="s">
        <v>2713</v>
      </c>
      <c r="J216" s="44" t="s">
        <v>530</v>
      </c>
      <c r="K216" s="43" t="s">
        <v>489</v>
      </c>
      <c r="L216" s="44" t="s">
        <v>41</v>
      </c>
      <c r="M216" s="44">
        <v>0</v>
      </c>
      <c r="N216" s="45">
        <v>42582</v>
      </c>
      <c r="O216" s="4"/>
      <c r="P216" s="4"/>
      <c r="Q216" s="4"/>
      <c r="R216" s="4"/>
      <c r="S216" s="4"/>
      <c r="T216" s="4"/>
    </row>
    <row r="217" spans="1:21" customFormat="1" ht="15" customHeight="1" x14ac:dyDescent="0.2">
      <c r="A217" s="59" t="s">
        <v>2048</v>
      </c>
      <c r="B217" s="39" t="s">
        <v>637</v>
      </c>
      <c r="C217" s="39" t="s">
        <v>490</v>
      </c>
      <c r="D217" s="40">
        <v>39436</v>
      </c>
      <c r="E217" s="41">
        <v>124.8</v>
      </c>
      <c r="F217" s="46">
        <v>124.8</v>
      </c>
      <c r="G217" s="44" t="s">
        <v>124</v>
      </c>
      <c r="H217" s="43" t="s">
        <v>2728</v>
      </c>
      <c r="I217" s="43" t="s">
        <v>2713</v>
      </c>
      <c r="J217" s="44" t="s">
        <v>531</v>
      </c>
      <c r="K217" s="43" t="s">
        <v>679</v>
      </c>
      <c r="L217" s="44" t="s">
        <v>157</v>
      </c>
      <c r="M217" s="44">
        <v>0</v>
      </c>
      <c r="N217" s="45">
        <v>40847</v>
      </c>
    </row>
    <row r="218" spans="1:21" ht="15" customHeight="1" x14ac:dyDescent="0.2">
      <c r="A218" s="59" t="s">
        <v>2049</v>
      </c>
      <c r="B218" s="39" t="s">
        <v>41</v>
      </c>
      <c r="C218" s="39" t="s">
        <v>492</v>
      </c>
      <c r="D218" s="40">
        <v>39436</v>
      </c>
      <c r="E218" s="41">
        <v>900</v>
      </c>
      <c r="F218" s="46">
        <v>1080</v>
      </c>
      <c r="G218" s="44" t="s">
        <v>364</v>
      </c>
      <c r="H218" s="43" t="s">
        <v>2719</v>
      </c>
      <c r="I218" s="43" t="s">
        <v>2713</v>
      </c>
      <c r="J218" s="44" t="s">
        <v>533</v>
      </c>
      <c r="K218" s="43" t="s">
        <v>481</v>
      </c>
      <c r="L218" s="44" t="s">
        <v>41</v>
      </c>
      <c r="M218" s="44">
        <v>0</v>
      </c>
      <c r="N218" s="45">
        <v>39911</v>
      </c>
      <c r="O218"/>
      <c r="P218"/>
      <c r="Q218"/>
      <c r="R218"/>
      <c r="S218"/>
      <c r="T218"/>
      <c r="U218"/>
    </row>
    <row r="219" spans="1:21" customFormat="1" ht="15" customHeight="1" x14ac:dyDescent="0.2">
      <c r="A219" s="59" t="s">
        <v>2050</v>
      </c>
      <c r="B219" s="39" t="s">
        <v>482</v>
      </c>
      <c r="C219" s="39" t="s">
        <v>491</v>
      </c>
      <c r="D219" s="40">
        <v>39437</v>
      </c>
      <c r="E219" s="41">
        <v>299</v>
      </c>
      <c r="F219" s="46">
        <v>299</v>
      </c>
      <c r="G219" s="44" t="s">
        <v>124</v>
      </c>
      <c r="H219" s="43" t="s">
        <v>2716</v>
      </c>
      <c r="I219" s="43" t="s">
        <v>2713</v>
      </c>
      <c r="J219" s="44" t="s">
        <v>532</v>
      </c>
      <c r="K219" s="43" t="s">
        <v>290</v>
      </c>
      <c r="L219" s="44" t="s">
        <v>87</v>
      </c>
      <c r="M219" s="44">
        <v>0</v>
      </c>
      <c r="N219" s="45">
        <v>39639</v>
      </c>
    </row>
    <row r="220" spans="1:21" customFormat="1" ht="15" customHeight="1" x14ac:dyDescent="0.2">
      <c r="A220" s="59" t="s">
        <v>2051</v>
      </c>
      <c r="B220" s="39" t="s">
        <v>495</v>
      </c>
      <c r="C220" s="39" t="s">
        <v>497</v>
      </c>
      <c r="D220" s="40">
        <v>39470</v>
      </c>
      <c r="E220" s="41">
        <v>100</v>
      </c>
      <c r="F220" s="46">
        <v>100</v>
      </c>
      <c r="G220" s="44" t="s">
        <v>339</v>
      </c>
      <c r="H220" s="43" t="s">
        <v>3156</v>
      </c>
      <c r="I220" s="43" t="s">
        <v>2713</v>
      </c>
      <c r="J220" s="44" t="s">
        <v>533</v>
      </c>
      <c r="K220" s="43" t="s">
        <v>283</v>
      </c>
      <c r="L220" s="44" t="s">
        <v>403</v>
      </c>
      <c r="M220" s="44">
        <v>0</v>
      </c>
      <c r="N220" s="45">
        <v>39639</v>
      </c>
      <c r="U220" s="4"/>
    </row>
    <row r="221" spans="1:21" ht="15" customHeight="1" x14ac:dyDescent="0.2">
      <c r="A221" s="59" t="s">
        <v>2052</v>
      </c>
      <c r="B221" s="39" t="s">
        <v>496</v>
      </c>
      <c r="C221" s="39" t="s">
        <v>498</v>
      </c>
      <c r="D221" s="40">
        <v>39471</v>
      </c>
      <c r="E221" s="41">
        <v>120</v>
      </c>
      <c r="F221" s="46">
        <v>120</v>
      </c>
      <c r="G221" s="44" t="s">
        <v>124</v>
      </c>
      <c r="H221" s="43" t="s">
        <v>2766</v>
      </c>
      <c r="I221" s="43" t="s">
        <v>2713</v>
      </c>
      <c r="J221" s="44" t="s">
        <v>393</v>
      </c>
      <c r="K221" s="43" t="s">
        <v>584</v>
      </c>
      <c r="L221" s="44" t="s">
        <v>34</v>
      </c>
      <c r="M221" s="44">
        <v>0</v>
      </c>
      <c r="N221" s="45">
        <v>39911</v>
      </c>
      <c r="O221"/>
      <c r="P221"/>
      <c r="Q221"/>
      <c r="R221"/>
      <c r="S221"/>
      <c r="T221"/>
      <c r="U221"/>
    </row>
    <row r="222" spans="1:21" customFormat="1" ht="15" customHeight="1" x14ac:dyDescent="0.2">
      <c r="A222" s="59" t="s">
        <v>2053</v>
      </c>
      <c r="B222" s="39" t="s">
        <v>500</v>
      </c>
      <c r="C222" s="39" t="s">
        <v>501</v>
      </c>
      <c r="D222" s="40">
        <v>39482</v>
      </c>
      <c r="E222" s="41">
        <v>1640</v>
      </c>
      <c r="F222" s="46">
        <v>1660</v>
      </c>
      <c r="G222" s="44" t="s">
        <v>258</v>
      </c>
      <c r="H222" s="43" t="s">
        <v>590</v>
      </c>
      <c r="I222" s="43" t="s">
        <v>2713</v>
      </c>
      <c r="J222" s="44" t="s">
        <v>393</v>
      </c>
      <c r="K222" s="43" t="s">
        <v>649</v>
      </c>
      <c r="L222" s="44" t="s">
        <v>157</v>
      </c>
      <c r="M222" s="44">
        <v>0</v>
      </c>
      <c r="N222" s="45">
        <v>40169</v>
      </c>
    </row>
    <row r="223" spans="1:21" customFormat="1" ht="15" customHeight="1" x14ac:dyDescent="0.2">
      <c r="A223" s="59" t="s">
        <v>2054</v>
      </c>
      <c r="B223" s="39" t="s">
        <v>510</v>
      </c>
      <c r="C223" s="39" t="s">
        <v>511</v>
      </c>
      <c r="D223" s="40">
        <v>39498</v>
      </c>
      <c r="E223" s="41">
        <v>1000</v>
      </c>
      <c r="F223" s="46">
        <v>1000</v>
      </c>
      <c r="G223" s="44" t="s">
        <v>611</v>
      </c>
      <c r="H223" s="43" t="s">
        <v>2722</v>
      </c>
      <c r="I223" s="43" t="s">
        <v>2713</v>
      </c>
      <c r="J223" s="44" t="s">
        <v>531</v>
      </c>
      <c r="K223" s="43" t="s">
        <v>2055</v>
      </c>
      <c r="L223" s="44" t="s">
        <v>41</v>
      </c>
      <c r="M223" s="44">
        <v>0</v>
      </c>
      <c r="N223" s="45">
        <v>39988</v>
      </c>
    </row>
    <row r="224" spans="1:21" customFormat="1" ht="15" customHeight="1" x14ac:dyDescent="0.2">
      <c r="A224" s="59" t="s">
        <v>2056</v>
      </c>
      <c r="B224" s="39" t="s">
        <v>510</v>
      </c>
      <c r="C224" s="39" t="s">
        <v>512</v>
      </c>
      <c r="D224" s="40">
        <v>39498</v>
      </c>
      <c r="E224" s="41">
        <v>1000</v>
      </c>
      <c r="F224" s="46">
        <v>1000</v>
      </c>
      <c r="G224" s="44" t="s">
        <v>611</v>
      </c>
      <c r="H224" s="43" t="s">
        <v>2800</v>
      </c>
      <c r="I224" s="43" t="s">
        <v>2713</v>
      </c>
      <c r="J224" s="44" t="s">
        <v>530</v>
      </c>
      <c r="K224" s="43" t="s">
        <v>515</v>
      </c>
      <c r="L224" s="44" t="s">
        <v>41</v>
      </c>
      <c r="M224" s="44">
        <v>0</v>
      </c>
      <c r="N224" s="45">
        <v>40268</v>
      </c>
    </row>
    <row r="225" spans="1:21" customFormat="1" ht="15" customHeight="1" x14ac:dyDescent="0.2">
      <c r="A225" s="59" t="s">
        <v>2057</v>
      </c>
      <c r="B225" s="39" t="s">
        <v>510</v>
      </c>
      <c r="C225" s="39" t="s">
        <v>513</v>
      </c>
      <c r="D225" s="40">
        <v>39498</v>
      </c>
      <c r="E225" s="41">
        <v>1000</v>
      </c>
      <c r="F225" s="46">
        <v>1000</v>
      </c>
      <c r="G225" s="44" t="s">
        <v>318</v>
      </c>
      <c r="H225" s="43" t="s">
        <v>2800</v>
      </c>
      <c r="I225" s="43" t="s">
        <v>2713</v>
      </c>
      <c r="J225" s="44" t="s">
        <v>530</v>
      </c>
      <c r="K225" s="43" t="s">
        <v>515</v>
      </c>
      <c r="L225" s="44" t="s">
        <v>41</v>
      </c>
      <c r="M225" s="44">
        <v>0</v>
      </c>
      <c r="N225" s="45">
        <v>39735</v>
      </c>
      <c r="U225" s="4"/>
    </row>
    <row r="226" spans="1:21" customFormat="1" ht="15" customHeight="1" x14ac:dyDescent="0.2">
      <c r="A226" s="59" t="s">
        <v>2058</v>
      </c>
      <c r="B226" s="39" t="s">
        <v>510</v>
      </c>
      <c r="C226" s="39" t="s">
        <v>514</v>
      </c>
      <c r="D226" s="40">
        <v>39498</v>
      </c>
      <c r="E226" s="41">
        <v>1000</v>
      </c>
      <c r="F226" s="46">
        <v>1000</v>
      </c>
      <c r="G226" s="44" t="s">
        <v>611</v>
      </c>
      <c r="H226" s="43" t="s">
        <v>2720</v>
      </c>
      <c r="I226" s="43" t="s">
        <v>2713</v>
      </c>
      <c r="J226" s="44" t="s">
        <v>539</v>
      </c>
      <c r="K226" s="43" t="s">
        <v>516</v>
      </c>
      <c r="L226" s="44" t="s">
        <v>639</v>
      </c>
      <c r="M226" s="44">
        <v>0</v>
      </c>
      <c r="N226" s="45">
        <v>40512</v>
      </c>
    </row>
    <row r="227" spans="1:21" customFormat="1" ht="15" customHeight="1" x14ac:dyDescent="0.2">
      <c r="A227" s="59" t="s">
        <v>2059</v>
      </c>
      <c r="B227" s="39" t="s">
        <v>638</v>
      </c>
      <c r="C227" s="39" t="s">
        <v>519</v>
      </c>
      <c r="D227" s="40">
        <v>39506</v>
      </c>
      <c r="E227" s="41">
        <v>101.2</v>
      </c>
      <c r="F227" s="46">
        <v>101.2</v>
      </c>
      <c r="G227" s="44" t="s">
        <v>124</v>
      </c>
      <c r="H227" s="43" t="s">
        <v>2728</v>
      </c>
      <c r="I227" s="43" t="s">
        <v>2713</v>
      </c>
      <c r="J227" s="44" t="s">
        <v>531</v>
      </c>
      <c r="K227" s="43" t="s">
        <v>648</v>
      </c>
      <c r="L227" s="44" t="s">
        <v>157</v>
      </c>
      <c r="M227" s="44">
        <v>0</v>
      </c>
      <c r="N227" s="45">
        <v>40694</v>
      </c>
    </row>
    <row r="228" spans="1:21" customFormat="1" ht="15" customHeight="1" x14ac:dyDescent="0.2">
      <c r="A228" s="59" t="s">
        <v>2060</v>
      </c>
      <c r="B228" s="39" t="s">
        <v>510</v>
      </c>
      <c r="C228" s="39" t="s">
        <v>518</v>
      </c>
      <c r="D228" s="40">
        <v>39510</v>
      </c>
      <c r="E228" s="41">
        <v>1000</v>
      </c>
      <c r="F228" s="46">
        <v>1000</v>
      </c>
      <c r="G228" s="44" t="s">
        <v>318</v>
      </c>
      <c r="H228" s="43" t="s">
        <v>2719</v>
      </c>
      <c r="I228" s="43" t="s">
        <v>2713</v>
      </c>
      <c r="J228" s="44" t="s">
        <v>533</v>
      </c>
      <c r="K228" s="43" t="s">
        <v>520</v>
      </c>
      <c r="L228" s="44" t="s">
        <v>41</v>
      </c>
      <c r="M228" s="44">
        <v>0</v>
      </c>
      <c r="N228" s="45">
        <v>39553</v>
      </c>
    </row>
    <row r="229" spans="1:21" customFormat="1" ht="15" customHeight="1" x14ac:dyDescent="0.2">
      <c r="A229" s="59" t="s">
        <v>2061</v>
      </c>
      <c r="B229" s="39" t="s">
        <v>332</v>
      </c>
      <c r="C229" s="39" t="s">
        <v>525</v>
      </c>
      <c r="D229" s="40">
        <v>39534</v>
      </c>
      <c r="E229" s="41">
        <v>79.2</v>
      </c>
      <c r="F229" s="46">
        <v>79.2</v>
      </c>
      <c r="G229" s="44" t="s">
        <v>124</v>
      </c>
      <c r="H229" s="43" t="s">
        <v>2741</v>
      </c>
      <c r="I229" s="43" t="s">
        <v>2713</v>
      </c>
      <c r="J229" s="44" t="s">
        <v>531</v>
      </c>
      <c r="K229" s="43" t="s">
        <v>543</v>
      </c>
      <c r="L229" s="44" t="s">
        <v>157</v>
      </c>
      <c r="M229" s="44">
        <v>0</v>
      </c>
      <c r="N229" s="45">
        <v>41090</v>
      </c>
    </row>
    <row r="230" spans="1:21" customFormat="1" ht="15" customHeight="1" x14ac:dyDescent="0.2">
      <c r="A230" s="59" t="s">
        <v>2062</v>
      </c>
      <c r="B230" s="39" t="s">
        <v>332</v>
      </c>
      <c r="C230" s="39" t="s">
        <v>526</v>
      </c>
      <c r="D230" s="40">
        <v>39534</v>
      </c>
      <c r="E230" s="41">
        <v>199.5</v>
      </c>
      <c r="F230" s="46">
        <v>199.5</v>
      </c>
      <c r="G230" s="44" t="s">
        <v>124</v>
      </c>
      <c r="H230" s="43" t="s">
        <v>2741</v>
      </c>
      <c r="I230" s="43" t="s">
        <v>2713</v>
      </c>
      <c r="J230" s="44" t="s">
        <v>531</v>
      </c>
      <c r="K230" s="43" t="s">
        <v>527</v>
      </c>
      <c r="L230" s="44" t="s">
        <v>34</v>
      </c>
      <c r="M230" s="44">
        <v>0</v>
      </c>
      <c r="N230" s="45">
        <v>39911</v>
      </c>
    </row>
    <row r="231" spans="1:21" customFormat="1" ht="15" customHeight="1" x14ac:dyDescent="0.2">
      <c r="A231" s="59" t="s">
        <v>2063</v>
      </c>
      <c r="B231" s="39" t="s">
        <v>521</v>
      </c>
      <c r="C231" s="39" t="s">
        <v>524</v>
      </c>
      <c r="D231" s="40">
        <v>39534</v>
      </c>
      <c r="E231" s="41">
        <v>73.5</v>
      </c>
      <c r="F231" s="46">
        <v>73.5</v>
      </c>
      <c r="G231" s="44" t="s">
        <v>124</v>
      </c>
      <c r="H231" s="43" t="s">
        <v>2728</v>
      </c>
      <c r="I231" s="43" t="s">
        <v>2713</v>
      </c>
      <c r="J231" s="44" t="s">
        <v>531</v>
      </c>
      <c r="K231" s="43" t="s">
        <v>528</v>
      </c>
      <c r="L231" s="44" t="s">
        <v>157</v>
      </c>
      <c r="M231" s="44">
        <v>0</v>
      </c>
      <c r="N231" s="45">
        <v>40451</v>
      </c>
    </row>
    <row r="232" spans="1:21" customFormat="1" ht="15" customHeight="1" x14ac:dyDescent="0.2">
      <c r="A232" s="59" t="s">
        <v>2064</v>
      </c>
      <c r="B232" s="39" t="s">
        <v>573</v>
      </c>
      <c r="C232" s="39" t="s">
        <v>523</v>
      </c>
      <c r="D232" s="40">
        <v>39538</v>
      </c>
      <c r="E232" s="41">
        <v>120</v>
      </c>
      <c r="F232" s="46">
        <v>120</v>
      </c>
      <c r="G232" s="44" t="s">
        <v>124</v>
      </c>
      <c r="H232" s="43" t="s">
        <v>2738</v>
      </c>
      <c r="I232" s="43" t="s">
        <v>2713</v>
      </c>
      <c r="J232" s="44" t="s">
        <v>530</v>
      </c>
      <c r="K232" s="43" t="s">
        <v>389</v>
      </c>
      <c r="L232" s="44" t="s">
        <v>41</v>
      </c>
      <c r="M232" s="44">
        <v>0</v>
      </c>
      <c r="N232" s="45">
        <v>39849</v>
      </c>
    </row>
    <row r="233" spans="1:21" customFormat="1" ht="15" customHeight="1" x14ac:dyDescent="0.2">
      <c r="A233" s="59" t="s">
        <v>2065</v>
      </c>
      <c r="B233" s="39" t="s">
        <v>194</v>
      </c>
      <c r="C233" s="39" t="s">
        <v>522</v>
      </c>
      <c r="D233" s="40">
        <v>39541</v>
      </c>
      <c r="E233" s="54" t="s">
        <v>54</v>
      </c>
      <c r="F233" s="51" t="s">
        <v>54</v>
      </c>
      <c r="G233" s="44" t="s">
        <v>256</v>
      </c>
      <c r="H233" s="43" t="s">
        <v>2722</v>
      </c>
      <c r="I233" s="43" t="s">
        <v>2713</v>
      </c>
      <c r="J233" s="44" t="s">
        <v>531</v>
      </c>
      <c r="K233" s="43" t="s">
        <v>2066</v>
      </c>
      <c r="L233" s="44" t="s">
        <v>157</v>
      </c>
      <c r="M233" s="44">
        <v>0</v>
      </c>
      <c r="N233" s="45">
        <v>40633</v>
      </c>
    </row>
    <row r="234" spans="1:21" customFormat="1" ht="15" customHeight="1" x14ac:dyDescent="0.2">
      <c r="A234" s="59" t="s">
        <v>2067</v>
      </c>
      <c r="B234" s="39" t="s">
        <v>534</v>
      </c>
      <c r="C234" s="39" t="s">
        <v>535</v>
      </c>
      <c r="D234" s="40">
        <v>39552</v>
      </c>
      <c r="E234" s="41">
        <v>440</v>
      </c>
      <c r="F234" s="46">
        <v>440</v>
      </c>
      <c r="G234" s="44" t="s">
        <v>124</v>
      </c>
      <c r="H234" s="43" t="s">
        <v>2716</v>
      </c>
      <c r="I234" s="43" t="s">
        <v>2713</v>
      </c>
      <c r="J234" s="44" t="s">
        <v>532</v>
      </c>
      <c r="K234" s="43" t="s">
        <v>538</v>
      </c>
      <c r="L234" s="44" t="s">
        <v>87</v>
      </c>
      <c r="M234" s="44">
        <v>0</v>
      </c>
      <c r="N234" s="45">
        <v>41121</v>
      </c>
    </row>
    <row r="235" spans="1:21" customFormat="1" ht="15" customHeight="1" x14ac:dyDescent="0.2">
      <c r="A235" s="59" t="s">
        <v>2068</v>
      </c>
      <c r="B235" s="39" t="s">
        <v>534</v>
      </c>
      <c r="C235" s="39" t="s">
        <v>536</v>
      </c>
      <c r="D235" s="40">
        <v>39552</v>
      </c>
      <c r="E235" s="41">
        <v>220</v>
      </c>
      <c r="F235" s="46">
        <v>220</v>
      </c>
      <c r="G235" s="44" t="s">
        <v>124</v>
      </c>
      <c r="H235" s="43" t="s">
        <v>2716</v>
      </c>
      <c r="I235" s="43" t="s">
        <v>2713</v>
      </c>
      <c r="J235" s="44" t="s">
        <v>532</v>
      </c>
      <c r="K235" s="43" t="s">
        <v>538</v>
      </c>
      <c r="L235" s="44" t="s">
        <v>87</v>
      </c>
      <c r="M235" s="44">
        <v>0</v>
      </c>
      <c r="N235" s="45">
        <v>41121</v>
      </c>
    </row>
    <row r="236" spans="1:21" customFormat="1" ht="15" customHeight="1" x14ac:dyDescent="0.2">
      <c r="A236" s="59" t="s">
        <v>2069</v>
      </c>
      <c r="B236" s="39" t="s">
        <v>534</v>
      </c>
      <c r="C236" s="39" t="s">
        <v>537</v>
      </c>
      <c r="D236" s="40">
        <v>39552</v>
      </c>
      <c r="E236" s="41">
        <v>280</v>
      </c>
      <c r="F236" s="46">
        <v>280</v>
      </c>
      <c r="G236" s="44" t="s">
        <v>124</v>
      </c>
      <c r="H236" s="43" t="s">
        <v>2716</v>
      </c>
      <c r="I236" s="43" t="s">
        <v>2713</v>
      </c>
      <c r="J236" s="44" t="s">
        <v>532</v>
      </c>
      <c r="K236" s="43" t="s">
        <v>538</v>
      </c>
      <c r="L236" s="44" t="s">
        <v>87</v>
      </c>
      <c r="M236" s="44">
        <v>0</v>
      </c>
      <c r="N236" s="45">
        <v>39804</v>
      </c>
    </row>
    <row r="237" spans="1:21" customFormat="1" ht="15" customHeight="1" x14ac:dyDescent="0.2">
      <c r="A237" s="59" t="s">
        <v>2070</v>
      </c>
      <c r="B237" s="39" t="s">
        <v>545</v>
      </c>
      <c r="C237" s="39" t="s">
        <v>546</v>
      </c>
      <c r="D237" s="40">
        <v>39574</v>
      </c>
      <c r="E237" s="41">
        <v>800</v>
      </c>
      <c r="F237" s="46">
        <v>800</v>
      </c>
      <c r="G237" s="44" t="s">
        <v>256</v>
      </c>
      <c r="H237" s="43" t="s">
        <v>3156</v>
      </c>
      <c r="I237" s="43" t="s">
        <v>2713</v>
      </c>
      <c r="J237" s="44" t="s">
        <v>533</v>
      </c>
      <c r="K237" s="43" t="s">
        <v>664</v>
      </c>
      <c r="L237" s="44" t="s">
        <v>403</v>
      </c>
      <c r="M237" s="44">
        <v>0</v>
      </c>
      <c r="N237" s="45">
        <v>41061</v>
      </c>
    </row>
    <row r="238" spans="1:21" customFormat="1" ht="15" customHeight="1" x14ac:dyDescent="0.2">
      <c r="A238" s="59" t="s">
        <v>2071</v>
      </c>
      <c r="B238" s="39" t="s">
        <v>291</v>
      </c>
      <c r="C238" s="39" t="s">
        <v>547</v>
      </c>
      <c r="D238" s="40">
        <v>39580</v>
      </c>
      <c r="E238" s="41">
        <v>100.5</v>
      </c>
      <c r="F238" s="46">
        <v>100.5</v>
      </c>
      <c r="G238" s="44" t="s">
        <v>124</v>
      </c>
      <c r="H238" s="43" t="s">
        <v>2768</v>
      </c>
      <c r="I238" s="43" t="s">
        <v>2713</v>
      </c>
      <c r="J238" s="44" t="s">
        <v>420</v>
      </c>
      <c r="K238" s="43" t="s">
        <v>548</v>
      </c>
      <c r="L238" s="44" t="s">
        <v>34</v>
      </c>
      <c r="M238" s="44">
        <v>0</v>
      </c>
      <c r="N238" s="45">
        <v>40025</v>
      </c>
    </row>
    <row r="239" spans="1:21" customFormat="1" ht="15" customHeight="1" x14ac:dyDescent="0.2">
      <c r="A239" s="59" t="s">
        <v>2072</v>
      </c>
      <c r="B239" s="39" t="s">
        <v>549</v>
      </c>
      <c r="C239" s="39" t="s">
        <v>550</v>
      </c>
      <c r="D239" s="40">
        <v>39584</v>
      </c>
      <c r="E239" s="41">
        <v>19.899999999999999</v>
      </c>
      <c r="F239" s="46">
        <v>19.899999999999999</v>
      </c>
      <c r="G239" s="44" t="s">
        <v>124</v>
      </c>
      <c r="H239" s="43" t="s">
        <v>2741</v>
      </c>
      <c r="I239" s="43" t="s">
        <v>2713</v>
      </c>
      <c r="J239" s="44" t="s">
        <v>531</v>
      </c>
      <c r="K239" s="43" t="s">
        <v>551</v>
      </c>
      <c r="L239" s="44" t="s">
        <v>157</v>
      </c>
      <c r="M239" s="44">
        <v>0</v>
      </c>
      <c r="N239" s="45">
        <v>40268</v>
      </c>
    </row>
    <row r="240" spans="1:21" customFormat="1" ht="15" customHeight="1" x14ac:dyDescent="0.2">
      <c r="A240" s="59" t="s">
        <v>2073</v>
      </c>
      <c r="B240" s="39" t="s">
        <v>681</v>
      </c>
      <c r="C240" s="39" t="s">
        <v>552</v>
      </c>
      <c r="D240" s="40">
        <v>39590</v>
      </c>
      <c r="E240" s="41">
        <v>57</v>
      </c>
      <c r="F240" s="46">
        <v>57</v>
      </c>
      <c r="G240" s="44" t="s">
        <v>124</v>
      </c>
      <c r="H240" s="43" t="s">
        <v>2731</v>
      </c>
      <c r="I240" s="43" t="s">
        <v>2713</v>
      </c>
      <c r="J240" s="44" t="s">
        <v>531</v>
      </c>
      <c r="K240" s="43" t="s">
        <v>555</v>
      </c>
      <c r="L240" s="44" t="s">
        <v>34</v>
      </c>
      <c r="M240" s="44">
        <v>0</v>
      </c>
      <c r="N240" s="45">
        <v>40421</v>
      </c>
    </row>
    <row r="241" spans="1:21" customFormat="1" ht="15" customHeight="1" x14ac:dyDescent="0.2">
      <c r="A241" s="59" t="s">
        <v>2074</v>
      </c>
      <c r="B241" s="39" t="s">
        <v>553</v>
      </c>
      <c r="C241" s="39" t="s">
        <v>579</v>
      </c>
      <c r="D241" s="40">
        <v>39602</v>
      </c>
      <c r="E241" s="41">
        <v>14.4</v>
      </c>
      <c r="F241" s="46">
        <v>14.4</v>
      </c>
      <c r="G241" s="44" t="s">
        <v>318</v>
      </c>
      <c r="H241" s="43" t="s">
        <v>2740</v>
      </c>
      <c r="I241" s="43" t="s">
        <v>2713</v>
      </c>
      <c r="J241" s="44" t="s">
        <v>530</v>
      </c>
      <c r="K241" s="43" t="s">
        <v>554</v>
      </c>
      <c r="L241" s="44" t="s">
        <v>157</v>
      </c>
      <c r="M241" s="44">
        <v>0</v>
      </c>
      <c r="N241" s="45">
        <v>39911</v>
      </c>
    </row>
    <row r="242" spans="1:21" ht="15" customHeight="1" x14ac:dyDescent="0.2">
      <c r="A242" s="59" t="s">
        <v>2075</v>
      </c>
      <c r="B242" s="39" t="s">
        <v>557</v>
      </c>
      <c r="C242" s="39" t="s">
        <v>558</v>
      </c>
      <c r="D242" s="40">
        <v>39625</v>
      </c>
      <c r="E242" s="41">
        <v>3</v>
      </c>
      <c r="F242" s="46">
        <v>3</v>
      </c>
      <c r="G242" s="44"/>
      <c r="H242" s="43" t="s">
        <v>2742</v>
      </c>
      <c r="I242" s="43" t="s">
        <v>2713</v>
      </c>
      <c r="J242" s="44" t="s">
        <v>393</v>
      </c>
      <c r="K242" s="43" t="s">
        <v>559</v>
      </c>
      <c r="L242" s="44" t="s">
        <v>34</v>
      </c>
      <c r="M242" s="44">
        <v>0</v>
      </c>
      <c r="N242" s="45">
        <v>39735</v>
      </c>
      <c r="O242"/>
      <c r="P242"/>
      <c r="Q242"/>
      <c r="R242"/>
      <c r="S242"/>
      <c r="T242"/>
      <c r="U242"/>
    </row>
    <row r="243" spans="1:21" customFormat="1" ht="15" customHeight="1" x14ac:dyDescent="0.2">
      <c r="A243" s="59" t="s">
        <v>2076</v>
      </c>
      <c r="B243" s="39" t="s">
        <v>560</v>
      </c>
      <c r="C243" s="39" t="s">
        <v>563</v>
      </c>
      <c r="D243" s="40">
        <v>39644</v>
      </c>
      <c r="E243" s="41">
        <v>80</v>
      </c>
      <c r="F243" s="46">
        <v>80</v>
      </c>
      <c r="G243" s="44" t="s">
        <v>124</v>
      </c>
      <c r="H243" s="43" t="s">
        <v>2758</v>
      </c>
      <c r="I243" s="43" t="s">
        <v>2713</v>
      </c>
      <c r="J243" s="44" t="s">
        <v>531</v>
      </c>
      <c r="K243" s="43" t="s">
        <v>564</v>
      </c>
      <c r="L243" s="44" t="s">
        <v>157</v>
      </c>
      <c r="M243" s="44">
        <v>0</v>
      </c>
      <c r="N243" s="45">
        <v>40268</v>
      </c>
    </row>
    <row r="244" spans="1:21" customFormat="1" ht="15" customHeight="1" x14ac:dyDescent="0.2">
      <c r="A244" s="59" t="s">
        <v>2077</v>
      </c>
      <c r="B244" s="39" t="s">
        <v>561</v>
      </c>
      <c r="C244" s="39" t="s">
        <v>562</v>
      </c>
      <c r="D244" s="40">
        <v>39644</v>
      </c>
      <c r="E244" s="41">
        <v>120</v>
      </c>
      <c r="F244" s="46">
        <v>120</v>
      </c>
      <c r="G244" s="44" t="s">
        <v>124</v>
      </c>
      <c r="H244" s="43" t="s">
        <v>2754</v>
      </c>
      <c r="I244" s="43" t="s">
        <v>2713</v>
      </c>
      <c r="J244" s="44" t="s">
        <v>531</v>
      </c>
      <c r="K244" s="43" t="s">
        <v>565</v>
      </c>
      <c r="L244" s="44" t="s">
        <v>157</v>
      </c>
      <c r="M244" s="44">
        <v>0</v>
      </c>
      <c r="N244" s="45">
        <v>39804</v>
      </c>
    </row>
    <row r="245" spans="1:21" customFormat="1" ht="15" customHeight="1" x14ac:dyDescent="0.2">
      <c r="A245" s="59" t="s">
        <v>2078</v>
      </c>
      <c r="B245" s="39" t="s">
        <v>567</v>
      </c>
      <c r="C245" s="39" t="s">
        <v>566</v>
      </c>
      <c r="D245" s="40">
        <v>39646</v>
      </c>
      <c r="E245" s="41">
        <v>620</v>
      </c>
      <c r="F245" s="46">
        <v>700</v>
      </c>
      <c r="G245" s="44" t="s">
        <v>364</v>
      </c>
      <c r="H245" s="43" t="s">
        <v>2748</v>
      </c>
      <c r="I245" s="43" t="s">
        <v>2713</v>
      </c>
      <c r="J245" s="44" t="s">
        <v>393</v>
      </c>
      <c r="K245" s="43" t="s">
        <v>568</v>
      </c>
      <c r="L245" s="44" t="s">
        <v>34</v>
      </c>
      <c r="M245" s="44">
        <v>0</v>
      </c>
      <c r="N245" s="45">
        <v>39911</v>
      </c>
    </row>
    <row r="246" spans="1:21" customFormat="1" ht="15" customHeight="1" x14ac:dyDescent="0.2">
      <c r="A246" s="59" t="s">
        <v>2079</v>
      </c>
      <c r="B246" s="39" t="s">
        <v>570</v>
      </c>
      <c r="C246" s="39" t="s">
        <v>569</v>
      </c>
      <c r="D246" s="40">
        <v>39647</v>
      </c>
      <c r="E246" s="41">
        <v>2000</v>
      </c>
      <c r="F246" s="46">
        <v>2000</v>
      </c>
      <c r="G246" s="44" t="s">
        <v>253</v>
      </c>
      <c r="H246" s="43" t="s">
        <v>2713</v>
      </c>
      <c r="I246" s="43" t="s">
        <v>2713</v>
      </c>
      <c r="J246" s="44" t="s">
        <v>533</v>
      </c>
      <c r="K246" s="43" t="s">
        <v>572</v>
      </c>
      <c r="L246" s="44" t="s">
        <v>571</v>
      </c>
      <c r="M246" s="44">
        <v>0</v>
      </c>
      <c r="N246" s="45">
        <v>39688</v>
      </c>
    </row>
    <row r="247" spans="1:21" ht="15" customHeight="1" x14ac:dyDescent="0.2">
      <c r="A247" s="59" t="s">
        <v>2080</v>
      </c>
      <c r="B247" s="39" t="s">
        <v>1003</v>
      </c>
      <c r="C247" s="39" t="s">
        <v>773</v>
      </c>
      <c r="D247" s="40">
        <v>39647</v>
      </c>
      <c r="E247" s="41">
        <v>1000</v>
      </c>
      <c r="F247" s="46">
        <v>1000</v>
      </c>
      <c r="G247" s="44" t="s">
        <v>253</v>
      </c>
      <c r="H247" s="43" t="s">
        <v>2795</v>
      </c>
      <c r="I247" s="43" t="s">
        <v>2713</v>
      </c>
      <c r="J247" s="44" t="s">
        <v>533</v>
      </c>
      <c r="K247" s="43" t="s">
        <v>917</v>
      </c>
      <c r="L247" s="44" t="s">
        <v>41</v>
      </c>
      <c r="M247" s="44">
        <v>0</v>
      </c>
      <c r="N247" s="45">
        <v>42766</v>
      </c>
      <c r="U247"/>
    </row>
    <row r="248" spans="1:21" customFormat="1" ht="15" customHeight="1" x14ac:dyDescent="0.2">
      <c r="A248" s="59" t="s">
        <v>2081</v>
      </c>
      <c r="B248" s="39" t="s">
        <v>570</v>
      </c>
      <c r="C248" s="39" t="s">
        <v>569</v>
      </c>
      <c r="D248" s="40">
        <v>39647</v>
      </c>
      <c r="E248" s="41">
        <v>2000</v>
      </c>
      <c r="F248" s="46">
        <v>2000</v>
      </c>
      <c r="G248" s="44" t="s">
        <v>253</v>
      </c>
      <c r="H248" s="43" t="s">
        <v>5968</v>
      </c>
      <c r="I248" s="43" t="s">
        <v>2713</v>
      </c>
      <c r="J248" s="44" t="s">
        <v>613</v>
      </c>
      <c r="K248" s="43" t="s">
        <v>651</v>
      </c>
      <c r="L248" s="44" t="s">
        <v>571</v>
      </c>
      <c r="M248" s="44">
        <v>0</v>
      </c>
      <c r="N248" s="45">
        <v>40877</v>
      </c>
    </row>
    <row r="249" spans="1:21" customFormat="1" ht="15" customHeight="1" x14ac:dyDescent="0.2">
      <c r="A249" s="59" t="s">
        <v>2082</v>
      </c>
      <c r="B249" s="39" t="s">
        <v>5969</v>
      </c>
      <c r="C249" s="39" t="s">
        <v>5970</v>
      </c>
      <c r="D249" s="40">
        <v>39658</v>
      </c>
      <c r="E249" s="41">
        <v>550</v>
      </c>
      <c r="F249" s="46">
        <v>550</v>
      </c>
      <c r="G249" s="44" t="s">
        <v>253</v>
      </c>
      <c r="H249" s="43" t="s">
        <v>2787</v>
      </c>
      <c r="I249" s="43" t="s">
        <v>2713</v>
      </c>
      <c r="J249" s="44" t="s">
        <v>533</v>
      </c>
      <c r="K249" s="43" t="s">
        <v>507</v>
      </c>
      <c r="L249" s="44" t="s">
        <v>403</v>
      </c>
      <c r="M249" s="44">
        <v>0</v>
      </c>
      <c r="N249" s="45">
        <v>41121</v>
      </c>
    </row>
    <row r="250" spans="1:21" customFormat="1" ht="15" customHeight="1" x14ac:dyDescent="0.2">
      <c r="A250" s="59" t="s">
        <v>2837</v>
      </c>
      <c r="B250" s="39" t="s">
        <v>632</v>
      </c>
      <c r="C250" s="39" t="s">
        <v>574</v>
      </c>
      <c r="D250" s="40">
        <v>39702</v>
      </c>
      <c r="E250" s="41">
        <v>650</v>
      </c>
      <c r="F250" s="46">
        <v>650</v>
      </c>
      <c r="G250" s="44" t="s">
        <v>339</v>
      </c>
      <c r="H250" s="43" t="s">
        <v>2773</v>
      </c>
      <c r="I250" s="43" t="s">
        <v>2713</v>
      </c>
      <c r="J250" s="44" t="s">
        <v>539</v>
      </c>
      <c r="K250" s="43" t="s">
        <v>575</v>
      </c>
      <c r="L250" s="44" t="s">
        <v>403</v>
      </c>
      <c r="M250" s="44">
        <v>0</v>
      </c>
      <c r="N250" s="45">
        <v>39945</v>
      </c>
    </row>
    <row r="251" spans="1:21" customFormat="1" ht="15" customHeight="1" x14ac:dyDescent="0.2">
      <c r="A251" s="59" t="s">
        <v>2083</v>
      </c>
      <c r="B251" s="39" t="s">
        <v>686</v>
      </c>
      <c r="C251" s="39" t="s">
        <v>712</v>
      </c>
      <c r="D251" s="40">
        <v>39713</v>
      </c>
      <c r="E251" s="41">
        <v>1019.9</v>
      </c>
      <c r="F251" s="46">
        <v>1136</v>
      </c>
      <c r="G251" s="44" t="s">
        <v>339</v>
      </c>
      <c r="H251" s="43" t="s">
        <v>2773</v>
      </c>
      <c r="I251" s="43" t="s">
        <v>2713</v>
      </c>
      <c r="J251" s="44" t="s">
        <v>539</v>
      </c>
      <c r="K251" s="43" t="s">
        <v>665</v>
      </c>
      <c r="L251" s="44" t="s">
        <v>403</v>
      </c>
      <c r="M251" s="44">
        <v>0</v>
      </c>
      <c r="N251" s="45">
        <v>42004</v>
      </c>
      <c r="O251" s="4"/>
      <c r="P251" s="4"/>
      <c r="Q251" s="4"/>
      <c r="R251" s="4"/>
      <c r="S251" s="4"/>
      <c r="T251" s="4"/>
    </row>
    <row r="252" spans="1:21" customFormat="1" ht="15" customHeight="1" x14ac:dyDescent="0.2">
      <c r="A252" s="59" t="s">
        <v>2085</v>
      </c>
      <c r="B252" s="39" t="s">
        <v>493</v>
      </c>
      <c r="C252" s="39" t="s">
        <v>576</v>
      </c>
      <c r="D252" s="40">
        <v>39716</v>
      </c>
      <c r="E252" s="41">
        <v>79.2</v>
      </c>
      <c r="F252" s="46">
        <v>79.2</v>
      </c>
      <c r="G252" s="44" t="s">
        <v>124</v>
      </c>
      <c r="H252" s="43" t="s">
        <v>2721</v>
      </c>
      <c r="I252" s="43" t="s">
        <v>2713</v>
      </c>
      <c r="J252" s="44" t="s">
        <v>471</v>
      </c>
      <c r="K252" s="43" t="s">
        <v>577</v>
      </c>
      <c r="L252" s="44" t="s">
        <v>157</v>
      </c>
      <c r="M252" s="44">
        <v>0</v>
      </c>
      <c r="N252" s="45">
        <v>39911</v>
      </c>
    </row>
    <row r="253" spans="1:21" customFormat="1" ht="15" customHeight="1" x14ac:dyDescent="0.2">
      <c r="A253" s="59" t="s">
        <v>2086</v>
      </c>
      <c r="B253" s="42" t="s">
        <v>588</v>
      </c>
      <c r="C253" s="39" t="s">
        <v>589</v>
      </c>
      <c r="D253" s="40">
        <v>39721</v>
      </c>
      <c r="E253" s="41">
        <v>150</v>
      </c>
      <c r="F253" s="46">
        <v>150</v>
      </c>
      <c r="G253" s="44" t="s">
        <v>124</v>
      </c>
      <c r="H253" s="43" t="s">
        <v>2800</v>
      </c>
      <c r="I253" s="43" t="s">
        <v>2713</v>
      </c>
      <c r="J253" s="44" t="s">
        <v>530</v>
      </c>
      <c r="K253" s="43" t="s">
        <v>2087</v>
      </c>
      <c r="L253" s="44" t="s">
        <v>157</v>
      </c>
      <c r="M253" s="44">
        <v>0</v>
      </c>
      <c r="N253" s="45">
        <v>40633</v>
      </c>
    </row>
    <row r="254" spans="1:21" customFormat="1" ht="15" customHeight="1" x14ac:dyDescent="0.2">
      <c r="A254" s="59" t="s">
        <v>2088</v>
      </c>
      <c r="B254" s="42" t="s">
        <v>510</v>
      </c>
      <c r="C254" s="39" t="s">
        <v>590</v>
      </c>
      <c r="D254" s="40">
        <v>39728</v>
      </c>
      <c r="E254" s="41">
        <v>1000</v>
      </c>
      <c r="F254" s="46">
        <v>1000</v>
      </c>
      <c r="G254" s="44" t="s">
        <v>611</v>
      </c>
      <c r="H254" s="43" t="s">
        <v>590</v>
      </c>
      <c r="I254" s="43" t="s">
        <v>2713</v>
      </c>
      <c r="J254" s="44" t="s">
        <v>393</v>
      </c>
      <c r="K254" s="43" t="s">
        <v>591</v>
      </c>
      <c r="L254" s="44" t="s">
        <v>157</v>
      </c>
      <c r="M254" s="44">
        <v>0</v>
      </c>
      <c r="N254" s="45">
        <v>39988</v>
      </c>
    </row>
    <row r="255" spans="1:21" customFormat="1" ht="15" customHeight="1" x14ac:dyDescent="0.2">
      <c r="A255" s="59" t="s">
        <v>2089</v>
      </c>
      <c r="B255" s="42" t="s">
        <v>594</v>
      </c>
      <c r="C255" s="39" t="s">
        <v>592</v>
      </c>
      <c r="D255" s="40">
        <v>39744</v>
      </c>
      <c r="E255" s="41">
        <v>47</v>
      </c>
      <c r="F255" s="46">
        <v>47</v>
      </c>
      <c r="G255" s="44" t="s">
        <v>494</v>
      </c>
      <c r="H255" s="43" t="s">
        <v>2742</v>
      </c>
      <c r="I255" s="43" t="s">
        <v>2713</v>
      </c>
      <c r="J255" s="44" t="s">
        <v>393</v>
      </c>
      <c r="K255" s="43" t="s">
        <v>595</v>
      </c>
      <c r="L255" s="44" t="s">
        <v>157</v>
      </c>
      <c r="M255" s="44">
        <v>0</v>
      </c>
      <c r="N255" s="45">
        <v>40938</v>
      </c>
      <c r="U255" s="4"/>
    </row>
    <row r="256" spans="1:21" customFormat="1" ht="15" customHeight="1" x14ac:dyDescent="0.2">
      <c r="A256" s="59" t="s">
        <v>2090</v>
      </c>
      <c r="B256" s="42" t="s">
        <v>631</v>
      </c>
      <c r="C256" s="39" t="s">
        <v>593</v>
      </c>
      <c r="D256" s="40">
        <v>39752</v>
      </c>
      <c r="E256" s="41">
        <v>124.8</v>
      </c>
      <c r="F256" s="46">
        <v>124.8</v>
      </c>
      <c r="G256" s="44" t="s">
        <v>124</v>
      </c>
      <c r="H256" s="43" t="s">
        <v>2728</v>
      </c>
      <c r="I256" s="43" t="s">
        <v>2713</v>
      </c>
      <c r="J256" s="44" t="s">
        <v>531</v>
      </c>
      <c r="K256" s="43" t="s">
        <v>648</v>
      </c>
      <c r="L256" s="44" t="s">
        <v>157</v>
      </c>
      <c r="M256" s="44">
        <v>0</v>
      </c>
      <c r="N256" s="45">
        <v>40114</v>
      </c>
    </row>
    <row r="257" spans="1:21" customFormat="1" ht="15" customHeight="1" x14ac:dyDescent="0.2">
      <c r="A257" s="59" t="s">
        <v>3091</v>
      </c>
      <c r="B257" s="42" t="s">
        <v>3086</v>
      </c>
      <c r="C257" s="39" t="s">
        <v>3087</v>
      </c>
      <c r="D257" s="40">
        <v>39757</v>
      </c>
      <c r="E257" s="41">
        <v>1100</v>
      </c>
      <c r="F257" s="46">
        <v>1100</v>
      </c>
      <c r="G257" s="44" t="s">
        <v>256</v>
      </c>
      <c r="H257" s="43" t="s">
        <v>3090</v>
      </c>
      <c r="I257" s="43" t="s">
        <v>2713</v>
      </c>
      <c r="J257" s="44" t="s">
        <v>626</v>
      </c>
      <c r="K257" s="43" t="s">
        <v>3088</v>
      </c>
      <c r="L257" s="44" t="s">
        <v>403</v>
      </c>
      <c r="M257" s="44">
        <v>0</v>
      </c>
      <c r="N257" s="55" t="s">
        <v>3089</v>
      </c>
      <c r="O257" s="4"/>
      <c r="P257" s="4"/>
      <c r="Q257" s="4"/>
      <c r="R257" s="4"/>
      <c r="S257" s="4"/>
      <c r="T257" s="4"/>
    </row>
    <row r="258" spans="1:21" customFormat="1" ht="15" customHeight="1" x14ac:dyDescent="0.2">
      <c r="A258" s="59" t="s">
        <v>2091</v>
      </c>
      <c r="B258" s="42" t="s">
        <v>597</v>
      </c>
      <c r="C258" s="39" t="s">
        <v>598</v>
      </c>
      <c r="D258" s="40">
        <v>39785</v>
      </c>
      <c r="E258" s="41">
        <v>20</v>
      </c>
      <c r="F258" s="46">
        <v>20</v>
      </c>
      <c r="G258" s="44" t="s">
        <v>615</v>
      </c>
      <c r="H258" s="43" t="s">
        <v>2742</v>
      </c>
      <c r="I258" s="43" t="s">
        <v>2713</v>
      </c>
      <c r="J258" s="44" t="s">
        <v>393</v>
      </c>
      <c r="K258" s="43" t="s">
        <v>600</v>
      </c>
      <c r="L258" s="44" t="s">
        <v>34</v>
      </c>
      <c r="M258" s="44">
        <v>0</v>
      </c>
      <c r="N258" s="45">
        <v>41061</v>
      </c>
    </row>
    <row r="259" spans="1:21" customFormat="1" ht="15" customHeight="1" x14ac:dyDescent="0.2">
      <c r="A259" s="59" t="s">
        <v>2092</v>
      </c>
      <c r="B259" s="42" t="s">
        <v>597</v>
      </c>
      <c r="C259" s="39" t="s">
        <v>599</v>
      </c>
      <c r="D259" s="40">
        <v>39785</v>
      </c>
      <c r="E259" s="41">
        <v>20</v>
      </c>
      <c r="F259" s="46">
        <v>20</v>
      </c>
      <c r="G259" s="44" t="s">
        <v>615</v>
      </c>
      <c r="H259" s="43" t="s">
        <v>2722</v>
      </c>
      <c r="I259" s="43" t="s">
        <v>2713</v>
      </c>
      <c r="J259" s="44" t="s">
        <v>531</v>
      </c>
      <c r="K259" s="43" t="s">
        <v>601</v>
      </c>
      <c r="L259" s="44" t="s">
        <v>34</v>
      </c>
      <c r="M259" s="44">
        <v>0</v>
      </c>
      <c r="N259" s="45">
        <v>41061</v>
      </c>
      <c r="U259" s="4"/>
    </row>
    <row r="260" spans="1:21" customFormat="1" ht="15" customHeight="1" x14ac:dyDescent="0.2">
      <c r="A260" s="59" t="s">
        <v>2093</v>
      </c>
      <c r="B260" s="42" t="s">
        <v>602</v>
      </c>
      <c r="C260" s="39" t="s">
        <v>603</v>
      </c>
      <c r="D260" s="40">
        <v>39815</v>
      </c>
      <c r="E260" s="41">
        <v>6.4</v>
      </c>
      <c r="F260" s="46">
        <v>6.4</v>
      </c>
      <c r="G260" s="44" t="s">
        <v>440</v>
      </c>
      <c r="H260" s="43" t="s">
        <v>2758</v>
      </c>
      <c r="I260" s="43" t="s">
        <v>2713</v>
      </c>
      <c r="J260" s="44" t="s">
        <v>540</v>
      </c>
      <c r="K260" s="43" t="s">
        <v>604</v>
      </c>
      <c r="L260" s="44" t="s">
        <v>157</v>
      </c>
      <c r="M260" s="44">
        <v>0</v>
      </c>
      <c r="N260" s="45">
        <v>40086</v>
      </c>
      <c r="U260" s="4"/>
    </row>
    <row r="261" spans="1:21" customFormat="1" ht="15" customHeight="1" x14ac:dyDescent="0.2">
      <c r="A261" s="59" t="s">
        <v>2094</v>
      </c>
      <c r="B261" s="42" t="s">
        <v>706</v>
      </c>
      <c r="C261" s="39" t="s">
        <v>705</v>
      </c>
      <c r="D261" s="40">
        <v>39826</v>
      </c>
      <c r="E261" s="41">
        <v>59.9</v>
      </c>
      <c r="F261" s="46">
        <v>59.9</v>
      </c>
      <c r="G261" s="44" t="s">
        <v>124</v>
      </c>
      <c r="H261" s="43" t="s">
        <v>2729</v>
      </c>
      <c r="I261" s="43" t="s">
        <v>2713</v>
      </c>
      <c r="J261" s="44" t="s">
        <v>530</v>
      </c>
      <c r="K261" s="43" t="s">
        <v>612</v>
      </c>
      <c r="L261" s="44" t="s">
        <v>34</v>
      </c>
      <c r="M261" s="44">
        <v>0</v>
      </c>
      <c r="N261" s="45">
        <v>41882</v>
      </c>
      <c r="O261" s="4"/>
      <c r="P261" s="4"/>
      <c r="Q261" s="4"/>
      <c r="R261" s="4"/>
      <c r="S261" s="4"/>
      <c r="T261" s="4"/>
    </row>
    <row r="262" spans="1:21" customFormat="1" ht="15" customHeight="1" x14ac:dyDescent="0.2">
      <c r="A262" s="59" t="s">
        <v>2095</v>
      </c>
      <c r="B262" s="42" t="s">
        <v>510</v>
      </c>
      <c r="C262" s="39" t="s">
        <v>609</v>
      </c>
      <c r="D262" s="40">
        <v>39836</v>
      </c>
      <c r="E262" s="41">
        <v>1000</v>
      </c>
      <c r="F262" s="46">
        <v>1000</v>
      </c>
      <c r="G262" s="44" t="s">
        <v>611</v>
      </c>
      <c r="H262" s="43" t="s">
        <v>2811</v>
      </c>
      <c r="I262" s="43" t="s">
        <v>2713</v>
      </c>
      <c r="J262" s="44" t="s">
        <v>318</v>
      </c>
      <c r="K262" s="43" t="s">
        <v>263</v>
      </c>
      <c r="L262" s="44" t="s">
        <v>639</v>
      </c>
      <c r="M262" s="44">
        <v>0</v>
      </c>
      <c r="N262" s="45">
        <v>39988</v>
      </c>
    </row>
    <row r="263" spans="1:21" customFormat="1" ht="15" customHeight="1" x14ac:dyDescent="0.2">
      <c r="A263" s="59" t="s">
        <v>2096</v>
      </c>
      <c r="B263" s="42" t="s">
        <v>618</v>
      </c>
      <c r="C263" s="39" t="s">
        <v>616</v>
      </c>
      <c r="D263" s="40">
        <v>39878</v>
      </c>
      <c r="E263" s="41">
        <v>2</v>
      </c>
      <c r="F263" s="46">
        <v>2</v>
      </c>
      <c r="G263" s="44" t="s">
        <v>440</v>
      </c>
      <c r="H263" s="43" t="s">
        <v>2766</v>
      </c>
      <c r="I263" s="43" t="s">
        <v>2713</v>
      </c>
      <c r="J263" s="44" t="s">
        <v>393</v>
      </c>
      <c r="K263" s="43" t="s">
        <v>620</v>
      </c>
      <c r="L263" s="44" t="s">
        <v>34</v>
      </c>
      <c r="M263" s="44">
        <v>0</v>
      </c>
      <c r="N263" s="45">
        <v>39911</v>
      </c>
    </row>
    <row r="264" spans="1:21" customFormat="1" ht="15" customHeight="1" x14ac:dyDescent="0.2">
      <c r="A264" s="59" t="s">
        <v>2097</v>
      </c>
      <c r="B264" s="42" t="s">
        <v>619</v>
      </c>
      <c r="C264" s="39" t="s">
        <v>617</v>
      </c>
      <c r="D264" s="40">
        <v>39878</v>
      </c>
      <c r="E264" s="41">
        <v>2</v>
      </c>
      <c r="F264" s="46">
        <v>2</v>
      </c>
      <c r="G264" s="44" t="s">
        <v>440</v>
      </c>
      <c r="H264" s="43" t="s">
        <v>2098</v>
      </c>
      <c r="I264" s="43" t="s">
        <v>2713</v>
      </c>
      <c r="J264" s="44" t="s">
        <v>531</v>
      </c>
      <c r="K264" s="43" t="s">
        <v>2098</v>
      </c>
      <c r="L264" s="44" t="s">
        <v>157</v>
      </c>
      <c r="M264" s="44">
        <v>0</v>
      </c>
      <c r="N264" s="45">
        <v>39911</v>
      </c>
    </row>
    <row r="265" spans="1:21" customFormat="1" ht="15" customHeight="1" x14ac:dyDescent="0.2">
      <c r="A265" s="59" t="s">
        <v>2099</v>
      </c>
      <c r="B265" s="42" t="s">
        <v>199</v>
      </c>
      <c r="C265" s="39" t="s">
        <v>2100</v>
      </c>
      <c r="D265" s="40">
        <v>39892</v>
      </c>
      <c r="E265" s="41">
        <v>700</v>
      </c>
      <c r="F265" s="46">
        <v>700</v>
      </c>
      <c r="G265" s="44" t="s">
        <v>124</v>
      </c>
      <c r="H265" s="43" t="s">
        <v>5971</v>
      </c>
      <c r="I265" s="43" t="s">
        <v>2713</v>
      </c>
      <c r="J265" s="44" t="s">
        <v>625</v>
      </c>
      <c r="K265" s="43" t="s">
        <v>630</v>
      </c>
      <c r="L265" s="44" t="s">
        <v>87</v>
      </c>
      <c r="M265" s="44">
        <v>0</v>
      </c>
      <c r="N265" s="45">
        <v>40724</v>
      </c>
    </row>
    <row r="266" spans="1:21" customFormat="1" ht="15" customHeight="1" x14ac:dyDescent="0.2">
      <c r="A266" s="59" t="s">
        <v>2101</v>
      </c>
      <c r="B266" s="42" t="s">
        <v>621</v>
      </c>
      <c r="C266" s="39" t="s">
        <v>622</v>
      </c>
      <c r="D266" s="40">
        <v>39895</v>
      </c>
      <c r="E266" s="41">
        <v>4.8</v>
      </c>
      <c r="F266" s="46">
        <v>4.8</v>
      </c>
      <c r="G266" s="44" t="s">
        <v>440</v>
      </c>
      <c r="H266" s="43" t="s">
        <v>2732</v>
      </c>
      <c r="I266" s="43" t="s">
        <v>2713</v>
      </c>
      <c r="J266" s="44" t="s">
        <v>393</v>
      </c>
      <c r="K266" s="43" t="s">
        <v>624</v>
      </c>
      <c r="L266" s="44" t="s">
        <v>34</v>
      </c>
      <c r="M266" s="44">
        <v>0</v>
      </c>
      <c r="N266" s="45">
        <v>39960</v>
      </c>
      <c r="U266" s="4"/>
    </row>
    <row r="267" spans="1:21" customFormat="1" ht="15" customHeight="1" x14ac:dyDescent="0.2">
      <c r="A267" s="59" t="s">
        <v>2102</v>
      </c>
      <c r="B267" s="42" t="s">
        <v>521</v>
      </c>
      <c r="C267" s="39" t="s">
        <v>623</v>
      </c>
      <c r="D267" s="40">
        <v>39895</v>
      </c>
      <c r="E267" s="41">
        <v>8.3000000000000007</v>
      </c>
      <c r="F267" s="46">
        <v>8.3000000000000007</v>
      </c>
      <c r="G267" s="44" t="s">
        <v>124</v>
      </c>
      <c r="H267" s="43" t="s">
        <v>2729</v>
      </c>
      <c r="I267" s="43" t="s">
        <v>2713</v>
      </c>
      <c r="J267" s="44" t="s">
        <v>530</v>
      </c>
      <c r="K267" s="43" t="s">
        <v>612</v>
      </c>
      <c r="L267" s="44" t="s">
        <v>34</v>
      </c>
      <c r="M267" s="44">
        <v>0</v>
      </c>
      <c r="N267" s="45">
        <v>39960</v>
      </c>
    </row>
    <row r="268" spans="1:21" customFormat="1" ht="15" customHeight="1" x14ac:dyDescent="0.2">
      <c r="A268" s="59" t="s">
        <v>2103</v>
      </c>
      <c r="B268" s="42" t="s">
        <v>627</v>
      </c>
      <c r="C268" s="39" t="s">
        <v>628</v>
      </c>
      <c r="D268" s="40">
        <v>39934</v>
      </c>
      <c r="E268" s="41">
        <v>112</v>
      </c>
      <c r="F268" s="46">
        <v>112</v>
      </c>
      <c r="G268" s="44" t="s">
        <v>258</v>
      </c>
      <c r="H268" s="43" t="s">
        <v>590</v>
      </c>
      <c r="I268" s="43" t="s">
        <v>2713</v>
      </c>
      <c r="J268" s="44" t="s">
        <v>393</v>
      </c>
      <c r="K268" s="43" t="s">
        <v>629</v>
      </c>
      <c r="L268" s="44" t="s">
        <v>41</v>
      </c>
      <c r="M268" s="44">
        <v>0</v>
      </c>
      <c r="N268" s="45">
        <v>39988</v>
      </c>
    </row>
    <row r="269" spans="1:21" customFormat="1" ht="15" customHeight="1" x14ac:dyDescent="0.2">
      <c r="A269" s="59" t="s">
        <v>2104</v>
      </c>
      <c r="B269" s="42" t="s">
        <v>588</v>
      </c>
      <c r="C269" s="39" t="s">
        <v>642</v>
      </c>
      <c r="D269" s="40">
        <v>39961</v>
      </c>
      <c r="E269" s="41">
        <v>46</v>
      </c>
      <c r="F269" s="46">
        <v>46</v>
      </c>
      <c r="G269" s="44" t="s">
        <v>124</v>
      </c>
      <c r="H269" s="43" t="s">
        <v>2793</v>
      </c>
      <c r="I269" s="43" t="s">
        <v>2713</v>
      </c>
      <c r="J269" s="44" t="s">
        <v>530</v>
      </c>
      <c r="K269" s="43" t="s">
        <v>381</v>
      </c>
      <c r="L269" s="56" t="s">
        <v>643</v>
      </c>
      <c r="M269" s="44">
        <v>0</v>
      </c>
      <c r="N269" s="45">
        <v>40025</v>
      </c>
    </row>
    <row r="270" spans="1:21" customFormat="1" ht="15" customHeight="1" x14ac:dyDescent="0.2">
      <c r="A270" s="59" t="s">
        <v>2105</v>
      </c>
      <c r="B270" s="42" t="s">
        <v>641</v>
      </c>
      <c r="C270" s="39" t="s">
        <v>640</v>
      </c>
      <c r="D270" s="40">
        <v>39973</v>
      </c>
      <c r="E270" s="41">
        <v>150.69999999999999</v>
      </c>
      <c r="F270" s="46">
        <v>150.69999999999999</v>
      </c>
      <c r="G270" s="44" t="s">
        <v>124</v>
      </c>
      <c r="H270" s="43" t="s">
        <v>2741</v>
      </c>
      <c r="I270" s="43" t="s">
        <v>2713</v>
      </c>
      <c r="J270" s="44" t="s">
        <v>531</v>
      </c>
      <c r="K270" s="43" t="s">
        <v>752</v>
      </c>
      <c r="L270" s="44" t="s">
        <v>157</v>
      </c>
      <c r="M270" s="44">
        <v>0</v>
      </c>
      <c r="N270" s="45">
        <v>41152</v>
      </c>
      <c r="U270" s="4"/>
    </row>
    <row r="271" spans="1:21" customFormat="1" ht="15" customHeight="1" x14ac:dyDescent="0.2">
      <c r="A271" s="59" t="s">
        <v>2106</v>
      </c>
      <c r="B271" s="42" t="s">
        <v>644</v>
      </c>
      <c r="C271" s="39" t="s">
        <v>775</v>
      </c>
      <c r="D271" s="40">
        <v>39993</v>
      </c>
      <c r="E271" s="41">
        <v>50</v>
      </c>
      <c r="F271" s="46">
        <v>50</v>
      </c>
      <c r="G271" s="44" t="s">
        <v>124</v>
      </c>
      <c r="H271" s="43" t="s">
        <v>2805</v>
      </c>
      <c r="I271" s="43" t="s">
        <v>2713</v>
      </c>
      <c r="J271" s="44" t="s">
        <v>393</v>
      </c>
      <c r="K271" s="43" t="s">
        <v>666</v>
      </c>
      <c r="L271" s="44" t="s">
        <v>34</v>
      </c>
      <c r="M271" s="44">
        <v>0</v>
      </c>
      <c r="N271" s="45">
        <v>41090</v>
      </c>
    </row>
    <row r="272" spans="1:21" customFormat="1" ht="15" customHeight="1" x14ac:dyDescent="0.2">
      <c r="A272" s="59" t="s">
        <v>2412</v>
      </c>
      <c r="B272" s="42" t="s">
        <v>191</v>
      </c>
      <c r="C272" s="39" t="s">
        <v>646</v>
      </c>
      <c r="D272" s="40">
        <v>40036</v>
      </c>
      <c r="E272" s="46">
        <v>6.3</v>
      </c>
      <c r="F272" s="46">
        <v>6.3</v>
      </c>
      <c r="G272" s="44" t="s">
        <v>318</v>
      </c>
      <c r="H272" s="43" t="s">
        <v>2758</v>
      </c>
      <c r="I272" s="43" t="s">
        <v>2713</v>
      </c>
      <c r="J272" s="44" t="s">
        <v>540</v>
      </c>
      <c r="K272" s="43" t="s">
        <v>761</v>
      </c>
      <c r="L272" s="44" t="s">
        <v>191</v>
      </c>
      <c r="M272" s="44">
        <v>0</v>
      </c>
      <c r="N272" s="45">
        <v>43830</v>
      </c>
      <c r="O272" s="4"/>
      <c r="P272" s="4"/>
      <c r="Q272" s="4"/>
      <c r="R272" s="4"/>
      <c r="S272" s="4"/>
      <c r="T272" s="4"/>
    </row>
    <row r="273" spans="1:21" customFormat="1" ht="15" customHeight="1" x14ac:dyDescent="0.2">
      <c r="A273" s="59" t="s">
        <v>2107</v>
      </c>
      <c r="B273" s="42" t="s">
        <v>2108</v>
      </c>
      <c r="C273" s="39" t="s">
        <v>652</v>
      </c>
      <c r="D273" s="40">
        <v>40058</v>
      </c>
      <c r="E273" s="41">
        <v>37</v>
      </c>
      <c r="F273" s="46">
        <v>39</v>
      </c>
      <c r="G273" s="44" t="s">
        <v>758</v>
      </c>
      <c r="H273" s="43" t="s">
        <v>2746</v>
      </c>
      <c r="I273" s="43" t="s">
        <v>2713</v>
      </c>
      <c r="J273" s="44" t="s">
        <v>532</v>
      </c>
      <c r="K273" s="43" t="s">
        <v>668</v>
      </c>
      <c r="L273" s="44" t="s">
        <v>87</v>
      </c>
      <c r="M273" s="44">
        <v>0</v>
      </c>
      <c r="N273" s="45">
        <v>40421</v>
      </c>
    </row>
    <row r="274" spans="1:21" customFormat="1" ht="15" customHeight="1" x14ac:dyDescent="0.2">
      <c r="A274" s="59" t="s">
        <v>2109</v>
      </c>
      <c r="B274" s="42" t="s">
        <v>653</v>
      </c>
      <c r="C274" s="39" t="s">
        <v>654</v>
      </c>
      <c r="D274" s="40">
        <v>40085</v>
      </c>
      <c r="E274" s="41">
        <v>600</v>
      </c>
      <c r="F274" s="46">
        <v>600</v>
      </c>
      <c r="G274" s="44" t="s">
        <v>256</v>
      </c>
      <c r="H274" s="43" t="s">
        <v>2735</v>
      </c>
      <c r="I274" s="43" t="s">
        <v>2713</v>
      </c>
      <c r="J274" s="44" t="s">
        <v>420</v>
      </c>
      <c r="K274" s="43" t="s">
        <v>656</v>
      </c>
      <c r="L274" s="44" t="s">
        <v>41</v>
      </c>
      <c r="M274" s="44">
        <v>0</v>
      </c>
      <c r="N274" s="45">
        <v>41121</v>
      </c>
    </row>
    <row r="275" spans="1:21" customFormat="1" ht="15" customHeight="1" x14ac:dyDescent="0.2">
      <c r="A275" s="59" t="s">
        <v>2110</v>
      </c>
      <c r="B275" s="42" t="s">
        <v>653</v>
      </c>
      <c r="C275" s="39" t="s">
        <v>655</v>
      </c>
      <c r="D275" s="40">
        <v>40085</v>
      </c>
      <c r="E275" s="41">
        <v>600</v>
      </c>
      <c r="F275" s="46">
        <v>600</v>
      </c>
      <c r="G275" s="44" t="s">
        <v>256</v>
      </c>
      <c r="H275" s="43" t="s">
        <v>2735</v>
      </c>
      <c r="I275" s="43" t="s">
        <v>2713</v>
      </c>
      <c r="J275" s="44" t="s">
        <v>420</v>
      </c>
      <c r="K275" s="43" t="s">
        <v>657</v>
      </c>
      <c r="L275" s="44" t="s">
        <v>41</v>
      </c>
      <c r="M275" s="44">
        <v>0</v>
      </c>
      <c r="N275" s="45">
        <v>41029</v>
      </c>
    </row>
    <row r="276" spans="1:21" customFormat="1" ht="15" customHeight="1" x14ac:dyDescent="0.2">
      <c r="A276" s="59" t="s">
        <v>2111</v>
      </c>
      <c r="B276" s="42" t="s">
        <v>658</v>
      </c>
      <c r="C276" s="42" t="s">
        <v>658</v>
      </c>
      <c r="D276" s="40">
        <v>40119</v>
      </c>
      <c r="E276" s="41">
        <v>2.2999999999999998</v>
      </c>
      <c r="F276" s="46">
        <v>2.2999999999999998</v>
      </c>
      <c r="G276" s="44" t="s">
        <v>340</v>
      </c>
      <c r="H276" s="43" t="s">
        <v>2737</v>
      </c>
      <c r="I276" s="43" t="s">
        <v>2713</v>
      </c>
      <c r="J276" s="44" t="s">
        <v>530</v>
      </c>
      <c r="K276" s="43"/>
      <c r="L276" s="44" t="s">
        <v>157</v>
      </c>
      <c r="M276" s="44">
        <v>0</v>
      </c>
      <c r="N276" s="45">
        <v>40147</v>
      </c>
    </row>
    <row r="277" spans="1:21" ht="15" customHeight="1" x14ac:dyDescent="0.2">
      <c r="A277" s="59" t="s">
        <v>2112</v>
      </c>
      <c r="B277" s="42" t="s">
        <v>659</v>
      </c>
      <c r="C277" s="42" t="s">
        <v>660</v>
      </c>
      <c r="D277" s="40">
        <v>40141</v>
      </c>
      <c r="E277" s="41">
        <v>20</v>
      </c>
      <c r="F277" s="46">
        <v>20</v>
      </c>
      <c r="G277" s="44" t="s">
        <v>471</v>
      </c>
      <c r="H277" s="43" t="s">
        <v>2721</v>
      </c>
      <c r="I277" s="43" t="s">
        <v>2713</v>
      </c>
      <c r="J277" s="44" t="s">
        <v>471</v>
      </c>
      <c r="K277" s="43" t="s">
        <v>2113</v>
      </c>
      <c r="L277" s="44" t="s">
        <v>157</v>
      </c>
      <c r="M277" s="44">
        <v>0</v>
      </c>
      <c r="N277" s="45">
        <v>41152</v>
      </c>
      <c r="O277"/>
      <c r="P277"/>
      <c r="Q277"/>
      <c r="R277"/>
      <c r="S277"/>
      <c r="T277"/>
      <c r="U277"/>
    </row>
    <row r="278" spans="1:21" customFormat="1" ht="15" customHeight="1" x14ac:dyDescent="0.2">
      <c r="A278" s="59" t="s">
        <v>2114</v>
      </c>
      <c r="B278" s="42" t="s">
        <v>707</v>
      </c>
      <c r="C278" s="42" t="s">
        <v>669</v>
      </c>
      <c r="D278" s="40">
        <v>40149</v>
      </c>
      <c r="E278" s="41">
        <v>50.4</v>
      </c>
      <c r="F278" s="46">
        <v>50.4</v>
      </c>
      <c r="G278" s="44" t="s">
        <v>124</v>
      </c>
      <c r="H278" s="43" t="s">
        <v>2734</v>
      </c>
      <c r="I278" s="43" t="s">
        <v>2713</v>
      </c>
      <c r="J278" s="44" t="s">
        <v>530</v>
      </c>
      <c r="K278" s="43" t="s">
        <v>753</v>
      </c>
      <c r="L278" s="44" t="s">
        <v>34</v>
      </c>
      <c r="M278" s="44">
        <v>0</v>
      </c>
      <c r="N278" s="45">
        <v>43496</v>
      </c>
      <c r="O278" s="4"/>
      <c r="P278" s="4"/>
      <c r="Q278" s="4"/>
      <c r="R278" s="4"/>
      <c r="S278" s="4"/>
      <c r="T278" s="4"/>
    </row>
    <row r="279" spans="1:21" customFormat="1" ht="15" customHeight="1" x14ac:dyDescent="0.2">
      <c r="A279" s="59" t="s">
        <v>2115</v>
      </c>
      <c r="B279" s="42" t="s">
        <v>444</v>
      </c>
      <c r="C279" s="42" t="s">
        <v>670</v>
      </c>
      <c r="D279" s="40">
        <v>40149</v>
      </c>
      <c r="E279" s="41">
        <v>0.8</v>
      </c>
      <c r="F279" s="46">
        <v>0.8</v>
      </c>
      <c r="G279" s="44" t="s">
        <v>440</v>
      </c>
      <c r="H279" s="43" t="s">
        <v>2838</v>
      </c>
      <c r="I279" s="43" t="s">
        <v>2713</v>
      </c>
      <c r="J279" s="44" t="s">
        <v>540</v>
      </c>
      <c r="K279" s="43" t="s">
        <v>671</v>
      </c>
      <c r="L279" s="44" t="s">
        <v>191</v>
      </c>
      <c r="M279" s="44">
        <v>0</v>
      </c>
      <c r="N279" s="45">
        <v>40298</v>
      </c>
    </row>
    <row r="280" spans="1:21" customFormat="1" ht="15" customHeight="1" x14ac:dyDescent="0.2">
      <c r="A280" s="59" t="s">
        <v>2413</v>
      </c>
      <c r="B280" s="42" t="s">
        <v>819</v>
      </c>
      <c r="C280" s="42" t="s">
        <v>672</v>
      </c>
      <c r="D280" s="40">
        <v>40177</v>
      </c>
      <c r="E280" s="41">
        <v>19</v>
      </c>
      <c r="F280" s="46">
        <v>22.5</v>
      </c>
      <c r="G280" s="44" t="s">
        <v>680</v>
      </c>
      <c r="H280" s="43" t="s">
        <v>2717</v>
      </c>
      <c r="I280" s="43" t="s">
        <v>2713</v>
      </c>
      <c r="J280" s="44" t="s">
        <v>539</v>
      </c>
      <c r="K280" s="43" t="s">
        <v>918</v>
      </c>
      <c r="L280" s="44" t="s">
        <v>673</v>
      </c>
      <c r="M280" s="44">
        <v>0</v>
      </c>
      <c r="N280" s="45">
        <v>44377</v>
      </c>
      <c r="O280" s="4"/>
      <c r="P280" s="4"/>
      <c r="Q280" s="4"/>
      <c r="R280" s="4"/>
      <c r="S280" s="4"/>
      <c r="T280" s="4"/>
    </row>
    <row r="281" spans="1:21" ht="15" customHeight="1" x14ac:dyDescent="0.2">
      <c r="A281" s="59" t="s">
        <v>2116</v>
      </c>
      <c r="B281" s="42" t="s">
        <v>674</v>
      </c>
      <c r="C281" s="42" t="s">
        <v>675</v>
      </c>
      <c r="D281" s="40">
        <v>40225</v>
      </c>
      <c r="E281" s="41">
        <v>810</v>
      </c>
      <c r="F281" s="46">
        <v>810</v>
      </c>
      <c r="G281" s="44" t="s">
        <v>124</v>
      </c>
      <c r="H281" s="43" t="s">
        <v>2728</v>
      </c>
      <c r="I281" s="43" t="s">
        <v>2713</v>
      </c>
      <c r="J281" s="44" t="s">
        <v>531</v>
      </c>
      <c r="K281" s="43" t="s">
        <v>713</v>
      </c>
      <c r="L281" s="44" t="s">
        <v>157</v>
      </c>
      <c r="M281" s="44">
        <v>0</v>
      </c>
      <c r="N281" s="45">
        <v>40938</v>
      </c>
      <c r="O281"/>
      <c r="P281"/>
      <c r="Q281"/>
      <c r="R281"/>
      <c r="S281"/>
      <c r="T281"/>
    </row>
    <row r="282" spans="1:21" ht="15" customHeight="1" x14ac:dyDescent="0.2">
      <c r="A282" s="59" t="s">
        <v>2117</v>
      </c>
      <c r="B282" s="42" t="s">
        <v>676</v>
      </c>
      <c r="C282" s="42" t="s">
        <v>677</v>
      </c>
      <c r="D282" s="40">
        <v>40239</v>
      </c>
      <c r="E282" s="41">
        <v>15</v>
      </c>
      <c r="F282" s="46">
        <v>15</v>
      </c>
      <c r="G282" s="44" t="s">
        <v>256</v>
      </c>
      <c r="H282" s="43" t="s">
        <v>2714</v>
      </c>
      <c r="I282" s="43" t="s">
        <v>2713</v>
      </c>
      <c r="J282" s="44" t="s">
        <v>533</v>
      </c>
      <c r="K282" s="43" t="s">
        <v>266</v>
      </c>
      <c r="L282" s="44" t="s">
        <v>86</v>
      </c>
      <c r="M282" s="44">
        <v>0</v>
      </c>
      <c r="N282" s="45">
        <v>41333</v>
      </c>
      <c r="U282"/>
    </row>
    <row r="283" spans="1:21" customFormat="1" ht="15" customHeight="1" x14ac:dyDescent="0.2">
      <c r="A283" s="59" t="s">
        <v>2118</v>
      </c>
      <c r="B283" s="42" t="s">
        <v>787</v>
      </c>
      <c r="C283" s="42" t="s">
        <v>788</v>
      </c>
      <c r="D283" s="40">
        <v>40276</v>
      </c>
      <c r="E283" s="42">
        <v>3.2</v>
      </c>
      <c r="F283" s="48">
        <v>3.2</v>
      </c>
      <c r="G283" s="44" t="s">
        <v>440</v>
      </c>
      <c r="H283" s="43" t="s">
        <v>2788</v>
      </c>
      <c r="I283" s="43" t="s">
        <v>2713</v>
      </c>
      <c r="J283" s="44" t="s">
        <v>530</v>
      </c>
      <c r="K283" s="43"/>
      <c r="L283" s="44"/>
      <c r="M283" s="44">
        <v>0</v>
      </c>
      <c r="N283" s="45">
        <v>40333</v>
      </c>
    </row>
    <row r="284" spans="1:21" customFormat="1" ht="15" customHeight="1" x14ac:dyDescent="0.2">
      <c r="A284" s="59" t="s">
        <v>2119</v>
      </c>
      <c r="B284" s="42" t="s">
        <v>588</v>
      </c>
      <c r="C284" s="42" t="s">
        <v>682</v>
      </c>
      <c r="D284" s="40">
        <v>40311</v>
      </c>
      <c r="E284" s="41">
        <v>100</v>
      </c>
      <c r="F284" s="46">
        <v>100</v>
      </c>
      <c r="G284" s="44" t="s">
        <v>124</v>
      </c>
      <c r="H284" s="43" t="s">
        <v>2800</v>
      </c>
      <c r="I284" s="43" t="s">
        <v>2713</v>
      </c>
      <c r="J284" s="44" t="s">
        <v>530</v>
      </c>
      <c r="K284" s="43" t="s">
        <v>683</v>
      </c>
      <c r="L284" s="44" t="s">
        <v>157</v>
      </c>
      <c r="M284" s="44">
        <v>0</v>
      </c>
      <c r="N284" s="45">
        <v>42035</v>
      </c>
      <c r="O284" s="4"/>
      <c r="P284" s="4"/>
      <c r="Q284" s="4"/>
      <c r="R284" s="4"/>
      <c r="S284" s="4"/>
      <c r="T284" s="4"/>
    </row>
    <row r="285" spans="1:21" customFormat="1" ht="15" customHeight="1" x14ac:dyDescent="0.2">
      <c r="A285" s="59" t="s">
        <v>2120</v>
      </c>
      <c r="B285" s="42" t="s">
        <v>688</v>
      </c>
      <c r="C285" s="42" t="s">
        <v>488</v>
      </c>
      <c r="D285" s="40">
        <v>40428</v>
      </c>
      <c r="E285" s="41">
        <v>249.4</v>
      </c>
      <c r="F285" s="46">
        <v>249.4</v>
      </c>
      <c r="G285" s="44" t="s">
        <v>124</v>
      </c>
      <c r="H285" s="43" t="s">
        <v>2740</v>
      </c>
      <c r="I285" s="43" t="s">
        <v>2713</v>
      </c>
      <c r="J285" s="44" t="s">
        <v>530</v>
      </c>
      <c r="K285" s="43" t="s">
        <v>691</v>
      </c>
      <c r="L285" s="44" t="s">
        <v>41</v>
      </c>
      <c r="M285" s="44">
        <v>0</v>
      </c>
      <c r="N285" s="45">
        <v>40512</v>
      </c>
    </row>
    <row r="286" spans="1:21" customFormat="1" ht="15" customHeight="1" x14ac:dyDescent="0.2">
      <c r="A286" s="59" t="s">
        <v>2121</v>
      </c>
      <c r="B286" s="42" t="s">
        <v>725</v>
      </c>
      <c r="C286" s="42" t="s">
        <v>690</v>
      </c>
      <c r="D286" s="40">
        <v>40431</v>
      </c>
      <c r="E286" s="41">
        <v>1000</v>
      </c>
      <c r="F286" s="46">
        <v>1000</v>
      </c>
      <c r="G286" s="44" t="s">
        <v>253</v>
      </c>
      <c r="H286" s="57" t="s">
        <v>2761</v>
      </c>
      <c r="I286" s="43" t="s">
        <v>2713</v>
      </c>
      <c r="J286" s="44" t="s">
        <v>692</v>
      </c>
      <c r="K286" s="43" t="s">
        <v>1212</v>
      </c>
      <c r="L286" s="44" t="s">
        <v>779</v>
      </c>
      <c r="M286" s="44">
        <v>0</v>
      </c>
      <c r="N286" s="45">
        <v>41333</v>
      </c>
      <c r="O286" s="4"/>
      <c r="P286" s="4"/>
      <c r="Q286" s="4"/>
      <c r="R286" s="4"/>
      <c r="S286" s="4"/>
      <c r="T286" s="4"/>
    </row>
    <row r="287" spans="1:21" customFormat="1" ht="15" customHeight="1" x14ac:dyDescent="0.2">
      <c r="A287" s="59" t="s">
        <v>2376</v>
      </c>
      <c r="B287" s="42" t="s">
        <v>725</v>
      </c>
      <c r="C287" s="42" t="s">
        <v>689</v>
      </c>
      <c r="D287" s="40">
        <v>40434</v>
      </c>
      <c r="E287" s="41">
        <v>1000</v>
      </c>
      <c r="F287" s="46">
        <v>1000</v>
      </c>
      <c r="G287" s="44" t="s">
        <v>253</v>
      </c>
      <c r="H287" s="57" t="s">
        <v>2839</v>
      </c>
      <c r="I287" s="43" t="s">
        <v>2713</v>
      </c>
      <c r="J287" s="44" t="s">
        <v>692</v>
      </c>
      <c r="K287" s="57" t="s">
        <v>694</v>
      </c>
      <c r="L287" s="56" t="s">
        <v>571</v>
      </c>
      <c r="M287" s="44">
        <v>0</v>
      </c>
      <c r="N287" s="45">
        <v>43131</v>
      </c>
      <c r="O287" s="4"/>
      <c r="P287" s="4"/>
      <c r="Q287" s="4"/>
      <c r="R287" s="4"/>
      <c r="S287" s="4"/>
      <c r="T287" s="4"/>
      <c r="U287" s="4"/>
    </row>
    <row r="288" spans="1:21" customFormat="1" ht="15" customHeight="1" x14ac:dyDescent="0.2">
      <c r="A288" s="59" t="s">
        <v>2124</v>
      </c>
      <c r="B288" s="42" t="s">
        <v>641</v>
      </c>
      <c r="C288" s="42" t="s">
        <v>693</v>
      </c>
      <c r="D288" s="40">
        <v>40534</v>
      </c>
      <c r="E288" s="41">
        <v>122.4</v>
      </c>
      <c r="F288" s="46">
        <v>122.4</v>
      </c>
      <c r="G288" s="44" t="s">
        <v>124</v>
      </c>
      <c r="H288" s="43" t="s">
        <v>2799</v>
      </c>
      <c r="I288" s="43" t="s">
        <v>2713</v>
      </c>
      <c r="J288" s="44" t="s">
        <v>393</v>
      </c>
      <c r="K288" s="43" t="s">
        <v>763</v>
      </c>
      <c r="L288" s="44" t="s">
        <v>34</v>
      </c>
      <c r="M288" s="44">
        <v>0</v>
      </c>
      <c r="N288" s="45">
        <v>42155</v>
      </c>
      <c r="O288" s="4"/>
      <c r="P288" s="4"/>
      <c r="Q288" s="4"/>
      <c r="R288" s="4"/>
      <c r="S288" s="4"/>
      <c r="T288" s="4"/>
      <c r="U288" s="4"/>
    </row>
    <row r="289" spans="1:21" customFormat="1" ht="15" customHeight="1" x14ac:dyDescent="0.2">
      <c r="A289" s="59" t="s">
        <v>2414</v>
      </c>
      <c r="B289" s="42" t="s">
        <v>696</v>
      </c>
      <c r="C289" s="42" t="s">
        <v>697</v>
      </c>
      <c r="D289" s="40">
        <v>40589</v>
      </c>
      <c r="E289" s="41">
        <v>401</v>
      </c>
      <c r="F289" s="46">
        <v>444</v>
      </c>
      <c r="G289" s="44" t="s">
        <v>420</v>
      </c>
      <c r="H289" s="43" t="s">
        <v>2719</v>
      </c>
      <c r="I289" s="43" t="s">
        <v>2713</v>
      </c>
      <c r="J289" s="44" t="s">
        <v>533</v>
      </c>
      <c r="K289" s="43" t="s">
        <v>647</v>
      </c>
      <c r="L289" s="44" t="s">
        <v>86</v>
      </c>
      <c r="M289" s="44">
        <v>0</v>
      </c>
      <c r="N289" s="45">
        <v>43890</v>
      </c>
      <c r="O289" s="4"/>
      <c r="P289" s="4"/>
      <c r="Q289" s="4"/>
      <c r="R289" s="4"/>
      <c r="S289" s="4"/>
      <c r="T289" s="4"/>
    </row>
    <row r="290" spans="1:21" customFormat="1" ht="15" customHeight="1" x14ac:dyDescent="0.2">
      <c r="A290" s="59" t="s">
        <v>2125</v>
      </c>
      <c r="B290" s="42" t="s">
        <v>698</v>
      </c>
      <c r="C290" s="42" t="s">
        <v>699</v>
      </c>
      <c r="D290" s="40">
        <v>40609</v>
      </c>
      <c r="E290" s="41">
        <v>19.8</v>
      </c>
      <c r="F290" s="46">
        <v>19.8</v>
      </c>
      <c r="G290" s="44" t="s">
        <v>124</v>
      </c>
      <c r="H290" s="43" t="s">
        <v>2733</v>
      </c>
      <c r="I290" s="43" t="s">
        <v>2713</v>
      </c>
      <c r="J290" s="44" t="s">
        <v>530</v>
      </c>
      <c r="K290" s="43" t="s">
        <v>700</v>
      </c>
      <c r="L290" s="44" t="s">
        <v>34</v>
      </c>
      <c r="M290" s="44">
        <v>0</v>
      </c>
      <c r="N290" s="45">
        <v>42855</v>
      </c>
      <c r="O290" s="4"/>
      <c r="P290" s="4"/>
      <c r="Q290" s="4"/>
      <c r="R290" s="4"/>
      <c r="S290" s="4"/>
      <c r="T290" s="4"/>
      <c r="U290" s="4"/>
    </row>
    <row r="291" spans="1:21" ht="15" customHeight="1" x14ac:dyDescent="0.2">
      <c r="A291" s="59" t="s">
        <v>2415</v>
      </c>
      <c r="B291" s="42" t="s">
        <v>1382</v>
      </c>
      <c r="C291" s="42" t="s">
        <v>1595</v>
      </c>
      <c r="D291" s="40">
        <v>40660</v>
      </c>
      <c r="E291" s="41">
        <v>500</v>
      </c>
      <c r="F291" s="46">
        <v>500</v>
      </c>
      <c r="G291" s="44" t="s">
        <v>124</v>
      </c>
      <c r="H291" s="43" t="s">
        <v>2840</v>
      </c>
      <c r="I291" s="43" t="s">
        <v>2713</v>
      </c>
      <c r="J291" s="44" t="s">
        <v>532</v>
      </c>
      <c r="K291" s="43" t="s">
        <v>1081</v>
      </c>
      <c r="L291" s="44" t="s">
        <v>87</v>
      </c>
      <c r="M291" s="44">
        <v>0</v>
      </c>
      <c r="N291" s="45">
        <v>44043</v>
      </c>
      <c r="U291"/>
    </row>
    <row r="292" spans="1:21" customFormat="1" ht="15" customHeight="1" x14ac:dyDescent="0.2">
      <c r="A292" s="59" t="s">
        <v>2126</v>
      </c>
      <c r="B292" s="42" t="s">
        <v>703</v>
      </c>
      <c r="C292" s="42" t="s">
        <v>704</v>
      </c>
      <c r="D292" s="40">
        <v>40667</v>
      </c>
      <c r="E292" s="41">
        <v>18</v>
      </c>
      <c r="F292" s="46">
        <v>18</v>
      </c>
      <c r="G292" s="44" t="s">
        <v>124</v>
      </c>
      <c r="H292" s="43" t="s">
        <v>2734</v>
      </c>
      <c r="I292" s="43" t="s">
        <v>2713</v>
      </c>
      <c r="J292" s="44" t="s">
        <v>530</v>
      </c>
      <c r="K292" s="43" t="s">
        <v>754</v>
      </c>
      <c r="L292" s="44" t="s">
        <v>34</v>
      </c>
      <c r="M292" s="44">
        <v>0</v>
      </c>
      <c r="N292" s="45">
        <v>41182</v>
      </c>
      <c r="U292" s="4"/>
    </row>
    <row r="293" spans="1:21" customFormat="1" ht="15" customHeight="1" x14ac:dyDescent="0.2">
      <c r="A293" s="59" t="s">
        <v>2127</v>
      </c>
      <c r="B293" s="42" t="s">
        <v>570</v>
      </c>
      <c r="C293" s="42" t="s">
        <v>709</v>
      </c>
      <c r="D293" s="40">
        <v>40739</v>
      </c>
      <c r="E293" s="54" t="s">
        <v>381</v>
      </c>
      <c r="F293" s="51" t="s">
        <v>381</v>
      </c>
      <c r="G293" s="44" t="s">
        <v>256</v>
      </c>
      <c r="H293" s="43" t="s">
        <v>2719</v>
      </c>
      <c r="I293" s="43" t="s">
        <v>2713</v>
      </c>
      <c r="J293" s="44" t="s">
        <v>533</v>
      </c>
      <c r="K293" s="43" t="s">
        <v>710</v>
      </c>
      <c r="L293" s="44" t="s">
        <v>596</v>
      </c>
      <c r="M293" s="44">
        <v>0</v>
      </c>
      <c r="N293" s="45">
        <v>41274</v>
      </c>
      <c r="O293" s="4"/>
      <c r="P293" s="4"/>
      <c r="Q293" s="4"/>
      <c r="R293" s="4"/>
      <c r="S293" s="4"/>
      <c r="T293" s="4"/>
    </row>
    <row r="294" spans="1:21" customFormat="1" ht="15" customHeight="1" x14ac:dyDescent="0.2">
      <c r="A294" s="59" t="s">
        <v>2128</v>
      </c>
      <c r="B294" s="42" t="s">
        <v>641</v>
      </c>
      <c r="C294" s="42" t="s">
        <v>718</v>
      </c>
      <c r="D294" s="40">
        <v>40757</v>
      </c>
      <c r="E294" s="41">
        <v>150.6</v>
      </c>
      <c r="F294" s="46">
        <v>150.6</v>
      </c>
      <c r="G294" s="44" t="s">
        <v>124</v>
      </c>
      <c r="H294" s="43" t="s">
        <v>2799</v>
      </c>
      <c r="I294" s="43" t="s">
        <v>2713</v>
      </c>
      <c r="J294" s="44" t="s">
        <v>393</v>
      </c>
      <c r="K294" s="43" t="s">
        <v>711</v>
      </c>
      <c r="L294" s="44" t="s">
        <v>34</v>
      </c>
      <c r="M294" s="44">
        <v>0</v>
      </c>
      <c r="N294" s="45">
        <v>41213</v>
      </c>
      <c r="O294" s="4"/>
      <c r="P294" s="4"/>
      <c r="Q294" s="4"/>
      <c r="R294" s="4"/>
      <c r="S294" s="4"/>
      <c r="T294" s="4"/>
      <c r="U294" s="4"/>
    </row>
    <row r="295" spans="1:21" customFormat="1" ht="15" customHeight="1" x14ac:dyDescent="0.2">
      <c r="A295" s="59" t="s">
        <v>2129</v>
      </c>
      <c r="B295" s="42" t="s">
        <v>544</v>
      </c>
      <c r="C295" s="42" t="s">
        <v>2130</v>
      </c>
      <c r="D295" s="40">
        <v>40800</v>
      </c>
      <c r="E295" s="51" t="s">
        <v>54</v>
      </c>
      <c r="F295" s="51" t="s">
        <v>54</v>
      </c>
      <c r="G295" s="44" t="s">
        <v>256</v>
      </c>
      <c r="H295" s="43" t="s">
        <v>2720</v>
      </c>
      <c r="I295" s="43" t="s">
        <v>2713</v>
      </c>
      <c r="J295" s="44" t="s">
        <v>539</v>
      </c>
      <c r="K295" s="43" t="s">
        <v>2131</v>
      </c>
      <c r="L295" s="44" t="s">
        <v>403</v>
      </c>
      <c r="M295" s="44">
        <v>0</v>
      </c>
      <c r="N295" s="45">
        <v>43312</v>
      </c>
      <c r="O295" s="4"/>
      <c r="P295" s="4"/>
      <c r="Q295" s="4"/>
      <c r="R295" s="4"/>
      <c r="S295" s="4"/>
      <c r="T295" s="4"/>
      <c r="U295" s="4"/>
    </row>
    <row r="296" spans="1:21" customFormat="1" ht="15" customHeight="1" x14ac:dyDescent="0.2">
      <c r="A296" s="59" t="s">
        <v>2132</v>
      </c>
      <c r="B296" s="42" t="s">
        <v>714</v>
      </c>
      <c r="C296" s="42" t="s">
        <v>715</v>
      </c>
      <c r="D296" s="40">
        <v>40840</v>
      </c>
      <c r="E296" s="41">
        <v>173.9</v>
      </c>
      <c r="F296" s="46">
        <v>192.8</v>
      </c>
      <c r="G296" s="44" t="s">
        <v>364</v>
      </c>
      <c r="H296" s="43" t="s">
        <v>2712</v>
      </c>
      <c r="I296" s="43" t="s">
        <v>2713</v>
      </c>
      <c r="J296" s="44" t="s">
        <v>533</v>
      </c>
      <c r="K296" s="43" t="s">
        <v>740</v>
      </c>
      <c r="L296" s="44" t="s">
        <v>403</v>
      </c>
      <c r="M296" s="44">
        <v>0</v>
      </c>
      <c r="N296" s="45">
        <v>41639</v>
      </c>
      <c r="O296" s="4"/>
      <c r="P296" s="4"/>
      <c r="Q296" s="4"/>
      <c r="R296" s="4"/>
      <c r="S296" s="4"/>
      <c r="T296" s="4"/>
    </row>
    <row r="297" spans="1:21" customFormat="1" ht="15" customHeight="1" x14ac:dyDescent="0.2">
      <c r="A297" s="59" t="s">
        <v>2133</v>
      </c>
      <c r="B297" s="42" t="s">
        <v>716</v>
      </c>
      <c r="C297" s="42" t="s">
        <v>717</v>
      </c>
      <c r="D297" s="40">
        <v>40844</v>
      </c>
      <c r="E297" s="41">
        <v>18</v>
      </c>
      <c r="F297" s="46">
        <v>18</v>
      </c>
      <c r="G297" s="44" t="s">
        <v>124</v>
      </c>
      <c r="H297" s="43" t="s">
        <v>2745</v>
      </c>
      <c r="I297" s="43" t="s">
        <v>2713</v>
      </c>
      <c r="J297" s="44" t="s">
        <v>471</v>
      </c>
      <c r="K297" s="43" t="s">
        <v>2134</v>
      </c>
      <c r="L297" s="44" t="s">
        <v>157</v>
      </c>
      <c r="M297" s="44">
        <v>0</v>
      </c>
      <c r="N297" s="45">
        <v>41670</v>
      </c>
      <c r="O297" s="4"/>
      <c r="P297" s="4"/>
      <c r="Q297" s="4"/>
      <c r="R297" s="4"/>
      <c r="S297" s="4"/>
      <c r="T297" s="4"/>
      <c r="U297" s="4"/>
    </row>
    <row r="298" spans="1:21" customFormat="1" ht="15" customHeight="1" x14ac:dyDescent="0.2">
      <c r="A298" s="59" t="s">
        <v>2377</v>
      </c>
      <c r="B298" s="42" t="s">
        <v>723</v>
      </c>
      <c r="C298" s="42" t="s">
        <v>724</v>
      </c>
      <c r="D298" s="40">
        <v>40847</v>
      </c>
      <c r="E298" s="41">
        <v>18</v>
      </c>
      <c r="F298" s="46">
        <v>18</v>
      </c>
      <c r="G298" s="44" t="s">
        <v>124</v>
      </c>
      <c r="H298" s="43" t="s">
        <v>2734</v>
      </c>
      <c r="I298" s="43" t="s">
        <v>2713</v>
      </c>
      <c r="J298" s="44" t="s">
        <v>530</v>
      </c>
      <c r="K298" s="43" t="s">
        <v>721</v>
      </c>
      <c r="L298" s="44" t="s">
        <v>34</v>
      </c>
      <c r="M298" s="44">
        <v>0</v>
      </c>
      <c r="N298" s="45">
        <v>43131</v>
      </c>
      <c r="O298" s="4"/>
      <c r="P298" s="4"/>
      <c r="Q298" s="4"/>
      <c r="R298" s="4"/>
      <c r="S298" s="4"/>
      <c r="T298" s="4"/>
      <c r="U298" s="4"/>
    </row>
    <row r="299" spans="1:21" customFormat="1" ht="15" customHeight="1" x14ac:dyDescent="0.2">
      <c r="A299" s="59" t="s">
        <v>2416</v>
      </c>
      <c r="B299" s="42" t="s">
        <v>719</v>
      </c>
      <c r="C299" s="42" t="s">
        <v>720</v>
      </c>
      <c r="D299" s="40">
        <v>40847</v>
      </c>
      <c r="E299" s="41">
        <v>33</v>
      </c>
      <c r="F299" s="46">
        <v>33</v>
      </c>
      <c r="G299" s="44" t="s">
        <v>124</v>
      </c>
      <c r="H299" s="43" t="s">
        <v>2737</v>
      </c>
      <c r="I299" s="43" t="s">
        <v>2713</v>
      </c>
      <c r="J299" s="44" t="s">
        <v>530</v>
      </c>
      <c r="K299" s="43" t="s">
        <v>755</v>
      </c>
      <c r="L299" s="44" t="s">
        <v>157</v>
      </c>
      <c r="M299" s="44">
        <v>0</v>
      </c>
      <c r="N299" s="45">
        <v>44255</v>
      </c>
      <c r="O299" s="4"/>
      <c r="P299" s="4"/>
      <c r="Q299" s="4"/>
      <c r="R299" s="4"/>
      <c r="S299" s="4"/>
      <c r="T299" s="4"/>
      <c r="U299" s="4"/>
    </row>
    <row r="300" spans="1:21" customFormat="1" ht="15" customHeight="1" x14ac:dyDescent="0.2">
      <c r="A300" s="59" t="s">
        <v>2135</v>
      </c>
      <c r="B300" s="42" t="s">
        <v>454</v>
      </c>
      <c r="C300" s="42" t="s">
        <v>726</v>
      </c>
      <c r="D300" s="40">
        <v>40960</v>
      </c>
      <c r="E300" s="41">
        <v>820</v>
      </c>
      <c r="F300" s="46">
        <v>820</v>
      </c>
      <c r="G300" s="44" t="s">
        <v>339</v>
      </c>
      <c r="H300" s="43" t="s">
        <v>2809</v>
      </c>
      <c r="I300" s="43" t="s">
        <v>2713</v>
      </c>
      <c r="J300" s="44" t="s">
        <v>539</v>
      </c>
      <c r="K300" s="43" t="s">
        <v>919</v>
      </c>
      <c r="L300" s="44" t="s">
        <v>41</v>
      </c>
      <c r="M300" s="44">
        <v>0</v>
      </c>
      <c r="N300" s="45">
        <v>42277</v>
      </c>
      <c r="O300" s="4"/>
      <c r="P300" s="4"/>
      <c r="Q300" s="4"/>
      <c r="R300" s="4"/>
      <c r="S300" s="4"/>
      <c r="T300" s="4"/>
      <c r="U300" s="4"/>
    </row>
    <row r="301" spans="1:21" customFormat="1" ht="15" customHeight="1" x14ac:dyDescent="0.2">
      <c r="A301" s="59" t="s">
        <v>2136</v>
      </c>
      <c r="B301" s="42" t="s">
        <v>730</v>
      </c>
      <c r="C301" s="42" t="s">
        <v>729</v>
      </c>
      <c r="D301" s="40">
        <v>40975</v>
      </c>
      <c r="E301" s="41">
        <v>32</v>
      </c>
      <c r="F301" s="46">
        <v>32</v>
      </c>
      <c r="G301" s="44" t="s">
        <v>124</v>
      </c>
      <c r="H301" s="43" t="s">
        <v>2732</v>
      </c>
      <c r="I301" s="43" t="s">
        <v>2713</v>
      </c>
      <c r="J301" s="44" t="s">
        <v>393</v>
      </c>
      <c r="K301" s="43" t="s">
        <v>727</v>
      </c>
      <c r="L301" s="44" t="s">
        <v>34</v>
      </c>
      <c r="M301" s="44">
        <v>0</v>
      </c>
      <c r="N301" s="45">
        <v>41029</v>
      </c>
    </row>
    <row r="302" spans="1:21" customFormat="1" ht="14.45" customHeight="1" x14ac:dyDescent="0.2">
      <c r="A302" s="59" t="s">
        <v>2137</v>
      </c>
      <c r="B302" s="42" t="s">
        <v>745</v>
      </c>
      <c r="C302" s="42" t="s">
        <v>746</v>
      </c>
      <c r="D302" s="40">
        <v>40983</v>
      </c>
      <c r="E302" s="54" t="s">
        <v>54</v>
      </c>
      <c r="F302" s="51" t="s">
        <v>54</v>
      </c>
      <c r="G302" s="44" t="s">
        <v>124</v>
      </c>
      <c r="H302" s="43" t="s">
        <v>54</v>
      </c>
      <c r="I302" s="43" t="s">
        <v>2713</v>
      </c>
      <c r="J302" s="44" t="s">
        <v>54</v>
      </c>
      <c r="K302" s="43" t="s">
        <v>54</v>
      </c>
      <c r="L302" s="44" t="s">
        <v>54</v>
      </c>
      <c r="M302" s="44">
        <v>0</v>
      </c>
      <c r="N302" s="45">
        <v>40025</v>
      </c>
      <c r="U302" s="4"/>
    </row>
    <row r="303" spans="1:21" ht="15" customHeight="1" x14ac:dyDescent="0.2">
      <c r="A303" s="59" t="s">
        <v>2138</v>
      </c>
      <c r="B303" s="42" t="s">
        <v>602</v>
      </c>
      <c r="C303" s="42" t="s">
        <v>728</v>
      </c>
      <c r="D303" s="40">
        <v>40984</v>
      </c>
      <c r="E303" s="41">
        <v>3.2</v>
      </c>
      <c r="F303" s="46">
        <v>3.2</v>
      </c>
      <c r="G303" s="44" t="s">
        <v>440</v>
      </c>
      <c r="H303" s="43" t="s">
        <v>2758</v>
      </c>
      <c r="I303" s="43" t="s">
        <v>2713</v>
      </c>
      <c r="J303" s="44" t="s">
        <v>540</v>
      </c>
      <c r="K303" s="43" t="s">
        <v>734</v>
      </c>
      <c r="L303" s="44" t="s">
        <v>157</v>
      </c>
      <c r="M303" s="44">
        <v>0</v>
      </c>
      <c r="N303" s="45">
        <v>42490</v>
      </c>
    </row>
    <row r="304" spans="1:21" customFormat="1" ht="15" customHeight="1" x14ac:dyDescent="0.2">
      <c r="A304" s="59" t="s">
        <v>2139</v>
      </c>
      <c r="B304" s="42" t="s">
        <v>400</v>
      </c>
      <c r="C304" s="42" t="s">
        <v>732</v>
      </c>
      <c r="D304" s="40">
        <v>41023</v>
      </c>
      <c r="E304" s="41">
        <v>6.4</v>
      </c>
      <c r="F304" s="46">
        <v>6.4</v>
      </c>
      <c r="G304" s="44" t="s">
        <v>440</v>
      </c>
      <c r="H304" s="43" t="s">
        <v>401</v>
      </c>
      <c r="I304" s="43" t="s">
        <v>2713</v>
      </c>
      <c r="J304" s="44" t="s">
        <v>393</v>
      </c>
      <c r="K304" s="43" t="s">
        <v>735</v>
      </c>
      <c r="L304" s="44" t="s">
        <v>34</v>
      </c>
      <c r="M304" s="44">
        <v>0</v>
      </c>
      <c r="N304" s="45">
        <v>41425</v>
      </c>
      <c r="O304" s="4"/>
      <c r="P304" s="4"/>
      <c r="Q304" s="4"/>
      <c r="R304" s="4"/>
      <c r="S304" s="4"/>
      <c r="T304" s="4"/>
      <c r="U304" s="4"/>
    </row>
    <row r="305" spans="1:21" customFormat="1" ht="15" customHeight="1" x14ac:dyDescent="0.2">
      <c r="A305" s="59" t="s">
        <v>2140</v>
      </c>
      <c r="B305" s="42" t="s">
        <v>2141</v>
      </c>
      <c r="C305" s="42" t="s">
        <v>736</v>
      </c>
      <c r="D305" s="40">
        <v>41044</v>
      </c>
      <c r="E305" s="41">
        <v>79.900000000000006</v>
      </c>
      <c r="F305" s="46">
        <v>79.900000000000006</v>
      </c>
      <c r="G305" s="44" t="s">
        <v>124</v>
      </c>
      <c r="H305" s="43" t="s">
        <v>2804</v>
      </c>
      <c r="I305" s="43" t="s">
        <v>2713</v>
      </c>
      <c r="J305" s="44" t="s">
        <v>393</v>
      </c>
      <c r="K305" s="43" t="s">
        <v>739</v>
      </c>
      <c r="L305" s="44" t="s">
        <v>34</v>
      </c>
      <c r="M305" s="44">
        <v>0</v>
      </c>
      <c r="N305" s="45">
        <v>41213</v>
      </c>
      <c r="O305" s="4"/>
      <c r="P305" s="4"/>
      <c r="Q305" s="4"/>
      <c r="R305" s="4"/>
      <c r="S305" s="4"/>
      <c r="T305" s="4"/>
      <c r="U305" s="4"/>
    </row>
    <row r="306" spans="1:21" customFormat="1" ht="15" customHeight="1" x14ac:dyDescent="0.2">
      <c r="A306" s="59" t="s">
        <v>2142</v>
      </c>
      <c r="B306" s="42" t="s">
        <v>737</v>
      </c>
      <c r="C306" s="42" t="s">
        <v>509</v>
      </c>
      <c r="D306" s="40">
        <v>41059</v>
      </c>
      <c r="E306" s="41">
        <v>91.2</v>
      </c>
      <c r="F306" s="46">
        <v>95.5</v>
      </c>
      <c r="G306" s="44" t="s">
        <v>364</v>
      </c>
      <c r="H306" s="43" t="s">
        <v>2715</v>
      </c>
      <c r="I306" s="43" t="s">
        <v>2713</v>
      </c>
      <c r="J306" s="44" t="s">
        <v>533</v>
      </c>
      <c r="K306" s="43" t="s">
        <v>408</v>
      </c>
      <c r="L306" s="44" t="s">
        <v>403</v>
      </c>
      <c r="M306" s="44">
        <v>0</v>
      </c>
      <c r="N306" s="45">
        <v>43190</v>
      </c>
      <c r="O306" s="4"/>
      <c r="P306" s="4"/>
      <c r="Q306" s="4"/>
      <c r="R306" s="4"/>
      <c r="S306" s="4"/>
      <c r="T306" s="4"/>
      <c r="U306" s="4"/>
    </row>
    <row r="307" spans="1:21" customFormat="1" ht="15" customHeight="1" x14ac:dyDescent="0.2">
      <c r="A307" s="59" t="s">
        <v>2378</v>
      </c>
      <c r="B307" s="42" t="s">
        <v>382</v>
      </c>
      <c r="C307" s="42" t="s">
        <v>738</v>
      </c>
      <c r="D307" s="40">
        <v>41059</v>
      </c>
      <c r="E307" s="41">
        <v>775</v>
      </c>
      <c r="F307" s="46">
        <v>814</v>
      </c>
      <c r="G307" s="44" t="s">
        <v>339</v>
      </c>
      <c r="H307" s="43" t="s">
        <v>2720</v>
      </c>
      <c r="I307" s="43" t="s">
        <v>2713</v>
      </c>
      <c r="J307" s="44" t="s">
        <v>539</v>
      </c>
      <c r="K307" s="43" t="s">
        <v>1540</v>
      </c>
      <c r="L307" s="44" t="s">
        <v>1162</v>
      </c>
      <c r="M307" s="44">
        <v>0</v>
      </c>
      <c r="N307" s="45">
        <v>43677</v>
      </c>
      <c r="O307" s="4"/>
      <c r="P307" s="4"/>
      <c r="Q307" s="4"/>
      <c r="R307" s="4"/>
      <c r="S307" s="4"/>
      <c r="T307" s="4"/>
      <c r="U307" s="4"/>
    </row>
    <row r="308" spans="1:21" customFormat="1" ht="15" customHeight="1" x14ac:dyDescent="0.2">
      <c r="A308" s="59" t="s">
        <v>2143</v>
      </c>
      <c r="B308" s="42" t="s">
        <v>194</v>
      </c>
      <c r="C308" s="42" t="s">
        <v>741</v>
      </c>
      <c r="D308" s="40">
        <v>41075</v>
      </c>
      <c r="E308" s="54" t="s">
        <v>381</v>
      </c>
      <c r="F308" s="51" t="s">
        <v>381</v>
      </c>
      <c r="G308" s="44" t="s">
        <v>256</v>
      </c>
      <c r="H308" s="43" t="s">
        <v>2770</v>
      </c>
      <c r="I308" s="43" t="s">
        <v>2713</v>
      </c>
      <c r="J308" s="44" t="s">
        <v>794</v>
      </c>
      <c r="K308" s="43" t="s">
        <v>742</v>
      </c>
      <c r="L308" s="44" t="s">
        <v>571</v>
      </c>
      <c r="M308" s="44">
        <v>0</v>
      </c>
      <c r="N308" s="45">
        <v>42521</v>
      </c>
      <c r="O308" s="4"/>
      <c r="P308" s="4"/>
      <c r="Q308" s="4"/>
      <c r="R308" s="4"/>
      <c r="S308" s="4"/>
      <c r="T308" s="4"/>
      <c r="U308" s="4"/>
    </row>
    <row r="309" spans="1:21" ht="15" customHeight="1" x14ac:dyDescent="0.2">
      <c r="A309" s="59" t="s">
        <v>2144</v>
      </c>
      <c r="B309" s="42" t="s">
        <v>194</v>
      </c>
      <c r="C309" s="42" t="s">
        <v>743</v>
      </c>
      <c r="D309" s="40">
        <v>41075</v>
      </c>
      <c r="E309" s="54" t="s">
        <v>381</v>
      </c>
      <c r="F309" s="51" t="s">
        <v>381</v>
      </c>
      <c r="G309" s="44" t="s">
        <v>256</v>
      </c>
      <c r="H309" s="43" t="s">
        <v>2841</v>
      </c>
      <c r="I309" s="43" t="s">
        <v>2713</v>
      </c>
      <c r="J309" s="44" t="s">
        <v>794</v>
      </c>
      <c r="K309" s="43" t="s">
        <v>795</v>
      </c>
      <c r="L309" s="44" t="s">
        <v>571</v>
      </c>
      <c r="M309" s="44">
        <v>0</v>
      </c>
      <c r="N309" s="45">
        <v>42063</v>
      </c>
    </row>
    <row r="310" spans="1:21" customFormat="1" ht="15" customHeight="1" x14ac:dyDescent="0.2">
      <c r="A310" s="59" t="s">
        <v>2417</v>
      </c>
      <c r="B310" s="42" t="s">
        <v>1161</v>
      </c>
      <c r="C310" s="42" t="s">
        <v>744</v>
      </c>
      <c r="D310" s="40">
        <v>41088</v>
      </c>
      <c r="E310" s="41">
        <v>400</v>
      </c>
      <c r="F310" s="46">
        <v>400</v>
      </c>
      <c r="G310" s="44" t="s">
        <v>253</v>
      </c>
      <c r="H310" s="43" t="s">
        <v>2735</v>
      </c>
      <c r="I310" s="43" t="s">
        <v>2713</v>
      </c>
      <c r="J310" s="44" t="s">
        <v>420</v>
      </c>
      <c r="K310" s="43" t="s">
        <v>920</v>
      </c>
      <c r="L310" s="44" t="s">
        <v>41</v>
      </c>
      <c r="M310" s="44">
        <v>0</v>
      </c>
      <c r="N310" s="45">
        <v>44865</v>
      </c>
      <c r="O310" s="4"/>
      <c r="P310" s="4"/>
      <c r="Q310" s="4"/>
      <c r="R310" s="4"/>
      <c r="S310" s="4"/>
      <c r="T310" s="4"/>
      <c r="U310" s="4"/>
    </row>
    <row r="311" spans="1:21" ht="15" customHeight="1" x14ac:dyDescent="0.2">
      <c r="A311" s="59" t="s">
        <v>2145</v>
      </c>
      <c r="B311" s="42" t="s">
        <v>751</v>
      </c>
      <c r="C311" s="42" t="s">
        <v>750</v>
      </c>
      <c r="D311" s="40">
        <v>41114</v>
      </c>
      <c r="E311" s="41">
        <v>17</v>
      </c>
      <c r="F311" s="46">
        <v>17</v>
      </c>
      <c r="G311" s="44" t="s">
        <v>55</v>
      </c>
      <c r="H311" s="43" t="s">
        <v>2740</v>
      </c>
      <c r="I311" s="43" t="s">
        <v>2713</v>
      </c>
      <c r="J311" s="44" t="s">
        <v>530</v>
      </c>
      <c r="K311" s="43" t="s">
        <v>749</v>
      </c>
      <c r="L311" s="44" t="s">
        <v>157</v>
      </c>
      <c r="M311" s="44">
        <v>0</v>
      </c>
      <c r="N311" s="45">
        <v>41182</v>
      </c>
      <c r="O311"/>
      <c r="P311"/>
      <c r="Q311"/>
      <c r="R311"/>
      <c r="S311"/>
      <c r="T311"/>
      <c r="U311"/>
    </row>
    <row r="312" spans="1:21" customFormat="1" ht="15" customHeight="1" x14ac:dyDescent="0.2">
      <c r="A312" s="59" t="s">
        <v>2146</v>
      </c>
      <c r="B312" s="42" t="s">
        <v>757</v>
      </c>
      <c r="C312" s="42" t="s">
        <v>756</v>
      </c>
      <c r="D312" s="40">
        <v>41135</v>
      </c>
      <c r="E312" s="41">
        <v>0.9</v>
      </c>
      <c r="F312" s="46">
        <v>0.9</v>
      </c>
      <c r="G312" s="44" t="s">
        <v>758</v>
      </c>
      <c r="H312" s="43" t="s">
        <v>2788</v>
      </c>
      <c r="I312" s="43" t="s">
        <v>2713</v>
      </c>
      <c r="J312" s="44" t="s">
        <v>530</v>
      </c>
      <c r="K312" s="43" t="s">
        <v>759</v>
      </c>
      <c r="L312" s="44" t="s">
        <v>157</v>
      </c>
      <c r="M312" s="44">
        <v>0</v>
      </c>
      <c r="N312" s="45">
        <v>41182</v>
      </c>
    </row>
    <row r="313" spans="1:21" ht="15" customHeight="1" x14ac:dyDescent="0.2">
      <c r="A313" s="59" t="s">
        <v>2147</v>
      </c>
      <c r="B313" s="42" t="s">
        <v>764</v>
      </c>
      <c r="C313" s="42" t="s">
        <v>765</v>
      </c>
      <c r="D313" s="40">
        <v>41173</v>
      </c>
      <c r="E313" s="54" t="s">
        <v>381</v>
      </c>
      <c r="F313" s="51" t="s">
        <v>381</v>
      </c>
      <c r="G313" s="44" t="s">
        <v>256</v>
      </c>
      <c r="H313" s="43" t="s">
        <v>2791</v>
      </c>
      <c r="I313" s="43" t="s">
        <v>2713</v>
      </c>
      <c r="J313" s="44" t="s">
        <v>530</v>
      </c>
      <c r="K313" s="43" t="s">
        <v>766</v>
      </c>
      <c r="L313" s="58" t="s">
        <v>643</v>
      </c>
      <c r="M313" s="44">
        <v>0</v>
      </c>
      <c r="N313" s="45">
        <v>42400</v>
      </c>
    </row>
    <row r="314" spans="1:21" customFormat="1" ht="14.45" customHeight="1" x14ac:dyDescent="0.2">
      <c r="A314" s="59" t="s">
        <v>2148</v>
      </c>
      <c r="B314" s="42" t="s">
        <v>768</v>
      </c>
      <c r="C314" s="42" t="s">
        <v>767</v>
      </c>
      <c r="D314" s="40">
        <v>41187</v>
      </c>
      <c r="E314" s="54" t="s">
        <v>381</v>
      </c>
      <c r="F314" s="51" t="s">
        <v>381</v>
      </c>
      <c r="G314" s="44" t="s">
        <v>256</v>
      </c>
      <c r="H314" s="43" t="s">
        <v>590</v>
      </c>
      <c r="I314" s="43" t="s">
        <v>2713</v>
      </c>
      <c r="J314" s="44" t="s">
        <v>393</v>
      </c>
      <c r="K314" s="43" t="s">
        <v>769</v>
      </c>
      <c r="L314" s="58" t="s">
        <v>643</v>
      </c>
      <c r="M314" s="44">
        <v>0</v>
      </c>
      <c r="N314" s="45">
        <v>42521</v>
      </c>
      <c r="O314" s="4"/>
      <c r="P314" s="4"/>
      <c r="Q314" s="4"/>
      <c r="R314" s="4"/>
      <c r="S314" s="4"/>
      <c r="T314" s="4"/>
      <c r="U314" s="4"/>
    </row>
    <row r="315" spans="1:21" customFormat="1" ht="15" customHeight="1" x14ac:dyDescent="0.2">
      <c r="A315" s="59" t="s">
        <v>2419</v>
      </c>
      <c r="B315" s="60" t="s">
        <v>1232</v>
      </c>
      <c r="C315" s="60" t="s">
        <v>1272</v>
      </c>
      <c r="D315" s="40">
        <v>41198</v>
      </c>
      <c r="E315" s="61">
        <v>94.2</v>
      </c>
      <c r="F315" s="62">
        <v>57</v>
      </c>
      <c r="G315" s="63" t="s">
        <v>420</v>
      </c>
      <c r="H315" s="64" t="s">
        <v>2719</v>
      </c>
      <c r="I315" s="64" t="s">
        <v>2713</v>
      </c>
      <c r="J315" s="63" t="s">
        <v>533</v>
      </c>
      <c r="K315" s="64" t="s">
        <v>4066</v>
      </c>
      <c r="L315" s="63" t="s">
        <v>86</v>
      </c>
      <c r="M315" s="44">
        <v>0</v>
      </c>
      <c r="N315" s="65">
        <v>44957</v>
      </c>
      <c r="O315" s="4"/>
      <c r="P315" s="4"/>
      <c r="Q315" s="4"/>
      <c r="R315" s="4"/>
      <c r="S315" s="4"/>
      <c r="T315" s="4"/>
      <c r="U315" s="4"/>
    </row>
    <row r="316" spans="1:21" ht="15" customHeight="1" x14ac:dyDescent="0.2">
      <c r="A316" s="59" t="s">
        <v>2149</v>
      </c>
      <c r="B316" s="42" t="s">
        <v>776</v>
      </c>
      <c r="C316" s="42" t="s">
        <v>775</v>
      </c>
      <c r="D316" s="40">
        <v>41284</v>
      </c>
      <c r="E316" s="41">
        <v>12.5</v>
      </c>
      <c r="F316" s="46">
        <v>12.5</v>
      </c>
      <c r="G316" s="44" t="s">
        <v>124</v>
      </c>
      <c r="H316" s="43" t="s">
        <v>2805</v>
      </c>
      <c r="I316" s="43" t="s">
        <v>2713</v>
      </c>
      <c r="J316" s="44" t="s">
        <v>393</v>
      </c>
      <c r="K316" s="43" t="s">
        <v>793</v>
      </c>
      <c r="L316" s="44" t="s">
        <v>34</v>
      </c>
      <c r="M316" s="44">
        <v>0</v>
      </c>
      <c r="N316" s="45">
        <v>42978</v>
      </c>
      <c r="O316"/>
      <c r="P316"/>
      <c r="Q316"/>
      <c r="R316"/>
      <c r="S316"/>
      <c r="T316"/>
    </row>
    <row r="317" spans="1:21" customFormat="1" ht="15" customHeight="1" x14ac:dyDescent="0.2">
      <c r="A317" s="59" t="s">
        <v>2150</v>
      </c>
      <c r="B317" s="42" t="s">
        <v>789</v>
      </c>
      <c r="C317" s="42" t="s">
        <v>790</v>
      </c>
      <c r="D317" s="40">
        <v>41332</v>
      </c>
      <c r="E317" s="41">
        <v>1000</v>
      </c>
      <c r="F317" s="46">
        <v>1000</v>
      </c>
      <c r="G317" s="44" t="s">
        <v>253</v>
      </c>
      <c r="H317" s="43" t="s">
        <v>2790</v>
      </c>
      <c r="I317" s="43" t="s">
        <v>2713</v>
      </c>
      <c r="J317" s="44" t="s">
        <v>791</v>
      </c>
      <c r="K317" s="43" t="s">
        <v>792</v>
      </c>
      <c r="L317" s="44" t="s">
        <v>796</v>
      </c>
      <c r="M317" s="44">
        <v>0</v>
      </c>
      <c r="N317" s="45">
        <v>41455</v>
      </c>
      <c r="O317" s="4"/>
      <c r="P317" s="4"/>
      <c r="Q317" s="4"/>
      <c r="R317" s="4"/>
      <c r="S317" s="4"/>
      <c r="T317" s="4"/>
      <c r="U317" s="4"/>
    </row>
    <row r="318" spans="1:21" ht="15" customHeight="1" x14ac:dyDescent="0.2">
      <c r="A318" s="59" t="s">
        <v>2151</v>
      </c>
      <c r="B318" s="42" t="s">
        <v>797</v>
      </c>
      <c r="C318" s="42" t="s">
        <v>800</v>
      </c>
      <c r="D318" s="40">
        <v>41337</v>
      </c>
      <c r="E318" s="41">
        <v>208</v>
      </c>
      <c r="F318" s="46">
        <v>204</v>
      </c>
      <c r="G318" s="44" t="s">
        <v>364</v>
      </c>
      <c r="H318" s="43" t="s">
        <v>384</v>
      </c>
      <c r="I318" s="43" t="s">
        <v>2781</v>
      </c>
      <c r="J318" s="44" t="s">
        <v>533</v>
      </c>
      <c r="K318" s="43" t="s">
        <v>801</v>
      </c>
      <c r="L318" s="44" t="s">
        <v>403</v>
      </c>
      <c r="M318" s="44">
        <v>0</v>
      </c>
      <c r="N318" s="45">
        <v>42308</v>
      </c>
    </row>
    <row r="319" spans="1:21" ht="15" customHeight="1" x14ac:dyDescent="0.2">
      <c r="A319" s="59" t="s">
        <v>2379</v>
      </c>
      <c r="B319" s="42" t="s">
        <v>798</v>
      </c>
      <c r="C319" s="42" t="s">
        <v>799</v>
      </c>
      <c r="D319" s="40">
        <v>41355</v>
      </c>
      <c r="E319" s="41">
        <v>599</v>
      </c>
      <c r="F319" s="46">
        <v>632</v>
      </c>
      <c r="G319" s="44" t="s">
        <v>420</v>
      </c>
      <c r="H319" s="43" t="s">
        <v>2716</v>
      </c>
      <c r="I319" s="43" t="s">
        <v>2713</v>
      </c>
      <c r="J319" s="44" t="s">
        <v>532</v>
      </c>
      <c r="K319" s="43" t="s">
        <v>802</v>
      </c>
      <c r="L319" s="44" t="s">
        <v>87</v>
      </c>
      <c r="M319" s="44">
        <v>0</v>
      </c>
      <c r="N319" s="45">
        <v>43373</v>
      </c>
    </row>
    <row r="320" spans="1:21" customFormat="1" ht="15" customHeight="1" x14ac:dyDescent="0.2">
      <c r="A320" s="59" t="s">
        <v>2152</v>
      </c>
      <c r="B320" s="42" t="s">
        <v>806</v>
      </c>
      <c r="C320" s="42" t="s">
        <v>808</v>
      </c>
      <c r="D320" s="40">
        <v>41411</v>
      </c>
      <c r="E320" s="66" t="s">
        <v>381</v>
      </c>
      <c r="F320" s="53" t="s">
        <v>381</v>
      </c>
      <c r="G320" s="44" t="s">
        <v>256</v>
      </c>
      <c r="H320" s="43" t="s">
        <v>2792</v>
      </c>
      <c r="I320" s="43" t="s">
        <v>2713</v>
      </c>
      <c r="J320" s="44" t="s">
        <v>812</v>
      </c>
      <c r="K320" s="43" t="s">
        <v>816</v>
      </c>
      <c r="L320" s="67" t="s">
        <v>807</v>
      </c>
      <c r="M320" s="44">
        <v>0</v>
      </c>
      <c r="N320" s="45">
        <v>42063</v>
      </c>
      <c r="O320" s="4"/>
      <c r="P320" s="4"/>
      <c r="Q320" s="4"/>
      <c r="R320" s="4"/>
      <c r="S320" s="4"/>
      <c r="T320" s="4"/>
      <c r="U320" s="4"/>
    </row>
    <row r="321" spans="1:21" ht="15" customHeight="1" x14ac:dyDescent="0.2">
      <c r="A321" s="59" t="s">
        <v>2153</v>
      </c>
      <c r="B321" s="42" t="s">
        <v>806</v>
      </c>
      <c r="C321" s="42" t="s">
        <v>835</v>
      </c>
      <c r="D321" s="40">
        <v>41429</v>
      </c>
      <c r="E321" s="66" t="s">
        <v>381</v>
      </c>
      <c r="F321" s="53" t="s">
        <v>381</v>
      </c>
      <c r="G321" s="44" t="s">
        <v>256</v>
      </c>
      <c r="H321" s="43" t="s">
        <v>2721</v>
      </c>
      <c r="I321" s="43" t="s">
        <v>2713</v>
      </c>
      <c r="J321" s="44" t="s">
        <v>471</v>
      </c>
      <c r="K321" s="43" t="s">
        <v>836</v>
      </c>
      <c r="L321" s="44" t="s">
        <v>157</v>
      </c>
      <c r="M321" s="44">
        <v>0</v>
      </c>
      <c r="N321" s="45">
        <v>42521</v>
      </c>
      <c r="U321"/>
    </row>
    <row r="322" spans="1:21" ht="15" customHeight="1" x14ac:dyDescent="0.2">
      <c r="A322" s="59" t="s">
        <v>2154</v>
      </c>
      <c r="B322" s="42" t="s">
        <v>806</v>
      </c>
      <c r="C322" s="42" t="s">
        <v>809</v>
      </c>
      <c r="D322" s="40">
        <v>41446</v>
      </c>
      <c r="E322" s="66" t="s">
        <v>381</v>
      </c>
      <c r="F322" s="53" t="s">
        <v>381</v>
      </c>
      <c r="G322" s="44" t="s">
        <v>256</v>
      </c>
      <c r="H322" s="43" t="s">
        <v>2764</v>
      </c>
      <c r="I322" s="43" t="s">
        <v>2713</v>
      </c>
      <c r="J322" s="44" t="s">
        <v>818</v>
      </c>
      <c r="K322" s="43" t="s">
        <v>811</v>
      </c>
      <c r="L322" s="44" t="s">
        <v>34</v>
      </c>
      <c r="M322" s="44">
        <v>0</v>
      </c>
      <c r="N322" s="45">
        <v>42369</v>
      </c>
      <c r="U322"/>
    </row>
    <row r="323" spans="1:21" ht="15" customHeight="1" x14ac:dyDescent="0.2">
      <c r="A323" s="59" t="s">
        <v>2155</v>
      </c>
      <c r="B323" s="42" t="s">
        <v>806</v>
      </c>
      <c r="C323" s="42" t="s">
        <v>810</v>
      </c>
      <c r="D323" s="40">
        <v>41446</v>
      </c>
      <c r="E323" s="66" t="s">
        <v>381</v>
      </c>
      <c r="F323" s="53" t="s">
        <v>381</v>
      </c>
      <c r="G323" s="44" t="s">
        <v>256</v>
      </c>
      <c r="H323" s="43" t="s">
        <v>2792</v>
      </c>
      <c r="I323" s="43" t="s">
        <v>2713</v>
      </c>
      <c r="J323" s="44" t="s">
        <v>812</v>
      </c>
      <c r="K323" s="43" t="s">
        <v>816</v>
      </c>
      <c r="L323" s="67" t="s">
        <v>807</v>
      </c>
      <c r="M323" s="44">
        <v>0</v>
      </c>
      <c r="N323" s="45">
        <v>42063</v>
      </c>
    </row>
    <row r="324" spans="1:21" ht="15" customHeight="1" x14ac:dyDescent="0.2">
      <c r="A324" s="59" t="s">
        <v>2156</v>
      </c>
      <c r="B324" s="42" t="s">
        <v>194</v>
      </c>
      <c r="C324" s="42" t="s">
        <v>829</v>
      </c>
      <c r="D324" s="40">
        <v>41456</v>
      </c>
      <c r="E324" s="66" t="s">
        <v>381</v>
      </c>
      <c r="F324" s="53" t="s">
        <v>381</v>
      </c>
      <c r="G324" s="44" t="s">
        <v>256</v>
      </c>
      <c r="H324" s="43" t="s">
        <v>2792</v>
      </c>
      <c r="I324" s="43" t="s">
        <v>2713</v>
      </c>
      <c r="J324" s="44" t="s">
        <v>812</v>
      </c>
      <c r="K324" s="43" t="s">
        <v>830</v>
      </c>
      <c r="L324" s="44" t="s">
        <v>157</v>
      </c>
      <c r="M324" s="44">
        <v>0</v>
      </c>
      <c r="N324" s="45">
        <v>42063</v>
      </c>
    </row>
    <row r="325" spans="1:21" customFormat="1" ht="15" customHeight="1" x14ac:dyDescent="0.2">
      <c r="A325" s="59" t="s">
        <v>2157</v>
      </c>
      <c r="B325" s="42" t="s">
        <v>194</v>
      </c>
      <c r="C325" s="42" t="s">
        <v>831</v>
      </c>
      <c r="D325" s="40">
        <v>41456</v>
      </c>
      <c r="E325" s="66" t="s">
        <v>381</v>
      </c>
      <c r="F325" s="53" t="s">
        <v>381</v>
      </c>
      <c r="G325" s="44" t="s">
        <v>256</v>
      </c>
      <c r="H325" s="43" t="s">
        <v>2792</v>
      </c>
      <c r="I325" s="43" t="s">
        <v>2713</v>
      </c>
      <c r="J325" s="44" t="s">
        <v>542</v>
      </c>
      <c r="K325" s="43" t="s">
        <v>830</v>
      </c>
      <c r="L325" s="44" t="s">
        <v>157</v>
      </c>
      <c r="M325" s="44">
        <v>0</v>
      </c>
      <c r="N325" s="45">
        <v>42063</v>
      </c>
      <c r="O325" s="4"/>
      <c r="P325" s="4"/>
      <c r="Q325" s="4"/>
      <c r="R325" s="4"/>
      <c r="S325" s="4"/>
      <c r="T325" s="4"/>
      <c r="U325" s="4"/>
    </row>
    <row r="326" spans="1:21" x14ac:dyDescent="0.2">
      <c r="A326" s="59" t="s">
        <v>2158</v>
      </c>
      <c r="B326" s="42" t="s">
        <v>194</v>
      </c>
      <c r="C326" s="42" t="s">
        <v>832</v>
      </c>
      <c r="D326" s="40">
        <v>41456</v>
      </c>
      <c r="E326" s="66" t="s">
        <v>381</v>
      </c>
      <c r="F326" s="53" t="s">
        <v>381</v>
      </c>
      <c r="G326" s="44" t="s">
        <v>256</v>
      </c>
      <c r="H326" s="43" t="s">
        <v>2792</v>
      </c>
      <c r="I326" s="43" t="s">
        <v>2713</v>
      </c>
      <c r="J326" s="44" t="s">
        <v>542</v>
      </c>
      <c r="K326" s="43" t="s">
        <v>830</v>
      </c>
      <c r="L326" s="44" t="s">
        <v>157</v>
      </c>
      <c r="M326" s="44">
        <v>0</v>
      </c>
      <c r="N326" s="45">
        <v>42063</v>
      </c>
      <c r="U326"/>
    </row>
    <row r="327" spans="1:21" ht="15" customHeight="1" x14ac:dyDescent="0.2">
      <c r="A327" s="59" t="s">
        <v>2159</v>
      </c>
      <c r="B327" s="42" t="s">
        <v>194</v>
      </c>
      <c r="C327" s="42" t="s">
        <v>833</v>
      </c>
      <c r="D327" s="40">
        <v>41456</v>
      </c>
      <c r="E327" s="66" t="s">
        <v>381</v>
      </c>
      <c r="F327" s="53" t="s">
        <v>381</v>
      </c>
      <c r="G327" s="44" t="s">
        <v>256</v>
      </c>
      <c r="H327" s="43" t="s">
        <v>2792</v>
      </c>
      <c r="I327" s="43" t="s">
        <v>2713</v>
      </c>
      <c r="J327" s="44" t="s">
        <v>542</v>
      </c>
      <c r="K327" s="43" t="s">
        <v>830</v>
      </c>
      <c r="L327" s="44" t="s">
        <v>157</v>
      </c>
      <c r="M327" s="44">
        <v>0</v>
      </c>
      <c r="N327" s="45">
        <v>42063</v>
      </c>
      <c r="O327"/>
      <c r="P327"/>
      <c r="Q327"/>
      <c r="R327"/>
      <c r="S327"/>
      <c r="T327"/>
    </row>
    <row r="328" spans="1:21" ht="15" customHeight="1" x14ac:dyDescent="0.2">
      <c r="A328" s="59" t="s">
        <v>2160</v>
      </c>
      <c r="B328" s="42" t="s">
        <v>813</v>
      </c>
      <c r="C328" s="42" t="s">
        <v>814</v>
      </c>
      <c r="D328" s="40">
        <v>41456</v>
      </c>
      <c r="E328" s="41">
        <v>400</v>
      </c>
      <c r="F328" s="46">
        <v>400</v>
      </c>
      <c r="G328" s="44" t="s">
        <v>256</v>
      </c>
      <c r="H328" s="43" t="s">
        <v>2713</v>
      </c>
      <c r="I328" s="43" t="s">
        <v>2713</v>
      </c>
      <c r="J328" s="44" t="s">
        <v>533</v>
      </c>
      <c r="K328" s="43" t="s">
        <v>815</v>
      </c>
      <c r="L328" s="44" t="s">
        <v>403</v>
      </c>
      <c r="M328" s="44">
        <v>0</v>
      </c>
      <c r="N328" s="45">
        <v>41639</v>
      </c>
    </row>
    <row r="329" spans="1:21" ht="15" customHeight="1" x14ac:dyDescent="0.2">
      <c r="A329" s="59" t="s">
        <v>2161</v>
      </c>
      <c r="B329" s="42" t="s">
        <v>4933</v>
      </c>
      <c r="C329" s="42" t="s">
        <v>809</v>
      </c>
      <c r="D329" s="40">
        <v>41506</v>
      </c>
      <c r="E329" s="68" t="s">
        <v>54</v>
      </c>
      <c r="F329" s="50" t="s">
        <v>54</v>
      </c>
      <c r="G329" s="44" t="s">
        <v>256</v>
      </c>
      <c r="H329" s="43" t="s">
        <v>2764</v>
      </c>
      <c r="I329" s="43" t="s">
        <v>2713</v>
      </c>
      <c r="J329" s="44" t="s">
        <v>818</v>
      </c>
      <c r="K329" s="43" t="s">
        <v>811</v>
      </c>
      <c r="L329" s="44" t="s">
        <v>34</v>
      </c>
      <c r="M329" s="44">
        <v>0</v>
      </c>
      <c r="N329" s="45">
        <v>42582</v>
      </c>
    </row>
    <row r="330" spans="1:21" ht="15" customHeight="1" x14ac:dyDescent="0.2">
      <c r="A330" s="59" t="s">
        <v>2162</v>
      </c>
      <c r="B330" s="42" t="s">
        <v>194</v>
      </c>
      <c r="C330" s="42" t="s">
        <v>834</v>
      </c>
      <c r="D330" s="40">
        <v>41507</v>
      </c>
      <c r="E330" s="66" t="s">
        <v>381</v>
      </c>
      <c r="F330" s="53" t="s">
        <v>381</v>
      </c>
      <c r="G330" s="44" t="s">
        <v>256</v>
      </c>
      <c r="H330" s="43" t="s">
        <v>2792</v>
      </c>
      <c r="I330" s="43" t="s">
        <v>2713</v>
      </c>
      <c r="J330" s="44" t="s">
        <v>542</v>
      </c>
      <c r="K330" s="43" t="s">
        <v>830</v>
      </c>
      <c r="L330" s="44" t="s">
        <v>157</v>
      </c>
      <c r="M330" s="44">
        <v>0</v>
      </c>
      <c r="N330" s="45">
        <v>42063</v>
      </c>
    </row>
    <row r="331" spans="1:21" ht="15" customHeight="1" x14ac:dyDescent="0.2">
      <c r="A331" s="59" t="s">
        <v>2163</v>
      </c>
      <c r="B331" s="42" t="s">
        <v>764</v>
      </c>
      <c r="C331" s="42" t="s">
        <v>1143</v>
      </c>
      <c r="D331" s="40">
        <v>41522</v>
      </c>
      <c r="E331" s="51" t="s">
        <v>54</v>
      </c>
      <c r="F331" s="51" t="s">
        <v>54</v>
      </c>
      <c r="G331" s="44" t="s">
        <v>256</v>
      </c>
      <c r="H331" s="43" t="s">
        <v>2760</v>
      </c>
      <c r="I331" s="43" t="s">
        <v>2713</v>
      </c>
      <c r="J331" s="44" t="s">
        <v>794</v>
      </c>
      <c r="K331" s="43" t="s">
        <v>826</v>
      </c>
      <c r="L331" s="52" t="s">
        <v>1426</v>
      </c>
      <c r="M331" s="44">
        <v>0</v>
      </c>
      <c r="N331" s="45">
        <v>43585</v>
      </c>
    </row>
    <row r="332" spans="1:21" ht="15" customHeight="1" x14ac:dyDescent="0.2">
      <c r="A332" s="59" t="s">
        <v>2164</v>
      </c>
      <c r="B332" s="42" t="s">
        <v>825</v>
      </c>
      <c r="C332" s="42" t="s">
        <v>5972</v>
      </c>
      <c r="D332" s="40">
        <v>41523</v>
      </c>
      <c r="E332" s="41">
        <v>1000</v>
      </c>
      <c r="F332" s="46">
        <v>1000</v>
      </c>
      <c r="G332" s="44" t="s">
        <v>253</v>
      </c>
      <c r="H332" s="43" t="s">
        <v>2760</v>
      </c>
      <c r="I332" s="43" t="s">
        <v>2713</v>
      </c>
      <c r="J332" s="44" t="s">
        <v>794</v>
      </c>
      <c r="K332" s="43" t="s">
        <v>827</v>
      </c>
      <c r="L332" s="52" t="s">
        <v>828</v>
      </c>
      <c r="M332" s="44">
        <v>0</v>
      </c>
      <c r="N332" s="45">
        <v>41943</v>
      </c>
    </row>
    <row r="333" spans="1:21" ht="15" customHeight="1" x14ac:dyDescent="0.2">
      <c r="A333" s="59" t="s">
        <v>2165</v>
      </c>
      <c r="B333" s="42" t="s">
        <v>806</v>
      </c>
      <c r="C333" s="42" t="s">
        <v>820</v>
      </c>
      <c r="D333" s="40">
        <v>41526</v>
      </c>
      <c r="E333" s="66" t="s">
        <v>381</v>
      </c>
      <c r="F333" s="53" t="s">
        <v>381</v>
      </c>
      <c r="G333" s="44" t="s">
        <v>256</v>
      </c>
      <c r="H333" s="43" t="s">
        <v>2792</v>
      </c>
      <c r="I333" s="43" t="s">
        <v>2713</v>
      </c>
      <c r="J333" s="44" t="s">
        <v>542</v>
      </c>
      <c r="K333" s="43" t="s">
        <v>816</v>
      </c>
      <c r="L333" s="67" t="s">
        <v>807</v>
      </c>
      <c r="M333" s="44">
        <v>0</v>
      </c>
      <c r="N333" s="45">
        <v>42063</v>
      </c>
    </row>
    <row r="334" spans="1:21" ht="15" customHeight="1" x14ac:dyDescent="0.2">
      <c r="A334" s="59" t="s">
        <v>2166</v>
      </c>
      <c r="B334" s="42" t="s">
        <v>806</v>
      </c>
      <c r="C334" s="42" t="s">
        <v>821</v>
      </c>
      <c r="D334" s="40">
        <v>41526</v>
      </c>
      <c r="E334" s="66" t="s">
        <v>381</v>
      </c>
      <c r="F334" s="53" t="s">
        <v>381</v>
      </c>
      <c r="G334" s="44" t="s">
        <v>256</v>
      </c>
      <c r="H334" s="43" t="s">
        <v>2792</v>
      </c>
      <c r="I334" s="43" t="s">
        <v>2713</v>
      </c>
      <c r="J334" s="44" t="s">
        <v>542</v>
      </c>
      <c r="K334" s="43" t="s">
        <v>816</v>
      </c>
      <c r="L334" s="67" t="s">
        <v>807</v>
      </c>
      <c r="M334" s="44">
        <v>0</v>
      </c>
      <c r="N334" s="45">
        <v>42521</v>
      </c>
    </row>
    <row r="335" spans="1:21" customFormat="1" ht="15" customHeight="1" x14ac:dyDescent="0.2">
      <c r="A335" s="59" t="s">
        <v>2167</v>
      </c>
      <c r="B335" s="42" t="s">
        <v>806</v>
      </c>
      <c r="C335" s="42" t="s">
        <v>823</v>
      </c>
      <c r="D335" s="40">
        <v>41526</v>
      </c>
      <c r="E335" s="66" t="s">
        <v>381</v>
      </c>
      <c r="F335" s="53" t="s">
        <v>381</v>
      </c>
      <c r="G335" s="44" t="s">
        <v>256</v>
      </c>
      <c r="H335" s="43" t="s">
        <v>2792</v>
      </c>
      <c r="I335" s="43" t="s">
        <v>2713</v>
      </c>
      <c r="J335" s="44" t="s">
        <v>542</v>
      </c>
      <c r="K335" s="43" t="s">
        <v>816</v>
      </c>
      <c r="L335" s="67" t="s">
        <v>807</v>
      </c>
      <c r="M335" s="44">
        <v>0</v>
      </c>
      <c r="N335" s="45">
        <v>42094</v>
      </c>
      <c r="O335" s="4"/>
      <c r="P335" s="4"/>
      <c r="Q335" s="4"/>
      <c r="R335" s="4"/>
      <c r="S335" s="4"/>
      <c r="T335" s="4"/>
      <c r="U335" s="4"/>
    </row>
    <row r="336" spans="1:21" customFormat="1" ht="15" customHeight="1" x14ac:dyDescent="0.2">
      <c r="A336" s="59" t="s">
        <v>2168</v>
      </c>
      <c r="B336" s="42" t="s">
        <v>806</v>
      </c>
      <c r="C336" s="42" t="s">
        <v>824</v>
      </c>
      <c r="D336" s="40">
        <v>41533</v>
      </c>
      <c r="E336" s="66" t="s">
        <v>381</v>
      </c>
      <c r="F336" s="53" t="s">
        <v>381</v>
      </c>
      <c r="G336" s="44" t="s">
        <v>256</v>
      </c>
      <c r="H336" s="43" t="s">
        <v>2792</v>
      </c>
      <c r="I336" s="43" t="s">
        <v>2713</v>
      </c>
      <c r="J336" s="44" t="s">
        <v>542</v>
      </c>
      <c r="K336" s="43" t="s">
        <v>816</v>
      </c>
      <c r="L336" s="67" t="s">
        <v>807</v>
      </c>
      <c r="M336" s="44">
        <v>0</v>
      </c>
      <c r="N336" s="45">
        <v>42521</v>
      </c>
      <c r="O336" s="4"/>
      <c r="P336" s="4"/>
      <c r="Q336" s="4"/>
      <c r="R336" s="4"/>
      <c r="S336" s="4"/>
      <c r="T336" s="4"/>
      <c r="U336" s="4"/>
    </row>
    <row r="337" spans="1:21" ht="15" customHeight="1" x14ac:dyDescent="0.2">
      <c r="A337" s="59" t="s">
        <v>2169</v>
      </c>
      <c r="B337" s="42" t="s">
        <v>806</v>
      </c>
      <c r="C337" s="42" t="s">
        <v>822</v>
      </c>
      <c r="D337" s="40">
        <v>41533</v>
      </c>
      <c r="E337" s="66" t="s">
        <v>381</v>
      </c>
      <c r="F337" s="53" t="s">
        <v>381</v>
      </c>
      <c r="G337" s="44" t="s">
        <v>256</v>
      </c>
      <c r="H337" s="43" t="s">
        <v>2792</v>
      </c>
      <c r="I337" s="43" t="s">
        <v>2713</v>
      </c>
      <c r="J337" s="44" t="s">
        <v>542</v>
      </c>
      <c r="K337" s="43" t="s">
        <v>816</v>
      </c>
      <c r="L337" s="67" t="s">
        <v>807</v>
      </c>
      <c r="M337" s="44">
        <v>0</v>
      </c>
      <c r="N337" s="45">
        <v>42063</v>
      </c>
      <c r="U337"/>
    </row>
    <row r="338" spans="1:21" ht="15" customHeight="1" x14ac:dyDescent="0.2">
      <c r="A338" s="59" t="s">
        <v>2171</v>
      </c>
      <c r="B338" s="42" t="s">
        <v>839</v>
      </c>
      <c r="C338" s="42" t="s">
        <v>841</v>
      </c>
      <c r="D338" s="40">
        <v>41604</v>
      </c>
      <c r="E338" s="68" t="s">
        <v>54</v>
      </c>
      <c r="F338" s="50" t="s">
        <v>54</v>
      </c>
      <c r="G338" s="44" t="s">
        <v>256</v>
      </c>
      <c r="H338" s="57" t="s">
        <v>2778</v>
      </c>
      <c r="I338" s="43" t="s">
        <v>2713</v>
      </c>
      <c r="J338" s="44" t="s">
        <v>845</v>
      </c>
      <c r="K338" s="43" t="s">
        <v>844</v>
      </c>
      <c r="L338" s="67" t="s">
        <v>843</v>
      </c>
      <c r="M338" s="44">
        <v>0</v>
      </c>
      <c r="N338" s="45">
        <v>42794</v>
      </c>
    </row>
    <row r="339" spans="1:21" ht="15" customHeight="1" x14ac:dyDescent="0.2">
      <c r="A339" s="59" t="s">
        <v>2172</v>
      </c>
      <c r="B339" s="42" t="s">
        <v>641</v>
      </c>
      <c r="C339" s="42" t="s">
        <v>847</v>
      </c>
      <c r="D339" s="40">
        <v>41619</v>
      </c>
      <c r="E339" s="41">
        <v>100.3</v>
      </c>
      <c r="F339" s="46">
        <v>100.3</v>
      </c>
      <c r="G339" s="44" t="s">
        <v>124</v>
      </c>
      <c r="H339" s="43" t="s">
        <v>2842</v>
      </c>
      <c r="I339" s="43" t="s">
        <v>2713</v>
      </c>
      <c r="J339" s="44" t="s">
        <v>530</v>
      </c>
      <c r="K339" s="43" t="s">
        <v>974</v>
      </c>
      <c r="L339" s="52" t="s">
        <v>643</v>
      </c>
      <c r="M339" s="44">
        <v>0</v>
      </c>
      <c r="N339" s="45">
        <v>42155</v>
      </c>
      <c r="O339"/>
      <c r="P339"/>
      <c r="Q339"/>
      <c r="R339"/>
      <c r="S339"/>
      <c r="T339"/>
    </row>
    <row r="340" spans="1:21" ht="15" customHeight="1" x14ac:dyDescent="0.2">
      <c r="A340" s="59" t="s">
        <v>2173</v>
      </c>
      <c r="B340" s="42" t="s">
        <v>764</v>
      </c>
      <c r="C340" s="42" t="s">
        <v>846</v>
      </c>
      <c r="D340" s="40">
        <v>41619</v>
      </c>
      <c r="E340" s="66" t="s">
        <v>381</v>
      </c>
      <c r="F340" s="53" t="s">
        <v>381</v>
      </c>
      <c r="G340" s="44" t="s">
        <v>256</v>
      </c>
      <c r="H340" s="43" t="s">
        <v>2760</v>
      </c>
      <c r="I340" s="43" t="s">
        <v>2713</v>
      </c>
      <c r="J340" s="44" t="s">
        <v>848</v>
      </c>
      <c r="K340" s="43" t="s">
        <v>826</v>
      </c>
      <c r="L340" s="52" t="s">
        <v>571</v>
      </c>
      <c r="M340" s="44">
        <v>0</v>
      </c>
      <c r="N340" s="45">
        <v>41698</v>
      </c>
    </row>
    <row r="341" spans="1:21" ht="15" customHeight="1" x14ac:dyDescent="0.2">
      <c r="A341" s="59" t="s">
        <v>2174</v>
      </c>
      <c r="B341" s="42" t="s">
        <v>904</v>
      </c>
      <c r="C341" s="42" t="s">
        <v>853</v>
      </c>
      <c r="D341" s="40">
        <v>41663</v>
      </c>
      <c r="E341" s="41">
        <v>268</v>
      </c>
      <c r="F341" s="46">
        <v>295</v>
      </c>
      <c r="G341" s="44" t="s">
        <v>364</v>
      </c>
      <c r="H341" s="43" t="s">
        <v>2746</v>
      </c>
      <c r="I341" s="43" t="s">
        <v>2713</v>
      </c>
      <c r="J341" s="44" t="s">
        <v>532</v>
      </c>
      <c r="K341" s="43" t="s">
        <v>921</v>
      </c>
      <c r="L341" s="52" t="s">
        <v>87</v>
      </c>
      <c r="M341" s="44">
        <v>0</v>
      </c>
      <c r="N341" s="45">
        <v>42794</v>
      </c>
    </row>
    <row r="342" spans="1:21" ht="15" customHeight="1" x14ac:dyDescent="0.2">
      <c r="A342" s="59" t="s">
        <v>2175</v>
      </c>
      <c r="B342" s="42" t="s">
        <v>904</v>
      </c>
      <c r="C342" s="42" t="s">
        <v>849</v>
      </c>
      <c r="D342" s="40">
        <v>41663</v>
      </c>
      <c r="E342" s="41">
        <v>262</v>
      </c>
      <c r="F342" s="46">
        <v>252</v>
      </c>
      <c r="G342" s="44" t="s">
        <v>364</v>
      </c>
      <c r="H342" s="43" t="s">
        <v>2746</v>
      </c>
      <c r="I342" s="43" t="s">
        <v>2713</v>
      </c>
      <c r="J342" s="44" t="s">
        <v>532</v>
      </c>
      <c r="K342" s="43" t="s">
        <v>921</v>
      </c>
      <c r="L342" s="52" t="s">
        <v>87</v>
      </c>
      <c r="M342" s="44">
        <v>0</v>
      </c>
      <c r="N342" s="45">
        <v>42794</v>
      </c>
      <c r="O342"/>
      <c r="P342"/>
      <c r="Q342"/>
      <c r="R342"/>
      <c r="S342"/>
      <c r="T342"/>
    </row>
    <row r="343" spans="1:21" ht="15" customHeight="1" x14ac:dyDescent="0.2">
      <c r="A343" s="59" t="s">
        <v>2176</v>
      </c>
      <c r="B343" s="42" t="s">
        <v>854</v>
      </c>
      <c r="C343" s="42" t="s">
        <v>856</v>
      </c>
      <c r="D343" s="40">
        <v>41750</v>
      </c>
      <c r="E343" s="41">
        <v>20</v>
      </c>
      <c r="F343" s="46">
        <v>20</v>
      </c>
      <c r="G343" s="44" t="s">
        <v>55</v>
      </c>
      <c r="H343" s="43" t="s">
        <v>2716</v>
      </c>
      <c r="I343" s="43" t="s">
        <v>2713</v>
      </c>
      <c r="J343" s="44" t="s">
        <v>532</v>
      </c>
      <c r="K343" s="43" t="s">
        <v>861</v>
      </c>
      <c r="L343" s="52" t="s">
        <v>87</v>
      </c>
      <c r="M343" s="44">
        <v>0</v>
      </c>
      <c r="N343" s="45">
        <v>41790</v>
      </c>
      <c r="O343"/>
      <c r="P343"/>
      <c r="Q343"/>
      <c r="R343"/>
      <c r="S343"/>
      <c r="T343"/>
    </row>
    <row r="344" spans="1:21" customFormat="1" ht="15" customHeight="1" x14ac:dyDescent="0.2">
      <c r="A344" s="59" t="s">
        <v>2177</v>
      </c>
      <c r="B344" s="42" t="s">
        <v>855</v>
      </c>
      <c r="C344" s="42" t="s">
        <v>857</v>
      </c>
      <c r="D344" s="40">
        <v>41750</v>
      </c>
      <c r="E344" s="41">
        <v>20</v>
      </c>
      <c r="F344" s="46">
        <v>20</v>
      </c>
      <c r="G344" s="44" t="s">
        <v>55</v>
      </c>
      <c r="H344" s="43" t="s">
        <v>2716</v>
      </c>
      <c r="I344" s="43" t="s">
        <v>2713</v>
      </c>
      <c r="J344" s="44" t="s">
        <v>532</v>
      </c>
      <c r="K344" s="43" t="s">
        <v>861</v>
      </c>
      <c r="L344" s="52" t="s">
        <v>87</v>
      </c>
      <c r="M344" s="44">
        <v>0</v>
      </c>
      <c r="N344" s="45">
        <v>41790</v>
      </c>
      <c r="U344" s="4"/>
    </row>
    <row r="345" spans="1:21" customFormat="1" ht="15" customHeight="1" x14ac:dyDescent="0.2">
      <c r="A345" s="59" t="s">
        <v>2178</v>
      </c>
      <c r="B345" s="42" t="s">
        <v>855</v>
      </c>
      <c r="C345" s="42" t="s">
        <v>858</v>
      </c>
      <c r="D345" s="40">
        <v>41750</v>
      </c>
      <c r="E345" s="41">
        <v>20</v>
      </c>
      <c r="F345" s="46">
        <v>20</v>
      </c>
      <c r="G345" s="44" t="s">
        <v>55</v>
      </c>
      <c r="H345" s="43" t="s">
        <v>2716</v>
      </c>
      <c r="I345" s="43" t="s">
        <v>2713</v>
      </c>
      <c r="J345" s="44" t="s">
        <v>532</v>
      </c>
      <c r="K345" s="43" t="s">
        <v>861</v>
      </c>
      <c r="L345" s="52" t="s">
        <v>87</v>
      </c>
      <c r="M345" s="44">
        <v>0</v>
      </c>
      <c r="N345" s="45">
        <v>41790</v>
      </c>
      <c r="U345" s="4"/>
    </row>
    <row r="346" spans="1:21" ht="15" customHeight="1" x14ac:dyDescent="0.2">
      <c r="A346" s="59" t="s">
        <v>2179</v>
      </c>
      <c r="B346" s="42" t="s">
        <v>855</v>
      </c>
      <c r="C346" s="42" t="s">
        <v>2180</v>
      </c>
      <c r="D346" s="40">
        <v>41750</v>
      </c>
      <c r="E346" s="41">
        <v>20</v>
      </c>
      <c r="F346" s="46">
        <v>20</v>
      </c>
      <c r="G346" s="44" t="s">
        <v>55</v>
      </c>
      <c r="H346" s="43" t="s">
        <v>2716</v>
      </c>
      <c r="I346" s="43" t="s">
        <v>2713</v>
      </c>
      <c r="J346" s="44" t="s">
        <v>532</v>
      </c>
      <c r="K346" s="43" t="s">
        <v>862</v>
      </c>
      <c r="L346" s="52" t="s">
        <v>87</v>
      </c>
      <c r="M346" s="44">
        <v>0</v>
      </c>
      <c r="N346" s="45">
        <v>41790</v>
      </c>
      <c r="O346"/>
      <c r="P346"/>
      <c r="Q346"/>
      <c r="R346"/>
      <c r="S346"/>
      <c r="T346"/>
    </row>
    <row r="347" spans="1:21" ht="15" customHeight="1" x14ac:dyDescent="0.2">
      <c r="A347" s="59" t="s">
        <v>2181</v>
      </c>
      <c r="B347" s="42" t="s">
        <v>855</v>
      </c>
      <c r="C347" s="42" t="s">
        <v>859</v>
      </c>
      <c r="D347" s="40">
        <v>41750</v>
      </c>
      <c r="E347" s="41">
        <v>20</v>
      </c>
      <c r="F347" s="46">
        <v>20</v>
      </c>
      <c r="G347" s="44" t="s">
        <v>55</v>
      </c>
      <c r="H347" s="43" t="s">
        <v>2716</v>
      </c>
      <c r="I347" s="43" t="s">
        <v>2713</v>
      </c>
      <c r="J347" s="44" t="s">
        <v>532</v>
      </c>
      <c r="K347" s="43" t="s">
        <v>862</v>
      </c>
      <c r="L347" s="52" t="s">
        <v>87</v>
      </c>
      <c r="M347" s="44">
        <v>0</v>
      </c>
      <c r="N347" s="45">
        <v>41790</v>
      </c>
      <c r="O347"/>
      <c r="P347"/>
      <c r="Q347"/>
      <c r="R347"/>
      <c r="S347"/>
      <c r="T347"/>
    </row>
    <row r="348" spans="1:21" ht="15" customHeight="1" x14ac:dyDescent="0.2">
      <c r="A348" s="59" t="s">
        <v>2182</v>
      </c>
      <c r="B348" s="42" t="s">
        <v>855</v>
      </c>
      <c r="C348" s="42" t="s">
        <v>860</v>
      </c>
      <c r="D348" s="40">
        <v>41750</v>
      </c>
      <c r="E348" s="41">
        <v>20</v>
      </c>
      <c r="F348" s="46">
        <v>20</v>
      </c>
      <c r="G348" s="44" t="s">
        <v>55</v>
      </c>
      <c r="H348" s="43" t="s">
        <v>2716</v>
      </c>
      <c r="I348" s="43" t="s">
        <v>2713</v>
      </c>
      <c r="J348" s="44" t="s">
        <v>532</v>
      </c>
      <c r="K348" s="43" t="s">
        <v>862</v>
      </c>
      <c r="L348" s="52" t="s">
        <v>87</v>
      </c>
      <c r="M348" s="44">
        <v>0</v>
      </c>
      <c r="N348" s="45">
        <v>41790</v>
      </c>
    </row>
    <row r="349" spans="1:21" customFormat="1" ht="15" customHeight="1" x14ac:dyDescent="0.2">
      <c r="A349" s="59" t="s">
        <v>2183</v>
      </c>
      <c r="B349" s="42" t="s">
        <v>863</v>
      </c>
      <c r="C349" s="42" t="s">
        <v>864</v>
      </c>
      <c r="D349" s="40">
        <v>41768</v>
      </c>
      <c r="E349" s="54" t="s">
        <v>381</v>
      </c>
      <c r="F349" s="51" t="s">
        <v>381</v>
      </c>
      <c r="G349" s="44" t="s">
        <v>256</v>
      </c>
      <c r="H349" s="43" t="s">
        <v>2746</v>
      </c>
      <c r="I349" s="43" t="s">
        <v>2713</v>
      </c>
      <c r="J349" s="44" t="s">
        <v>532</v>
      </c>
      <c r="K349" s="48" t="s">
        <v>923</v>
      </c>
      <c r="L349" s="52" t="s">
        <v>87</v>
      </c>
      <c r="M349" s="44">
        <v>0</v>
      </c>
      <c r="N349" s="45">
        <v>42490</v>
      </c>
      <c r="O349" s="4"/>
      <c r="P349" s="4"/>
      <c r="Q349" s="4"/>
      <c r="R349" s="4"/>
      <c r="S349" s="4"/>
      <c r="T349" s="4"/>
    </row>
    <row r="350" spans="1:21" ht="15" customHeight="1" x14ac:dyDescent="0.2">
      <c r="A350" s="59" t="s">
        <v>2184</v>
      </c>
      <c r="B350" s="42" t="s">
        <v>873</v>
      </c>
      <c r="C350" s="42" t="s">
        <v>872</v>
      </c>
      <c r="D350" s="40">
        <v>41792</v>
      </c>
      <c r="E350" s="41">
        <v>79.400000000000006</v>
      </c>
      <c r="F350" s="46">
        <v>88</v>
      </c>
      <c r="G350" s="44" t="s">
        <v>339</v>
      </c>
      <c r="H350" s="43" t="s">
        <v>2728</v>
      </c>
      <c r="I350" s="43" t="s">
        <v>2713</v>
      </c>
      <c r="J350" s="44" t="s">
        <v>531</v>
      </c>
      <c r="K350" s="48" t="s">
        <v>924</v>
      </c>
      <c r="L350" s="52" t="s">
        <v>157</v>
      </c>
      <c r="M350" s="44">
        <v>0</v>
      </c>
      <c r="N350" s="45">
        <v>43159</v>
      </c>
    </row>
    <row r="351" spans="1:21" ht="15" customHeight="1" x14ac:dyDescent="0.2">
      <c r="A351" s="59" t="s">
        <v>2185</v>
      </c>
      <c r="B351" s="42" t="s">
        <v>854</v>
      </c>
      <c r="C351" s="42" t="s">
        <v>870</v>
      </c>
      <c r="D351" s="40">
        <v>41799</v>
      </c>
      <c r="E351" s="41">
        <v>60</v>
      </c>
      <c r="F351" s="46">
        <v>60</v>
      </c>
      <c r="G351" s="44" t="s">
        <v>55</v>
      </c>
      <c r="H351" s="43" t="s">
        <v>2716</v>
      </c>
      <c r="I351" s="43" t="s">
        <v>2713</v>
      </c>
      <c r="J351" s="44" t="s">
        <v>532</v>
      </c>
      <c r="K351" s="48" t="s">
        <v>881</v>
      </c>
      <c r="L351" s="52" t="s">
        <v>87</v>
      </c>
      <c r="M351" s="44">
        <v>0</v>
      </c>
      <c r="N351" s="45">
        <v>42035</v>
      </c>
    </row>
    <row r="352" spans="1:21" ht="15" customHeight="1" x14ac:dyDescent="0.2">
      <c r="A352" s="59" t="s">
        <v>2186</v>
      </c>
      <c r="B352" s="42" t="s">
        <v>869</v>
      </c>
      <c r="C352" s="42" t="s">
        <v>871</v>
      </c>
      <c r="D352" s="40">
        <v>41799</v>
      </c>
      <c r="E352" s="41">
        <v>24</v>
      </c>
      <c r="F352" s="46">
        <v>24</v>
      </c>
      <c r="G352" s="44" t="s">
        <v>55</v>
      </c>
      <c r="H352" s="43" t="s">
        <v>2716</v>
      </c>
      <c r="I352" s="43" t="s">
        <v>2713</v>
      </c>
      <c r="J352" s="44" t="s">
        <v>532</v>
      </c>
      <c r="K352" s="48" t="s">
        <v>995</v>
      </c>
      <c r="L352" s="52" t="s">
        <v>87</v>
      </c>
      <c r="M352" s="44">
        <v>0</v>
      </c>
      <c r="N352" s="45">
        <v>42155</v>
      </c>
      <c r="U352"/>
    </row>
    <row r="353" spans="1:21" ht="15" customHeight="1" x14ac:dyDescent="0.2">
      <c r="A353" s="59" t="s">
        <v>2187</v>
      </c>
      <c r="B353" s="42" t="s">
        <v>867</v>
      </c>
      <c r="C353" s="42" t="s">
        <v>868</v>
      </c>
      <c r="D353" s="40">
        <v>41799</v>
      </c>
      <c r="E353" s="41">
        <v>16</v>
      </c>
      <c r="F353" s="46">
        <v>16</v>
      </c>
      <c r="G353" s="44" t="s">
        <v>55</v>
      </c>
      <c r="H353" s="43" t="s">
        <v>2716</v>
      </c>
      <c r="I353" s="43" t="s">
        <v>2713</v>
      </c>
      <c r="J353" s="44" t="s">
        <v>532</v>
      </c>
      <c r="K353" s="48" t="s">
        <v>875</v>
      </c>
      <c r="L353" s="52" t="s">
        <v>87</v>
      </c>
      <c r="M353" s="44">
        <v>0</v>
      </c>
      <c r="N353" s="45">
        <v>42124</v>
      </c>
      <c r="U353"/>
    </row>
    <row r="354" spans="1:21" ht="15" customHeight="1" x14ac:dyDescent="0.2">
      <c r="A354" s="59" t="s">
        <v>2427</v>
      </c>
      <c r="B354" s="42" t="s">
        <v>926</v>
      </c>
      <c r="C354" s="42" t="s">
        <v>865</v>
      </c>
      <c r="D354" s="40">
        <v>41820</v>
      </c>
      <c r="E354" s="41">
        <v>201.3</v>
      </c>
      <c r="F354" s="46">
        <v>201.3</v>
      </c>
      <c r="G354" s="44" t="s">
        <v>124</v>
      </c>
      <c r="H354" s="43" t="s">
        <v>2722</v>
      </c>
      <c r="I354" s="43" t="s">
        <v>2713</v>
      </c>
      <c r="J354" s="44" t="s">
        <v>531</v>
      </c>
      <c r="K354" s="48" t="s">
        <v>874</v>
      </c>
      <c r="L354" s="52" t="s">
        <v>34</v>
      </c>
      <c r="M354" s="44">
        <v>0</v>
      </c>
      <c r="N354" s="45">
        <v>44255</v>
      </c>
      <c r="O354"/>
      <c r="P354"/>
      <c r="Q354"/>
      <c r="R354"/>
      <c r="S354"/>
      <c r="T354"/>
      <c r="U354"/>
    </row>
    <row r="355" spans="1:21" ht="15" customHeight="1" x14ac:dyDescent="0.2">
      <c r="A355" s="59" t="s">
        <v>2188</v>
      </c>
      <c r="B355" s="42" t="s">
        <v>882</v>
      </c>
      <c r="C355" s="42" t="s">
        <v>878</v>
      </c>
      <c r="D355" s="40">
        <v>41841</v>
      </c>
      <c r="E355" s="41">
        <v>2</v>
      </c>
      <c r="F355" s="46">
        <v>2</v>
      </c>
      <c r="G355" s="44" t="s">
        <v>55</v>
      </c>
      <c r="H355" s="43" t="s">
        <v>2806</v>
      </c>
      <c r="I355" s="43" t="s">
        <v>2713</v>
      </c>
      <c r="J355" s="44" t="s">
        <v>539</v>
      </c>
      <c r="K355" s="48" t="s">
        <v>880</v>
      </c>
      <c r="L355" s="52" t="s">
        <v>879</v>
      </c>
      <c r="M355" s="44">
        <v>0</v>
      </c>
      <c r="N355" s="45">
        <v>41912</v>
      </c>
      <c r="U355"/>
    </row>
    <row r="356" spans="1:21" ht="15" customHeight="1" x14ac:dyDescent="0.2">
      <c r="A356" s="59" t="s">
        <v>2189</v>
      </c>
      <c r="B356" s="42" t="s">
        <v>905</v>
      </c>
      <c r="C356" s="42" t="s">
        <v>877</v>
      </c>
      <c r="D356" s="40">
        <v>41845</v>
      </c>
      <c r="E356" s="41">
        <v>20</v>
      </c>
      <c r="F356" s="46">
        <v>20</v>
      </c>
      <c r="G356" s="44" t="s">
        <v>55</v>
      </c>
      <c r="H356" s="43" t="s">
        <v>2716</v>
      </c>
      <c r="I356" s="43" t="s">
        <v>2713</v>
      </c>
      <c r="J356" s="44" t="s">
        <v>532</v>
      </c>
      <c r="K356" s="48" t="s">
        <v>876</v>
      </c>
      <c r="L356" s="52" t="s">
        <v>87</v>
      </c>
      <c r="M356" s="44">
        <v>0</v>
      </c>
      <c r="N356" s="45">
        <v>42035</v>
      </c>
      <c r="U356"/>
    </row>
    <row r="357" spans="1:21" ht="15" customHeight="1" x14ac:dyDescent="0.2">
      <c r="A357" s="59" t="s">
        <v>2190</v>
      </c>
      <c r="B357" s="42" t="s">
        <v>915</v>
      </c>
      <c r="C357" s="42" t="s">
        <v>889</v>
      </c>
      <c r="D357" s="40">
        <v>41863</v>
      </c>
      <c r="E357" s="41">
        <v>600</v>
      </c>
      <c r="F357" s="46">
        <v>600</v>
      </c>
      <c r="G357" s="44" t="s">
        <v>253</v>
      </c>
      <c r="H357" s="43"/>
      <c r="I357" s="43" t="s">
        <v>2713</v>
      </c>
      <c r="J357" s="44" t="s">
        <v>471</v>
      </c>
      <c r="K357" s="48" t="s">
        <v>898</v>
      </c>
      <c r="L357" s="52" t="s">
        <v>157</v>
      </c>
      <c r="M357" s="44">
        <v>0</v>
      </c>
      <c r="N357" s="45">
        <v>43434</v>
      </c>
      <c r="U357"/>
    </row>
    <row r="358" spans="1:21" ht="15" customHeight="1" x14ac:dyDescent="0.2">
      <c r="A358" s="59" t="s">
        <v>2428</v>
      </c>
      <c r="B358" s="42" t="s">
        <v>888</v>
      </c>
      <c r="C358" s="42" t="s">
        <v>890</v>
      </c>
      <c r="D358" s="40">
        <v>41864</v>
      </c>
      <c r="E358" s="41">
        <v>72.599999999999994</v>
      </c>
      <c r="F358" s="46">
        <v>72.599999999999994</v>
      </c>
      <c r="G358" s="44" t="s">
        <v>124</v>
      </c>
      <c r="H358" s="43" t="s">
        <v>2729</v>
      </c>
      <c r="I358" s="43" t="s">
        <v>2713</v>
      </c>
      <c r="J358" s="44" t="s">
        <v>393</v>
      </c>
      <c r="K358" s="48" t="s">
        <v>897</v>
      </c>
      <c r="L358" s="52" t="s">
        <v>157</v>
      </c>
      <c r="M358" s="44">
        <v>0</v>
      </c>
      <c r="N358" s="45">
        <v>44255</v>
      </c>
    </row>
    <row r="359" spans="1:21" ht="15" customHeight="1" x14ac:dyDescent="0.2">
      <c r="A359" s="59" t="s">
        <v>2191</v>
      </c>
      <c r="B359" s="42" t="s">
        <v>887</v>
      </c>
      <c r="C359" s="42" t="s">
        <v>891</v>
      </c>
      <c r="D359" s="40">
        <v>41871</v>
      </c>
      <c r="E359" s="41">
        <v>20</v>
      </c>
      <c r="F359" s="46">
        <v>20</v>
      </c>
      <c r="G359" s="44" t="s">
        <v>55</v>
      </c>
      <c r="H359" s="43" t="s">
        <v>2777</v>
      </c>
      <c r="I359" s="43" t="s">
        <v>2713</v>
      </c>
      <c r="J359" s="44" t="s">
        <v>539</v>
      </c>
      <c r="K359" s="48" t="s">
        <v>925</v>
      </c>
      <c r="L359" s="52" t="s">
        <v>879</v>
      </c>
      <c r="M359" s="44">
        <v>0</v>
      </c>
      <c r="N359" s="45">
        <v>42063</v>
      </c>
    </row>
    <row r="360" spans="1:21" customFormat="1" ht="15" customHeight="1" x14ac:dyDescent="0.2">
      <c r="A360" s="59" t="s">
        <v>2192</v>
      </c>
      <c r="B360" s="42" t="s">
        <v>886</v>
      </c>
      <c r="C360" s="42" t="s">
        <v>892</v>
      </c>
      <c r="D360" s="40">
        <v>41871</v>
      </c>
      <c r="E360" s="41">
        <v>20</v>
      </c>
      <c r="F360" s="46">
        <v>20</v>
      </c>
      <c r="G360" s="44" t="s">
        <v>55</v>
      </c>
      <c r="H360" s="43" t="s">
        <v>2640</v>
      </c>
      <c r="I360" s="43" t="s">
        <v>2713</v>
      </c>
      <c r="J360" s="44" t="s">
        <v>540</v>
      </c>
      <c r="K360" s="48" t="s">
        <v>899</v>
      </c>
      <c r="L360" s="52" t="s">
        <v>34</v>
      </c>
      <c r="M360" s="44">
        <v>0</v>
      </c>
      <c r="N360" s="45">
        <v>41943</v>
      </c>
      <c r="O360" s="4"/>
      <c r="P360" s="4"/>
      <c r="Q360" s="4"/>
      <c r="R360" s="4"/>
      <c r="S360" s="4"/>
      <c r="T360" s="4"/>
      <c r="U360" s="4"/>
    </row>
    <row r="361" spans="1:21" ht="15" customHeight="1" x14ac:dyDescent="0.2">
      <c r="A361" s="59" t="s">
        <v>2193</v>
      </c>
      <c r="B361" s="42" t="s">
        <v>885</v>
      </c>
      <c r="C361" s="42" t="s">
        <v>893</v>
      </c>
      <c r="D361" s="40">
        <v>41871</v>
      </c>
      <c r="E361" s="41">
        <v>10</v>
      </c>
      <c r="F361" s="46">
        <v>10</v>
      </c>
      <c r="G361" s="44" t="s">
        <v>55</v>
      </c>
      <c r="H361" s="43" t="s">
        <v>2769</v>
      </c>
      <c r="I361" s="43" t="s">
        <v>2713</v>
      </c>
      <c r="J361" s="44" t="s">
        <v>471</v>
      </c>
      <c r="K361" s="48" t="s">
        <v>900</v>
      </c>
      <c r="L361" s="52" t="s">
        <v>34</v>
      </c>
      <c r="M361" s="44">
        <v>0</v>
      </c>
      <c r="N361" s="45">
        <v>41943</v>
      </c>
    </row>
    <row r="362" spans="1:21" ht="15" customHeight="1" x14ac:dyDescent="0.2">
      <c r="A362" s="59" t="s">
        <v>2194</v>
      </c>
      <c r="B362" s="42" t="s">
        <v>906</v>
      </c>
      <c r="C362" s="42" t="s">
        <v>894</v>
      </c>
      <c r="D362" s="40">
        <v>41871</v>
      </c>
      <c r="E362" s="41">
        <v>20</v>
      </c>
      <c r="F362" s="46">
        <v>20</v>
      </c>
      <c r="G362" s="44" t="s">
        <v>55</v>
      </c>
      <c r="H362" s="43" t="s">
        <v>2769</v>
      </c>
      <c r="I362" s="43" t="s">
        <v>2713</v>
      </c>
      <c r="J362" s="44" t="s">
        <v>471</v>
      </c>
      <c r="K362" s="48" t="s">
        <v>907</v>
      </c>
      <c r="L362" s="52" t="s">
        <v>157</v>
      </c>
      <c r="M362" s="44">
        <v>0</v>
      </c>
      <c r="N362" s="45">
        <v>41943</v>
      </c>
    </row>
    <row r="363" spans="1:21" ht="15" customHeight="1" x14ac:dyDescent="0.2">
      <c r="A363" s="59" t="s">
        <v>2195</v>
      </c>
      <c r="B363" s="42" t="s">
        <v>884</v>
      </c>
      <c r="C363" s="42" t="s">
        <v>895</v>
      </c>
      <c r="D363" s="40">
        <v>41871</v>
      </c>
      <c r="E363" s="41">
        <v>20</v>
      </c>
      <c r="F363" s="46">
        <v>20</v>
      </c>
      <c r="G363" s="44" t="s">
        <v>55</v>
      </c>
      <c r="H363" s="43" t="s">
        <v>2737</v>
      </c>
      <c r="I363" s="43" t="s">
        <v>2713</v>
      </c>
      <c r="J363" s="44" t="s">
        <v>530</v>
      </c>
      <c r="K363" s="48" t="s">
        <v>908</v>
      </c>
      <c r="L363" s="52" t="s">
        <v>157</v>
      </c>
      <c r="M363" s="44">
        <v>0</v>
      </c>
      <c r="N363" s="45">
        <v>41943</v>
      </c>
    </row>
    <row r="364" spans="1:21" ht="15" customHeight="1" x14ac:dyDescent="0.2">
      <c r="A364" s="59" t="s">
        <v>2196</v>
      </c>
      <c r="B364" s="42" t="s">
        <v>883</v>
      </c>
      <c r="C364" s="42" t="s">
        <v>896</v>
      </c>
      <c r="D364" s="40">
        <v>41872</v>
      </c>
      <c r="E364" s="41">
        <v>19.899999999999999</v>
      </c>
      <c r="F364" s="46">
        <v>19.899999999999999</v>
      </c>
      <c r="G364" s="44" t="s">
        <v>55</v>
      </c>
      <c r="H364" s="43" t="s">
        <v>2718</v>
      </c>
      <c r="I364" s="43" t="s">
        <v>2713</v>
      </c>
      <c r="J364" s="44" t="s">
        <v>530</v>
      </c>
      <c r="K364" s="48" t="s">
        <v>901</v>
      </c>
      <c r="L364" s="52" t="s">
        <v>34</v>
      </c>
      <c r="M364" s="44">
        <v>0</v>
      </c>
      <c r="N364" s="45">
        <v>42063</v>
      </c>
      <c r="U364"/>
    </row>
    <row r="365" spans="1:21" ht="15" customHeight="1" x14ac:dyDescent="0.2">
      <c r="A365" s="59" t="s">
        <v>2197</v>
      </c>
      <c r="B365" s="42" t="s">
        <v>910</v>
      </c>
      <c r="C365" s="42" t="s">
        <v>903</v>
      </c>
      <c r="D365" s="40">
        <v>41891</v>
      </c>
      <c r="E365" s="41">
        <v>0.7</v>
      </c>
      <c r="F365" s="46">
        <v>0.7</v>
      </c>
      <c r="G365" s="44" t="s">
        <v>55</v>
      </c>
      <c r="H365" s="43" t="s">
        <v>2732</v>
      </c>
      <c r="I365" s="43" t="s">
        <v>2713</v>
      </c>
      <c r="J365" s="44" t="s">
        <v>393</v>
      </c>
      <c r="K365" s="48" t="s">
        <v>909</v>
      </c>
      <c r="L365" s="52" t="s">
        <v>34</v>
      </c>
      <c r="M365" s="44">
        <v>0</v>
      </c>
      <c r="N365" s="45">
        <v>42216</v>
      </c>
    </row>
    <row r="366" spans="1:21" ht="15" customHeight="1" x14ac:dyDescent="0.2">
      <c r="A366" s="59" t="s">
        <v>2198</v>
      </c>
      <c r="B366" s="42" t="s">
        <v>911</v>
      </c>
      <c r="C366" s="42" t="s">
        <v>902</v>
      </c>
      <c r="D366" s="40">
        <v>41904</v>
      </c>
      <c r="E366" s="41">
        <v>19.8</v>
      </c>
      <c r="F366" s="46">
        <v>19.8</v>
      </c>
      <c r="G366" s="44" t="s">
        <v>124</v>
      </c>
      <c r="H366" s="43"/>
      <c r="I366" s="43" t="s">
        <v>2713</v>
      </c>
      <c r="J366" s="44"/>
      <c r="K366" s="48" t="s">
        <v>912</v>
      </c>
      <c r="L366" s="52" t="s">
        <v>34</v>
      </c>
      <c r="M366" s="44">
        <v>0</v>
      </c>
      <c r="N366" s="45">
        <v>42004</v>
      </c>
    </row>
    <row r="367" spans="1:21" ht="15" customHeight="1" x14ac:dyDescent="0.2">
      <c r="A367" s="59" t="s">
        <v>2429</v>
      </c>
      <c r="B367" s="42" t="s">
        <v>914</v>
      </c>
      <c r="C367" s="42" t="s">
        <v>1766</v>
      </c>
      <c r="D367" s="40">
        <v>41936</v>
      </c>
      <c r="E367" s="41">
        <v>1000</v>
      </c>
      <c r="F367" s="46">
        <v>1000</v>
      </c>
      <c r="G367" s="44" t="s">
        <v>253</v>
      </c>
      <c r="H367" s="43" t="s">
        <v>2849</v>
      </c>
      <c r="I367" s="43" t="s">
        <v>2713</v>
      </c>
      <c r="J367" s="44" t="s">
        <v>533</v>
      </c>
      <c r="K367" s="48" t="s">
        <v>917</v>
      </c>
      <c r="L367" s="52" t="s">
        <v>41</v>
      </c>
      <c r="M367" s="44">
        <v>0</v>
      </c>
      <c r="N367" s="45">
        <v>44347</v>
      </c>
      <c r="O367"/>
      <c r="P367"/>
      <c r="Q367"/>
      <c r="R367"/>
      <c r="S367"/>
      <c r="T367"/>
    </row>
    <row r="368" spans="1:21" ht="15" customHeight="1" x14ac:dyDescent="0.2">
      <c r="A368" s="59" t="s">
        <v>2199</v>
      </c>
      <c r="B368" s="42" t="s">
        <v>910</v>
      </c>
      <c r="C368" s="42" t="s">
        <v>929</v>
      </c>
      <c r="D368" s="40">
        <v>41948</v>
      </c>
      <c r="E368" s="41">
        <v>2</v>
      </c>
      <c r="F368" s="46">
        <v>2</v>
      </c>
      <c r="G368" s="44" t="s">
        <v>55</v>
      </c>
      <c r="H368" s="43" t="s">
        <v>2098</v>
      </c>
      <c r="I368" s="43" t="s">
        <v>2713</v>
      </c>
      <c r="J368" s="44" t="s">
        <v>540</v>
      </c>
      <c r="K368" s="48" t="s">
        <v>930</v>
      </c>
      <c r="L368" s="52" t="s">
        <v>34</v>
      </c>
      <c r="M368" s="44">
        <v>0</v>
      </c>
      <c r="N368" s="45">
        <v>42004</v>
      </c>
      <c r="O368"/>
      <c r="P368"/>
      <c r="Q368"/>
      <c r="R368"/>
      <c r="S368"/>
      <c r="T368"/>
    </row>
    <row r="369" spans="1:21" ht="15" customHeight="1" x14ac:dyDescent="0.2">
      <c r="A369" s="59" t="s">
        <v>2200</v>
      </c>
      <c r="B369" s="42" t="s">
        <v>928</v>
      </c>
      <c r="C369" s="42" t="s">
        <v>927</v>
      </c>
      <c r="D369" s="40">
        <v>41953</v>
      </c>
      <c r="E369" s="41">
        <v>5</v>
      </c>
      <c r="F369" s="46">
        <v>5</v>
      </c>
      <c r="G369" s="44" t="s">
        <v>55</v>
      </c>
      <c r="H369" s="43" t="s">
        <v>2805</v>
      </c>
      <c r="I369" s="43" t="s">
        <v>2713</v>
      </c>
      <c r="J369" s="44" t="s">
        <v>393</v>
      </c>
      <c r="K369" s="48"/>
      <c r="L369" s="52" t="s">
        <v>34</v>
      </c>
      <c r="M369" s="44">
        <v>0</v>
      </c>
      <c r="N369" s="45">
        <v>42004</v>
      </c>
    </row>
    <row r="370" spans="1:21" ht="15" customHeight="1" x14ac:dyDescent="0.2">
      <c r="A370" s="59" t="s">
        <v>2201</v>
      </c>
      <c r="B370" s="42" t="s">
        <v>937</v>
      </c>
      <c r="C370" s="42" t="s">
        <v>938</v>
      </c>
      <c r="D370" s="40">
        <v>41978</v>
      </c>
      <c r="E370" s="41">
        <v>19.899999999999999</v>
      </c>
      <c r="F370" s="46">
        <v>19.899999999999999</v>
      </c>
      <c r="G370" s="44"/>
      <c r="H370" s="43" t="s">
        <v>2716</v>
      </c>
      <c r="I370" s="43" t="s">
        <v>2713</v>
      </c>
      <c r="J370" s="44" t="s">
        <v>532</v>
      </c>
      <c r="K370" s="48" t="s">
        <v>447</v>
      </c>
      <c r="L370" s="52" t="s">
        <v>87</v>
      </c>
      <c r="M370" s="44">
        <v>0</v>
      </c>
      <c r="N370" s="45">
        <v>42035</v>
      </c>
    </row>
    <row r="371" spans="1:21" ht="15" customHeight="1" x14ac:dyDescent="0.2">
      <c r="A371" s="59" t="s">
        <v>2202</v>
      </c>
      <c r="B371" s="42" t="s">
        <v>937</v>
      </c>
      <c r="C371" s="42" t="s">
        <v>935</v>
      </c>
      <c r="D371" s="40">
        <v>41978</v>
      </c>
      <c r="E371" s="41">
        <v>19.899999999999999</v>
      </c>
      <c r="F371" s="46">
        <v>19.899999999999999</v>
      </c>
      <c r="G371" s="44"/>
      <c r="H371" s="43" t="s">
        <v>2716</v>
      </c>
      <c r="I371" s="43" t="s">
        <v>2713</v>
      </c>
      <c r="J371" s="44" t="s">
        <v>532</v>
      </c>
      <c r="K371" s="48" t="s">
        <v>939</v>
      </c>
      <c r="L371" s="52" t="s">
        <v>87</v>
      </c>
      <c r="M371" s="44">
        <v>0</v>
      </c>
      <c r="N371" s="45">
        <v>42035</v>
      </c>
    </row>
    <row r="372" spans="1:21" ht="15" customHeight="1" x14ac:dyDescent="0.2">
      <c r="A372" s="59" t="s">
        <v>2432</v>
      </c>
      <c r="B372" s="42" t="s">
        <v>1541</v>
      </c>
      <c r="C372" s="42" t="s">
        <v>950</v>
      </c>
      <c r="D372" s="40">
        <v>41988</v>
      </c>
      <c r="E372" s="41">
        <v>675</v>
      </c>
      <c r="F372" s="46">
        <v>675</v>
      </c>
      <c r="G372" s="44" t="s">
        <v>253</v>
      </c>
      <c r="H372" s="43" t="s">
        <v>2713</v>
      </c>
      <c r="I372" s="43" t="s">
        <v>2713</v>
      </c>
      <c r="J372" s="44" t="s">
        <v>533</v>
      </c>
      <c r="K372" s="48" t="s">
        <v>940</v>
      </c>
      <c r="L372" s="52" t="s">
        <v>403</v>
      </c>
      <c r="M372" s="44">
        <v>0</v>
      </c>
      <c r="N372" s="45">
        <v>44227</v>
      </c>
    </row>
    <row r="373" spans="1:21" customFormat="1" ht="15" customHeight="1" x14ac:dyDescent="0.2">
      <c r="A373" s="59" t="s">
        <v>2433</v>
      </c>
      <c r="B373" s="42" t="s">
        <v>588</v>
      </c>
      <c r="C373" s="42" t="s">
        <v>1358</v>
      </c>
      <c r="D373" s="40">
        <v>41989</v>
      </c>
      <c r="E373" s="41">
        <v>132</v>
      </c>
      <c r="F373" s="46">
        <v>132</v>
      </c>
      <c r="G373" s="44" t="s">
        <v>124</v>
      </c>
      <c r="H373" s="43" t="s">
        <v>2741</v>
      </c>
      <c r="I373" s="43" t="s">
        <v>2713</v>
      </c>
      <c r="J373" s="44" t="s">
        <v>531</v>
      </c>
      <c r="K373" s="48" t="s">
        <v>1049</v>
      </c>
      <c r="L373" s="52" t="s">
        <v>157</v>
      </c>
      <c r="M373" s="44">
        <v>0</v>
      </c>
      <c r="N373" s="45">
        <v>44255</v>
      </c>
      <c r="O373" s="4"/>
      <c r="P373" s="4"/>
      <c r="Q373" s="4"/>
      <c r="R373" s="4"/>
      <c r="S373" s="4"/>
      <c r="T373" s="4"/>
      <c r="U373" s="4"/>
    </row>
    <row r="374" spans="1:21" ht="15" customHeight="1" x14ac:dyDescent="0.2">
      <c r="A374" s="59" t="s">
        <v>2435</v>
      </c>
      <c r="B374" s="42" t="s">
        <v>1060</v>
      </c>
      <c r="C374" s="42" t="s">
        <v>931</v>
      </c>
      <c r="D374" s="40">
        <v>42003</v>
      </c>
      <c r="E374" s="41">
        <v>110.4</v>
      </c>
      <c r="F374" s="46">
        <v>110.4</v>
      </c>
      <c r="G374" s="44" t="s">
        <v>124</v>
      </c>
      <c r="H374" s="43" t="s">
        <v>590</v>
      </c>
      <c r="I374" s="43" t="s">
        <v>2713</v>
      </c>
      <c r="J374" s="44" t="s">
        <v>393</v>
      </c>
      <c r="K374" s="48" t="s">
        <v>1021</v>
      </c>
      <c r="L374" s="52" t="s">
        <v>157</v>
      </c>
      <c r="M374" s="44">
        <v>0</v>
      </c>
      <c r="N374" s="45">
        <v>44255</v>
      </c>
    </row>
    <row r="375" spans="1:21" ht="15" customHeight="1" x14ac:dyDescent="0.2">
      <c r="A375" s="59" t="s">
        <v>2203</v>
      </c>
      <c r="B375" s="42" t="s">
        <v>806</v>
      </c>
      <c r="C375" s="42" t="s">
        <v>941</v>
      </c>
      <c r="D375" s="40">
        <v>42010</v>
      </c>
      <c r="E375" s="66" t="s">
        <v>381</v>
      </c>
      <c r="F375" s="53" t="s">
        <v>381</v>
      </c>
      <c r="G375" s="44" t="s">
        <v>256</v>
      </c>
      <c r="H375" s="43" t="s">
        <v>2792</v>
      </c>
      <c r="I375" s="43" t="s">
        <v>2713</v>
      </c>
      <c r="J375" s="44" t="s">
        <v>542</v>
      </c>
      <c r="K375" s="48" t="s">
        <v>830</v>
      </c>
      <c r="L375" s="52" t="s">
        <v>571</v>
      </c>
      <c r="M375" s="44">
        <v>0</v>
      </c>
      <c r="N375" s="45">
        <v>42155</v>
      </c>
    </row>
    <row r="376" spans="1:21" customFormat="1" ht="15" customHeight="1" x14ac:dyDescent="0.2">
      <c r="A376" s="59" t="s">
        <v>2204</v>
      </c>
      <c r="B376" s="42" t="s">
        <v>806</v>
      </c>
      <c r="C376" s="42" t="s">
        <v>942</v>
      </c>
      <c r="D376" s="40">
        <v>42010</v>
      </c>
      <c r="E376" s="66" t="s">
        <v>381</v>
      </c>
      <c r="F376" s="53" t="s">
        <v>381</v>
      </c>
      <c r="G376" s="44" t="s">
        <v>256</v>
      </c>
      <c r="H376" s="43" t="s">
        <v>2771</v>
      </c>
      <c r="I376" s="43" t="s">
        <v>2713</v>
      </c>
      <c r="J376" s="44" t="s">
        <v>471</v>
      </c>
      <c r="K376" s="48" t="s">
        <v>947</v>
      </c>
      <c r="L376" s="52" t="s">
        <v>951</v>
      </c>
      <c r="M376" s="44">
        <v>0</v>
      </c>
      <c r="N376" s="45">
        <v>42521</v>
      </c>
      <c r="O376" s="4"/>
      <c r="P376" s="4"/>
      <c r="Q376" s="4"/>
      <c r="R376" s="4"/>
      <c r="S376" s="4"/>
      <c r="T376" s="4"/>
      <c r="U376" s="4"/>
    </row>
    <row r="377" spans="1:21" customFormat="1" ht="15" customHeight="1" x14ac:dyDescent="0.2">
      <c r="A377" s="59" t="s">
        <v>2205</v>
      </c>
      <c r="B377" s="42" t="s">
        <v>806</v>
      </c>
      <c r="C377" s="42" t="s">
        <v>944</v>
      </c>
      <c r="D377" s="40">
        <v>42010</v>
      </c>
      <c r="E377" s="66" t="s">
        <v>381</v>
      </c>
      <c r="F377" s="53" t="s">
        <v>381</v>
      </c>
      <c r="G377" s="44" t="s">
        <v>256</v>
      </c>
      <c r="H377" s="43" t="s">
        <v>2789</v>
      </c>
      <c r="I377" s="43" t="s">
        <v>2713</v>
      </c>
      <c r="J377" s="44" t="s">
        <v>945</v>
      </c>
      <c r="K377" s="48" t="s">
        <v>946</v>
      </c>
      <c r="L377" s="52" t="s">
        <v>807</v>
      </c>
      <c r="M377" s="44">
        <v>0</v>
      </c>
      <c r="N377" s="45">
        <v>42521</v>
      </c>
      <c r="O377" s="4"/>
      <c r="P377" s="4"/>
      <c r="Q377" s="4"/>
      <c r="R377" s="4"/>
      <c r="S377" s="4"/>
      <c r="T377" s="4"/>
    </row>
    <row r="378" spans="1:21" customFormat="1" ht="15" customHeight="1" x14ac:dyDescent="0.2">
      <c r="A378" s="59" t="s">
        <v>2206</v>
      </c>
      <c r="B378" s="42" t="s">
        <v>806</v>
      </c>
      <c r="C378" s="42" t="s">
        <v>943</v>
      </c>
      <c r="D378" s="40">
        <v>42010</v>
      </c>
      <c r="E378" s="66" t="s">
        <v>381</v>
      </c>
      <c r="F378" s="53" t="s">
        <v>381</v>
      </c>
      <c r="G378" s="44" t="s">
        <v>256</v>
      </c>
      <c r="H378" s="43" t="s">
        <v>2797</v>
      </c>
      <c r="I378" s="43" t="s">
        <v>2713</v>
      </c>
      <c r="J378" s="44" t="s">
        <v>471</v>
      </c>
      <c r="K378" s="48" t="s">
        <v>742</v>
      </c>
      <c r="L378" s="52" t="s">
        <v>571</v>
      </c>
      <c r="M378" s="44">
        <v>0</v>
      </c>
      <c r="N378" s="45">
        <v>42521</v>
      </c>
      <c r="O378" s="4"/>
      <c r="P378" s="4"/>
      <c r="Q378" s="4"/>
      <c r="R378" s="4"/>
      <c r="S378" s="4"/>
      <c r="T378" s="4"/>
    </row>
    <row r="379" spans="1:21" customFormat="1" ht="15" customHeight="1" x14ac:dyDescent="0.2">
      <c r="A379" s="59" t="s">
        <v>2207</v>
      </c>
      <c r="B379" s="42" t="s">
        <v>948</v>
      </c>
      <c r="C379" s="42" t="s">
        <v>949</v>
      </c>
      <c r="D379" s="40">
        <v>42025</v>
      </c>
      <c r="E379" s="41">
        <v>10</v>
      </c>
      <c r="F379" s="46">
        <v>10</v>
      </c>
      <c r="G379" s="44" t="s">
        <v>55</v>
      </c>
      <c r="H379" s="43" t="s">
        <v>2716</v>
      </c>
      <c r="I379" s="43" t="s">
        <v>2713</v>
      </c>
      <c r="J379" s="44" t="s">
        <v>532</v>
      </c>
      <c r="K379" s="48" t="s">
        <v>1022</v>
      </c>
      <c r="L379" s="52" t="s">
        <v>87</v>
      </c>
      <c r="M379" s="44">
        <v>0</v>
      </c>
      <c r="N379" s="45">
        <v>43524</v>
      </c>
      <c r="O379" s="4"/>
      <c r="P379" s="4"/>
      <c r="Q379" s="4"/>
      <c r="R379" s="4"/>
      <c r="S379" s="4"/>
      <c r="T379" s="4"/>
      <c r="U379" s="4"/>
    </row>
    <row r="380" spans="1:21" customFormat="1" ht="15" customHeight="1" x14ac:dyDescent="0.2">
      <c r="A380" s="59" t="s">
        <v>2436</v>
      </c>
      <c r="B380" s="42" t="s">
        <v>774</v>
      </c>
      <c r="C380" s="42" t="s">
        <v>313</v>
      </c>
      <c r="D380" s="40">
        <v>42034</v>
      </c>
      <c r="E380" s="41">
        <v>200</v>
      </c>
      <c r="F380" s="46">
        <v>200</v>
      </c>
      <c r="G380" s="44" t="s">
        <v>124</v>
      </c>
      <c r="H380" s="43" t="s">
        <v>2747</v>
      </c>
      <c r="I380" s="43" t="s">
        <v>2713</v>
      </c>
      <c r="J380" s="44" t="s">
        <v>420</v>
      </c>
      <c r="K380" s="48" t="s">
        <v>1002</v>
      </c>
      <c r="L380" s="52" t="s">
        <v>41</v>
      </c>
      <c r="M380" s="44">
        <v>0</v>
      </c>
      <c r="N380" s="45">
        <v>44255</v>
      </c>
      <c r="O380" s="4"/>
      <c r="P380" s="4"/>
      <c r="Q380" s="4"/>
      <c r="R380" s="4"/>
      <c r="S380" s="4"/>
      <c r="T380" s="4"/>
      <c r="U380" s="4"/>
    </row>
    <row r="381" spans="1:21" customFormat="1" ht="15" customHeight="1" x14ac:dyDescent="0.2">
      <c r="A381" s="59" t="s">
        <v>2208</v>
      </c>
      <c r="B381" s="42" t="s">
        <v>954</v>
      </c>
      <c r="C381" s="42" t="s">
        <v>955</v>
      </c>
      <c r="D381" s="40">
        <v>42037</v>
      </c>
      <c r="E381" s="41">
        <v>20</v>
      </c>
      <c r="F381" s="46">
        <v>20</v>
      </c>
      <c r="G381" s="44" t="s">
        <v>124</v>
      </c>
      <c r="H381" s="43" t="s">
        <v>2808</v>
      </c>
      <c r="I381" s="43" t="s">
        <v>2713</v>
      </c>
      <c r="J381" s="44" t="s">
        <v>471</v>
      </c>
      <c r="K381" s="48" t="s">
        <v>996</v>
      </c>
      <c r="L381" s="52" t="s">
        <v>157</v>
      </c>
      <c r="M381" s="44">
        <v>0</v>
      </c>
      <c r="N381" s="45">
        <v>42216</v>
      </c>
      <c r="O381" s="4"/>
      <c r="P381" s="4"/>
      <c r="Q381" s="4"/>
      <c r="R381" s="4"/>
      <c r="S381" s="4"/>
      <c r="T381" s="4"/>
      <c r="U381" s="4"/>
    </row>
    <row r="382" spans="1:21" ht="15" customHeight="1" x14ac:dyDescent="0.2">
      <c r="A382" s="59" t="s">
        <v>2209</v>
      </c>
      <c r="B382" s="42" t="s">
        <v>4933</v>
      </c>
      <c r="C382" s="42" t="s">
        <v>964</v>
      </c>
      <c r="D382" s="40">
        <v>42047</v>
      </c>
      <c r="E382" s="68" t="s">
        <v>54</v>
      </c>
      <c r="F382" s="50" t="s">
        <v>54</v>
      </c>
      <c r="G382" s="44" t="s">
        <v>256</v>
      </c>
      <c r="H382" s="43" t="s">
        <v>2791</v>
      </c>
      <c r="I382" s="43" t="s">
        <v>2713</v>
      </c>
      <c r="J382" s="44" t="s">
        <v>530</v>
      </c>
      <c r="K382" s="48" t="s">
        <v>963</v>
      </c>
      <c r="L382" s="52" t="s">
        <v>643</v>
      </c>
      <c r="M382" s="44">
        <v>0</v>
      </c>
      <c r="N382" s="45">
        <v>42582</v>
      </c>
    </row>
    <row r="383" spans="1:21" ht="15" customHeight="1" x14ac:dyDescent="0.2">
      <c r="A383" s="59" t="s">
        <v>2210</v>
      </c>
      <c r="B383" s="42" t="s">
        <v>952</v>
      </c>
      <c r="C383" s="42" t="s">
        <v>956</v>
      </c>
      <c r="D383" s="40">
        <v>42052</v>
      </c>
      <c r="E383" s="66" t="s">
        <v>381</v>
      </c>
      <c r="F383" s="53" t="s">
        <v>381</v>
      </c>
      <c r="G383" s="44" t="s">
        <v>256</v>
      </c>
      <c r="H383" s="43" t="s">
        <v>2773</v>
      </c>
      <c r="I383" s="43" t="s">
        <v>2713</v>
      </c>
      <c r="J383" s="44" t="s">
        <v>539</v>
      </c>
      <c r="K383" s="48" t="s">
        <v>2211</v>
      </c>
      <c r="L383" s="52" t="s">
        <v>971</v>
      </c>
      <c r="M383" s="44">
        <v>0</v>
      </c>
      <c r="N383" s="45">
        <v>42460</v>
      </c>
    </row>
    <row r="384" spans="1:21" ht="15" customHeight="1" x14ac:dyDescent="0.2">
      <c r="A384" s="59" t="s">
        <v>2212</v>
      </c>
      <c r="B384" s="42" t="s">
        <v>952</v>
      </c>
      <c r="C384" s="42" t="s">
        <v>957</v>
      </c>
      <c r="D384" s="40">
        <v>42052</v>
      </c>
      <c r="E384" s="66" t="s">
        <v>381</v>
      </c>
      <c r="F384" s="53" t="s">
        <v>381</v>
      </c>
      <c r="G384" s="44" t="s">
        <v>256</v>
      </c>
      <c r="H384" s="43" t="s">
        <v>2792</v>
      </c>
      <c r="I384" s="43" t="s">
        <v>2713</v>
      </c>
      <c r="J384" s="44" t="s">
        <v>812</v>
      </c>
      <c r="K384" s="48" t="s">
        <v>970</v>
      </c>
      <c r="L384" s="52" t="s">
        <v>972</v>
      </c>
      <c r="M384" s="44">
        <v>0</v>
      </c>
      <c r="N384" s="45">
        <v>42460</v>
      </c>
    </row>
    <row r="385" spans="1:21" ht="15" customHeight="1" x14ac:dyDescent="0.2">
      <c r="A385" s="59" t="s">
        <v>2213</v>
      </c>
      <c r="B385" s="42" t="s">
        <v>194</v>
      </c>
      <c r="C385" s="42" t="s">
        <v>958</v>
      </c>
      <c r="D385" s="40">
        <v>42055</v>
      </c>
      <c r="E385" s="66" t="s">
        <v>381</v>
      </c>
      <c r="F385" s="53" t="s">
        <v>381</v>
      </c>
      <c r="G385" s="44" t="s">
        <v>256</v>
      </c>
      <c r="H385" s="43" t="s">
        <v>2792</v>
      </c>
      <c r="I385" s="43" t="s">
        <v>2713</v>
      </c>
      <c r="J385" s="44" t="s">
        <v>812</v>
      </c>
      <c r="K385" s="48" t="s">
        <v>965</v>
      </c>
      <c r="L385" s="52" t="s">
        <v>571</v>
      </c>
      <c r="M385" s="44">
        <v>0</v>
      </c>
      <c r="N385" s="45">
        <v>42521</v>
      </c>
    </row>
    <row r="386" spans="1:21" ht="15" customHeight="1" x14ac:dyDescent="0.2">
      <c r="A386" s="59" t="s">
        <v>2214</v>
      </c>
      <c r="B386" s="42" t="s">
        <v>194</v>
      </c>
      <c r="C386" s="42" t="s">
        <v>959</v>
      </c>
      <c r="D386" s="40">
        <v>42055</v>
      </c>
      <c r="E386" s="66" t="s">
        <v>381</v>
      </c>
      <c r="F386" s="53" t="s">
        <v>381</v>
      </c>
      <c r="G386" s="44" t="s">
        <v>256</v>
      </c>
      <c r="H386" s="43" t="s">
        <v>2730</v>
      </c>
      <c r="I386" s="43" t="s">
        <v>2713</v>
      </c>
      <c r="J386" s="44" t="s">
        <v>539</v>
      </c>
      <c r="K386" s="48" t="s">
        <v>966</v>
      </c>
      <c r="L386" s="52" t="s">
        <v>571</v>
      </c>
      <c r="M386" s="44">
        <v>0</v>
      </c>
      <c r="N386" s="45">
        <v>42369</v>
      </c>
    </row>
    <row r="387" spans="1:21" ht="15" customHeight="1" x14ac:dyDescent="0.2">
      <c r="A387" s="59" t="s">
        <v>2215</v>
      </c>
      <c r="B387" s="42" t="s">
        <v>194</v>
      </c>
      <c r="C387" s="42" t="s">
        <v>960</v>
      </c>
      <c r="D387" s="40">
        <v>42055</v>
      </c>
      <c r="E387" s="66" t="s">
        <v>381</v>
      </c>
      <c r="F387" s="53" t="s">
        <v>381</v>
      </c>
      <c r="G387" s="44" t="s">
        <v>256</v>
      </c>
      <c r="H387" s="43" t="s">
        <v>2792</v>
      </c>
      <c r="I387" s="43" t="s">
        <v>2713</v>
      </c>
      <c r="J387" s="44" t="s">
        <v>542</v>
      </c>
      <c r="K387" s="48" t="s">
        <v>969</v>
      </c>
      <c r="L387" s="52" t="s">
        <v>571</v>
      </c>
      <c r="M387" s="44">
        <v>0</v>
      </c>
      <c r="N387" s="45">
        <v>42369</v>
      </c>
    </row>
    <row r="388" spans="1:21" customFormat="1" ht="15" customHeight="1" x14ac:dyDescent="0.2">
      <c r="A388" s="59" t="s">
        <v>2216</v>
      </c>
      <c r="B388" s="42" t="s">
        <v>194</v>
      </c>
      <c r="C388" s="42" t="s">
        <v>962</v>
      </c>
      <c r="D388" s="40">
        <v>42055</v>
      </c>
      <c r="E388" s="66" t="s">
        <v>381</v>
      </c>
      <c r="F388" s="53" t="s">
        <v>381</v>
      </c>
      <c r="G388" s="44" t="s">
        <v>256</v>
      </c>
      <c r="H388" s="43" t="s">
        <v>2760</v>
      </c>
      <c r="I388" s="43" t="s">
        <v>2713</v>
      </c>
      <c r="J388" s="44" t="s">
        <v>794</v>
      </c>
      <c r="K388" s="48" t="s">
        <v>968</v>
      </c>
      <c r="L388" s="52" t="s">
        <v>571</v>
      </c>
      <c r="M388" s="44">
        <v>0</v>
      </c>
      <c r="N388" s="45">
        <v>42369</v>
      </c>
      <c r="O388" s="4"/>
      <c r="P388" s="4"/>
      <c r="Q388" s="4"/>
      <c r="R388" s="4"/>
      <c r="S388" s="4"/>
      <c r="T388" s="4"/>
      <c r="U388" s="4"/>
    </row>
    <row r="389" spans="1:21" ht="15" customHeight="1" x14ac:dyDescent="0.2">
      <c r="A389" s="59" t="s">
        <v>2217</v>
      </c>
      <c r="B389" s="42" t="s">
        <v>194</v>
      </c>
      <c r="C389" s="42" t="s">
        <v>961</v>
      </c>
      <c r="D389" s="40">
        <v>42055</v>
      </c>
      <c r="E389" s="66" t="s">
        <v>381</v>
      </c>
      <c r="F389" s="53" t="s">
        <v>381</v>
      </c>
      <c r="G389" s="44" t="s">
        <v>256</v>
      </c>
      <c r="H389" s="43" t="s">
        <v>2792</v>
      </c>
      <c r="I389" s="43" t="s">
        <v>2713</v>
      </c>
      <c r="J389" s="44" t="s">
        <v>542</v>
      </c>
      <c r="K389" s="48" t="s">
        <v>967</v>
      </c>
      <c r="L389" s="52" t="s">
        <v>571</v>
      </c>
      <c r="M389" s="44">
        <v>0</v>
      </c>
      <c r="N389" s="45">
        <v>42369</v>
      </c>
    </row>
    <row r="390" spans="1:21" ht="15" customHeight="1" x14ac:dyDescent="0.2">
      <c r="A390" s="59" t="s">
        <v>2218</v>
      </c>
      <c r="B390" s="42" t="s">
        <v>194</v>
      </c>
      <c r="C390" s="42" t="s">
        <v>975</v>
      </c>
      <c r="D390" s="40">
        <v>42067</v>
      </c>
      <c r="E390" s="66" t="s">
        <v>381</v>
      </c>
      <c r="F390" s="53" t="s">
        <v>381</v>
      </c>
      <c r="G390" s="44" t="s">
        <v>256</v>
      </c>
      <c r="H390" s="43" t="s">
        <v>2770</v>
      </c>
      <c r="I390" s="43" t="s">
        <v>2713</v>
      </c>
      <c r="J390" s="44" t="s">
        <v>794</v>
      </c>
      <c r="K390" s="43" t="s">
        <v>742</v>
      </c>
      <c r="L390" s="44" t="s">
        <v>571</v>
      </c>
      <c r="M390" s="44">
        <v>0</v>
      </c>
      <c r="N390" s="45">
        <v>42521</v>
      </c>
    </row>
    <row r="391" spans="1:21" ht="15" customHeight="1" x14ac:dyDescent="0.2">
      <c r="A391" s="59" t="s">
        <v>2219</v>
      </c>
      <c r="B391" s="42" t="s">
        <v>976</v>
      </c>
      <c r="C391" s="42" t="s">
        <v>977</v>
      </c>
      <c r="D391" s="40">
        <v>42072</v>
      </c>
      <c r="E391" s="41">
        <v>20</v>
      </c>
      <c r="F391" s="46">
        <v>20</v>
      </c>
      <c r="G391" s="44" t="s">
        <v>615</v>
      </c>
      <c r="H391" s="43" t="s">
        <v>2716</v>
      </c>
      <c r="I391" s="43" t="s">
        <v>2713</v>
      </c>
      <c r="J391" s="44" t="s">
        <v>532</v>
      </c>
      <c r="K391" s="48" t="s">
        <v>981</v>
      </c>
      <c r="L391" s="52" t="s">
        <v>87</v>
      </c>
      <c r="M391" s="44">
        <v>0</v>
      </c>
      <c r="N391" s="45">
        <v>42308</v>
      </c>
    </row>
    <row r="392" spans="1:21" ht="15" customHeight="1" x14ac:dyDescent="0.2">
      <c r="A392" s="59" t="s">
        <v>2439</v>
      </c>
      <c r="B392" s="42" t="s">
        <v>1623</v>
      </c>
      <c r="C392" s="42" t="s">
        <v>978</v>
      </c>
      <c r="D392" s="40">
        <v>42072</v>
      </c>
      <c r="E392" s="41">
        <v>20</v>
      </c>
      <c r="F392" s="46">
        <v>20</v>
      </c>
      <c r="G392" s="44" t="s">
        <v>615</v>
      </c>
      <c r="H392" s="43" t="s">
        <v>2746</v>
      </c>
      <c r="I392" s="43" t="s">
        <v>2713</v>
      </c>
      <c r="J392" s="44" t="s">
        <v>532</v>
      </c>
      <c r="K392" s="48" t="s">
        <v>630</v>
      </c>
      <c r="L392" s="52" t="s">
        <v>87</v>
      </c>
      <c r="M392" s="44">
        <v>0</v>
      </c>
      <c r="N392" s="45">
        <v>44865</v>
      </c>
    </row>
    <row r="393" spans="1:21" ht="15" customHeight="1" x14ac:dyDescent="0.2">
      <c r="A393" s="59" t="s">
        <v>2220</v>
      </c>
      <c r="B393" s="42" t="s">
        <v>976</v>
      </c>
      <c r="C393" s="42" t="s">
        <v>979</v>
      </c>
      <c r="D393" s="40">
        <v>42072</v>
      </c>
      <c r="E393" s="41">
        <v>20</v>
      </c>
      <c r="F393" s="46">
        <v>20</v>
      </c>
      <c r="G393" s="44" t="s">
        <v>615</v>
      </c>
      <c r="H393" s="43" t="s">
        <v>2716</v>
      </c>
      <c r="I393" s="43" t="s">
        <v>2713</v>
      </c>
      <c r="J393" s="44" t="s">
        <v>532</v>
      </c>
      <c r="K393" s="48" t="s">
        <v>983</v>
      </c>
      <c r="L393" s="52" t="s">
        <v>87</v>
      </c>
      <c r="M393" s="44">
        <v>0</v>
      </c>
      <c r="N393" s="45">
        <v>42855</v>
      </c>
    </row>
    <row r="394" spans="1:21" ht="15" customHeight="1" x14ac:dyDescent="0.2">
      <c r="A394" s="59" t="s">
        <v>2221</v>
      </c>
      <c r="B394" s="42" t="s">
        <v>976</v>
      </c>
      <c r="C394" s="42" t="s">
        <v>980</v>
      </c>
      <c r="D394" s="40">
        <v>42072</v>
      </c>
      <c r="E394" s="41">
        <v>20</v>
      </c>
      <c r="F394" s="46">
        <v>20</v>
      </c>
      <c r="G394" s="44" t="s">
        <v>615</v>
      </c>
      <c r="H394" s="43" t="s">
        <v>2716</v>
      </c>
      <c r="I394" s="43" t="s">
        <v>2713</v>
      </c>
      <c r="J394" s="44" t="s">
        <v>532</v>
      </c>
      <c r="K394" s="48" t="s">
        <v>982</v>
      </c>
      <c r="L394" s="52" t="s">
        <v>87</v>
      </c>
      <c r="M394" s="44">
        <v>0</v>
      </c>
      <c r="N394" s="45">
        <v>42308</v>
      </c>
    </row>
    <row r="395" spans="1:21" ht="15" customHeight="1" x14ac:dyDescent="0.2">
      <c r="A395" s="59" t="s">
        <v>2222</v>
      </c>
      <c r="B395" s="42" t="s">
        <v>985</v>
      </c>
      <c r="C395" s="42" t="s">
        <v>988</v>
      </c>
      <c r="D395" s="40">
        <v>42086</v>
      </c>
      <c r="E395" s="41">
        <v>19.600000000000001</v>
      </c>
      <c r="F395" s="46">
        <v>19.600000000000001</v>
      </c>
      <c r="G395" s="44" t="s">
        <v>615</v>
      </c>
      <c r="H395" s="43" t="s">
        <v>2716</v>
      </c>
      <c r="I395" s="43" t="s">
        <v>2713</v>
      </c>
      <c r="J395" s="44" t="s">
        <v>532</v>
      </c>
      <c r="K395" s="48" t="s">
        <v>991</v>
      </c>
      <c r="L395" s="52" t="s">
        <v>87</v>
      </c>
      <c r="M395" s="44">
        <v>0</v>
      </c>
      <c r="N395" s="45">
        <v>42216</v>
      </c>
    </row>
    <row r="396" spans="1:21" ht="15" customHeight="1" x14ac:dyDescent="0.2">
      <c r="A396" s="59" t="s">
        <v>2223</v>
      </c>
      <c r="B396" s="42" t="s">
        <v>987</v>
      </c>
      <c r="C396" s="42" t="s">
        <v>989</v>
      </c>
      <c r="D396" s="40">
        <v>42086</v>
      </c>
      <c r="E396" s="41">
        <v>19.600000000000001</v>
      </c>
      <c r="F396" s="46">
        <v>19.600000000000001</v>
      </c>
      <c r="G396" s="44" t="s">
        <v>1038</v>
      </c>
      <c r="H396" s="43" t="s">
        <v>2716</v>
      </c>
      <c r="I396" s="43" t="s">
        <v>2713</v>
      </c>
      <c r="J396" s="44" t="s">
        <v>532</v>
      </c>
      <c r="K396" s="48" t="s">
        <v>992</v>
      </c>
      <c r="L396" s="52" t="s">
        <v>87</v>
      </c>
      <c r="M396" s="44">
        <v>0</v>
      </c>
      <c r="N396" s="45">
        <v>42643</v>
      </c>
    </row>
    <row r="397" spans="1:21" ht="15" customHeight="1" x14ac:dyDescent="0.2">
      <c r="A397" s="59" t="s">
        <v>2224</v>
      </c>
      <c r="B397" s="42" t="s">
        <v>986</v>
      </c>
      <c r="C397" s="42" t="s">
        <v>990</v>
      </c>
      <c r="D397" s="40">
        <v>42093</v>
      </c>
      <c r="E397" s="41">
        <v>19.600000000000001</v>
      </c>
      <c r="F397" s="46">
        <v>19.600000000000001</v>
      </c>
      <c r="G397" s="44" t="s">
        <v>1038</v>
      </c>
      <c r="H397" s="43" t="s">
        <v>2716</v>
      </c>
      <c r="I397" s="43" t="s">
        <v>2713</v>
      </c>
      <c r="J397" s="44" t="s">
        <v>532</v>
      </c>
      <c r="K397" s="48" t="s">
        <v>1059</v>
      </c>
      <c r="L397" s="52" t="s">
        <v>87</v>
      </c>
      <c r="M397" s="44">
        <v>0</v>
      </c>
      <c r="N397" s="45">
        <v>42400</v>
      </c>
    </row>
    <row r="398" spans="1:21" ht="15" customHeight="1" x14ac:dyDescent="0.2">
      <c r="A398" s="59" t="s">
        <v>2380</v>
      </c>
      <c r="B398" s="42" t="s">
        <v>993</v>
      </c>
      <c r="C398" s="42" t="s">
        <v>994</v>
      </c>
      <c r="D398" s="40">
        <v>42094</v>
      </c>
      <c r="E398" s="41">
        <v>79.8</v>
      </c>
      <c r="F398" s="46">
        <v>79.8</v>
      </c>
      <c r="G398" s="44" t="s">
        <v>124</v>
      </c>
      <c r="H398" s="43" t="s">
        <v>2739</v>
      </c>
      <c r="I398" s="43" t="s">
        <v>2713</v>
      </c>
      <c r="J398" s="44" t="s">
        <v>540</v>
      </c>
      <c r="K398" s="48" t="s">
        <v>1742</v>
      </c>
      <c r="L398" s="52" t="s">
        <v>157</v>
      </c>
      <c r="M398" s="44">
        <v>0</v>
      </c>
      <c r="N398" s="45">
        <v>43861</v>
      </c>
    </row>
    <row r="399" spans="1:21" ht="15" customHeight="1" x14ac:dyDescent="0.2">
      <c r="A399" s="59" t="s">
        <v>2440</v>
      </c>
      <c r="B399" s="42" t="s">
        <v>1288</v>
      </c>
      <c r="C399" s="42" t="s">
        <v>997</v>
      </c>
      <c r="D399" s="40">
        <v>42107</v>
      </c>
      <c r="E399" s="41">
        <v>480</v>
      </c>
      <c r="F399" s="46">
        <v>504</v>
      </c>
      <c r="G399" s="44" t="s">
        <v>339</v>
      </c>
      <c r="H399" s="43" t="s">
        <v>2735</v>
      </c>
      <c r="I399" s="43" t="s">
        <v>2749</v>
      </c>
      <c r="J399" s="44" t="s">
        <v>393</v>
      </c>
      <c r="K399" s="48" t="s">
        <v>1568</v>
      </c>
      <c r="L399" s="52" t="s">
        <v>34</v>
      </c>
      <c r="M399" s="44">
        <v>0</v>
      </c>
      <c r="N399" s="45">
        <v>44255</v>
      </c>
    </row>
    <row r="400" spans="1:21" ht="15" customHeight="1" x14ac:dyDescent="0.2">
      <c r="A400" s="59" t="s">
        <v>4327</v>
      </c>
      <c r="B400" s="42" t="s">
        <v>1000</v>
      </c>
      <c r="C400" s="42" t="s">
        <v>4326</v>
      </c>
      <c r="D400" s="40">
        <v>42118</v>
      </c>
      <c r="E400" s="41">
        <v>303.60000000000002</v>
      </c>
      <c r="F400" s="46">
        <v>303.60000000000002</v>
      </c>
      <c r="G400" s="44" t="s">
        <v>124</v>
      </c>
      <c r="H400" s="43" t="s">
        <v>2735</v>
      </c>
      <c r="I400" s="43" t="s">
        <v>2713</v>
      </c>
      <c r="J400" s="44" t="s">
        <v>420</v>
      </c>
      <c r="K400" s="48" t="s">
        <v>1002</v>
      </c>
      <c r="L400" s="52" t="s">
        <v>41</v>
      </c>
      <c r="M400" s="44">
        <v>0</v>
      </c>
      <c r="N400" s="65">
        <v>44957</v>
      </c>
    </row>
    <row r="401" spans="1:21" customFormat="1" ht="15" customHeight="1" x14ac:dyDescent="0.2">
      <c r="A401" s="59" t="s">
        <v>2441</v>
      </c>
      <c r="B401" s="42" t="s">
        <v>999</v>
      </c>
      <c r="C401" s="42" t="s">
        <v>998</v>
      </c>
      <c r="D401" s="40">
        <v>42123</v>
      </c>
      <c r="E401" s="41">
        <v>550</v>
      </c>
      <c r="F401" s="46">
        <v>550</v>
      </c>
      <c r="G401" s="44" t="s">
        <v>339</v>
      </c>
      <c r="H401" s="43" t="s">
        <v>2748</v>
      </c>
      <c r="I401" s="43" t="s">
        <v>2749</v>
      </c>
      <c r="J401" s="44" t="s">
        <v>393</v>
      </c>
      <c r="K401" s="48" t="s">
        <v>1568</v>
      </c>
      <c r="L401" s="52" t="s">
        <v>34</v>
      </c>
      <c r="M401" s="44">
        <v>0</v>
      </c>
      <c r="N401" s="45">
        <v>44255</v>
      </c>
      <c r="O401" s="4"/>
      <c r="P401" s="4"/>
      <c r="Q401" s="4"/>
      <c r="R401" s="4"/>
      <c r="S401" s="4"/>
      <c r="T401" s="4"/>
      <c r="U401" s="4"/>
    </row>
    <row r="402" spans="1:21" customFormat="1" ht="15" customHeight="1" x14ac:dyDescent="0.2">
      <c r="A402" s="59" t="s">
        <v>2225</v>
      </c>
      <c r="B402" s="42" t="s">
        <v>1004</v>
      </c>
      <c r="C402" s="42" t="s">
        <v>1014</v>
      </c>
      <c r="D402" s="40">
        <v>42131</v>
      </c>
      <c r="E402" s="41">
        <v>19.600000000000001</v>
      </c>
      <c r="F402" s="46">
        <v>19.600000000000001</v>
      </c>
      <c r="G402" s="44" t="s">
        <v>55</v>
      </c>
      <c r="H402" s="43" t="s">
        <v>2798</v>
      </c>
      <c r="I402" s="43" t="s">
        <v>2713</v>
      </c>
      <c r="J402" s="44" t="s">
        <v>471</v>
      </c>
      <c r="K402" s="48" t="s">
        <v>1015</v>
      </c>
      <c r="L402" s="52" t="s">
        <v>157</v>
      </c>
      <c r="M402" s="44">
        <v>0</v>
      </c>
      <c r="N402" s="45">
        <v>42308</v>
      </c>
      <c r="O402" s="4"/>
      <c r="P402" s="4"/>
      <c r="Q402" s="4"/>
      <c r="R402" s="4"/>
      <c r="S402" s="4"/>
      <c r="T402" s="4"/>
      <c r="U402" s="4"/>
    </row>
    <row r="403" spans="1:21" ht="15" customHeight="1" x14ac:dyDescent="0.2">
      <c r="A403" s="59" t="s">
        <v>2226</v>
      </c>
      <c r="B403" s="42" t="s">
        <v>1005</v>
      </c>
      <c r="C403" s="42" t="s">
        <v>1006</v>
      </c>
      <c r="D403" s="40">
        <v>42136</v>
      </c>
      <c r="E403" s="41">
        <v>2</v>
      </c>
      <c r="F403" s="46">
        <v>2</v>
      </c>
      <c r="G403" s="44" t="s">
        <v>55</v>
      </c>
      <c r="H403" s="43" t="s">
        <v>2796</v>
      </c>
      <c r="I403" s="43" t="s">
        <v>2713</v>
      </c>
      <c r="J403" s="44" t="s">
        <v>471</v>
      </c>
      <c r="K403" s="48" t="s">
        <v>1017</v>
      </c>
      <c r="L403" s="52" t="s">
        <v>157</v>
      </c>
      <c r="M403" s="44">
        <v>0</v>
      </c>
      <c r="N403" s="45">
        <v>42247</v>
      </c>
    </row>
    <row r="404" spans="1:21" ht="15" customHeight="1" x14ac:dyDescent="0.2">
      <c r="A404" s="59" t="s">
        <v>2227</v>
      </c>
      <c r="B404" s="42" t="s">
        <v>1005</v>
      </c>
      <c r="C404" s="42" t="s">
        <v>1007</v>
      </c>
      <c r="D404" s="40">
        <v>42136</v>
      </c>
      <c r="E404" s="41">
        <v>2</v>
      </c>
      <c r="F404" s="46">
        <v>2</v>
      </c>
      <c r="G404" s="44" t="s">
        <v>55</v>
      </c>
      <c r="H404" s="43" t="s">
        <v>2721</v>
      </c>
      <c r="I404" s="43" t="s">
        <v>2713</v>
      </c>
      <c r="J404" s="44" t="s">
        <v>471</v>
      </c>
      <c r="K404" s="48" t="s">
        <v>1016</v>
      </c>
      <c r="L404" s="52" t="s">
        <v>157</v>
      </c>
      <c r="M404" s="44">
        <v>0</v>
      </c>
      <c r="N404" s="45">
        <v>42247</v>
      </c>
    </row>
    <row r="405" spans="1:21" ht="15" customHeight="1" x14ac:dyDescent="0.2">
      <c r="A405" s="59" t="s">
        <v>2228</v>
      </c>
      <c r="B405" s="42" t="s">
        <v>1008</v>
      </c>
      <c r="C405" s="42" t="s">
        <v>1013</v>
      </c>
      <c r="D405" s="40">
        <v>42146</v>
      </c>
      <c r="E405" s="41">
        <v>18.3</v>
      </c>
      <c r="F405" s="46">
        <v>18.3</v>
      </c>
      <c r="G405" s="44"/>
      <c r="H405" s="43" t="s">
        <v>2773</v>
      </c>
      <c r="I405" s="43" t="s">
        <v>2713</v>
      </c>
      <c r="J405" s="44" t="s">
        <v>471</v>
      </c>
      <c r="K405" s="48" t="s">
        <v>1018</v>
      </c>
      <c r="L405" s="52" t="s">
        <v>673</v>
      </c>
      <c r="M405" s="44">
        <v>0</v>
      </c>
      <c r="N405" s="45">
        <v>42185</v>
      </c>
    </row>
    <row r="406" spans="1:21" ht="15" customHeight="1" x14ac:dyDescent="0.2">
      <c r="A406" s="59" t="s">
        <v>2229</v>
      </c>
      <c r="B406" s="42" t="s">
        <v>1009</v>
      </c>
      <c r="C406" s="42" t="s">
        <v>1012</v>
      </c>
      <c r="D406" s="40">
        <v>42146</v>
      </c>
      <c r="E406" s="41">
        <v>18.3</v>
      </c>
      <c r="F406" s="46">
        <v>18.3</v>
      </c>
      <c r="G406" s="44"/>
      <c r="H406" s="43" t="s">
        <v>2773</v>
      </c>
      <c r="I406" s="43" t="s">
        <v>2713</v>
      </c>
      <c r="J406" s="44" t="s">
        <v>471</v>
      </c>
      <c r="K406" s="48" t="s">
        <v>1019</v>
      </c>
      <c r="L406" s="52" t="s">
        <v>673</v>
      </c>
      <c r="M406" s="44">
        <v>0</v>
      </c>
      <c r="N406" s="45">
        <v>42185</v>
      </c>
    </row>
    <row r="407" spans="1:21" ht="15" customHeight="1" x14ac:dyDescent="0.2">
      <c r="A407" s="59" t="s">
        <v>2230</v>
      </c>
      <c r="B407" s="42" t="s">
        <v>1010</v>
      </c>
      <c r="C407" s="42" t="s">
        <v>1011</v>
      </c>
      <c r="D407" s="40">
        <v>42146</v>
      </c>
      <c r="E407" s="41">
        <v>18.3</v>
      </c>
      <c r="F407" s="46">
        <v>18.3</v>
      </c>
      <c r="G407" s="44"/>
      <c r="H407" s="43" t="s">
        <v>2773</v>
      </c>
      <c r="I407" s="43" t="s">
        <v>2713</v>
      </c>
      <c r="J407" s="44" t="s">
        <v>471</v>
      </c>
      <c r="K407" s="48" t="s">
        <v>1020</v>
      </c>
      <c r="L407" s="52" t="s">
        <v>673</v>
      </c>
      <c r="M407" s="44">
        <v>0</v>
      </c>
      <c r="N407" s="45">
        <v>42185</v>
      </c>
    </row>
    <row r="408" spans="1:21" customFormat="1" ht="14.45" customHeight="1" x14ac:dyDescent="0.2">
      <c r="A408" s="59" t="s">
        <v>2231</v>
      </c>
      <c r="B408" s="42" t="s">
        <v>1025</v>
      </c>
      <c r="C408" s="42" t="s">
        <v>1026</v>
      </c>
      <c r="D408" s="40">
        <v>42160</v>
      </c>
      <c r="E408" s="66" t="s">
        <v>381</v>
      </c>
      <c r="F408" s="53" t="s">
        <v>381</v>
      </c>
      <c r="G408" s="44" t="s">
        <v>256</v>
      </c>
      <c r="H408" s="43" t="s">
        <v>2779</v>
      </c>
      <c r="I408" s="43" t="s">
        <v>2713</v>
      </c>
      <c r="J408" s="44" t="s">
        <v>539</v>
      </c>
      <c r="K408" s="48" t="s">
        <v>1029</v>
      </c>
      <c r="L408" s="52" t="s">
        <v>673</v>
      </c>
      <c r="M408" s="44">
        <v>0</v>
      </c>
      <c r="N408" s="45">
        <v>42308</v>
      </c>
      <c r="O408" s="4"/>
      <c r="P408" s="4"/>
      <c r="Q408" s="4"/>
      <c r="R408" s="4"/>
      <c r="S408" s="4"/>
      <c r="T408" s="4"/>
      <c r="U408" s="4"/>
    </row>
    <row r="409" spans="1:21" ht="15" customHeight="1" x14ac:dyDescent="0.2">
      <c r="A409" s="59" t="s">
        <v>2442</v>
      </c>
      <c r="B409" s="60" t="s">
        <v>1023</v>
      </c>
      <c r="C409" s="60" t="s">
        <v>1024</v>
      </c>
      <c r="D409" s="40">
        <v>42165</v>
      </c>
      <c r="E409" s="61">
        <v>1000</v>
      </c>
      <c r="F409" s="62">
        <v>1000</v>
      </c>
      <c r="G409" s="63" t="s">
        <v>253</v>
      </c>
      <c r="H409" s="64" t="s">
        <v>2742</v>
      </c>
      <c r="I409" s="64" t="s">
        <v>2713</v>
      </c>
      <c r="J409" s="63" t="s">
        <v>791</v>
      </c>
      <c r="K409" s="64" t="s">
        <v>1569</v>
      </c>
      <c r="L409" s="63" t="s">
        <v>796</v>
      </c>
      <c r="M409" s="44">
        <v>0</v>
      </c>
      <c r="N409" s="65">
        <v>44957</v>
      </c>
    </row>
    <row r="410" spans="1:21" ht="15" customHeight="1" x14ac:dyDescent="0.2">
      <c r="A410" s="59" t="s">
        <v>2232</v>
      </c>
      <c r="B410" s="42" t="s">
        <v>1032</v>
      </c>
      <c r="C410" s="42" t="s">
        <v>1039</v>
      </c>
      <c r="D410" s="40">
        <v>42187</v>
      </c>
      <c r="E410" s="41">
        <v>14.8</v>
      </c>
      <c r="F410" s="46">
        <v>14.8</v>
      </c>
      <c r="G410" s="44" t="s">
        <v>318</v>
      </c>
      <c r="H410" s="43" t="s">
        <v>2808</v>
      </c>
      <c r="I410" s="43" t="s">
        <v>2713</v>
      </c>
      <c r="J410" s="44" t="s">
        <v>471</v>
      </c>
      <c r="K410" s="48" t="s">
        <v>1040</v>
      </c>
      <c r="L410" s="52" t="s">
        <v>157</v>
      </c>
      <c r="M410" s="44">
        <v>0</v>
      </c>
      <c r="N410" s="45">
        <v>42735</v>
      </c>
    </row>
    <row r="411" spans="1:21" ht="15" customHeight="1" x14ac:dyDescent="0.2">
      <c r="A411" s="59" t="s">
        <v>2233</v>
      </c>
      <c r="B411" s="42" t="s">
        <v>1033</v>
      </c>
      <c r="C411" s="42" t="s">
        <v>1030</v>
      </c>
      <c r="D411" s="40">
        <v>42202</v>
      </c>
      <c r="E411" s="41">
        <v>18.2</v>
      </c>
      <c r="F411" s="46">
        <v>18.2</v>
      </c>
      <c r="G411" s="44" t="s">
        <v>1038</v>
      </c>
      <c r="H411" s="43" t="s">
        <v>2777</v>
      </c>
      <c r="I411" s="43" t="s">
        <v>2713</v>
      </c>
      <c r="J411" s="44" t="s">
        <v>539</v>
      </c>
      <c r="K411" s="48" t="s">
        <v>1077</v>
      </c>
      <c r="L411" s="44" t="s">
        <v>157</v>
      </c>
      <c r="M411" s="44">
        <v>0</v>
      </c>
      <c r="N411" s="45">
        <v>42429</v>
      </c>
    </row>
    <row r="412" spans="1:21" ht="15" customHeight="1" x14ac:dyDescent="0.2">
      <c r="A412" s="59" t="s">
        <v>2234</v>
      </c>
      <c r="B412" s="42" t="s">
        <v>1034</v>
      </c>
      <c r="C412" s="42" t="s">
        <v>1031</v>
      </c>
      <c r="D412" s="40">
        <v>42202</v>
      </c>
      <c r="E412" s="41">
        <v>18.2</v>
      </c>
      <c r="F412" s="46">
        <v>18.2</v>
      </c>
      <c r="G412" s="44"/>
      <c r="H412" s="43" t="s">
        <v>2777</v>
      </c>
      <c r="I412" s="43" t="s">
        <v>2713</v>
      </c>
      <c r="J412" s="44" t="s">
        <v>539</v>
      </c>
      <c r="K412" s="48" t="s">
        <v>1035</v>
      </c>
      <c r="L412" s="52" t="s">
        <v>673</v>
      </c>
      <c r="M412" s="44">
        <v>0</v>
      </c>
      <c r="N412" s="45">
        <v>42247</v>
      </c>
    </row>
    <row r="413" spans="1:21" ht="15" customHeight="1" x14ac:dyDescent="0.2">
      <c r="A413" s="59" t="s">
        <v>2381</v>
      </c>
      <c r="B413" s="42" t="s">
        <v>1046</v>
      </c>
      <c r="C413" s="42" t="s">
        <v>1042</v>
      </c>
      <c r="D413" s="40">
        <v>42251</v>
      </c>
      <c r="E413" s="41">
        <v>79</v>
      </c>
      <c r="F413" s="46">
        <v>90.1</v>
      </c>
      <c r="G413" s="44" t="s">
        <v>339</v>
      </c>
      <c r="H413" s="43" t="s">
        <v>2800</v>
      </c>
      <c r="I413" s="43" t="s">
        <v>2713</v>
      </c>
      <c r="J413" s="44" t="s">
        <v>530</v>
      </c>
      <c r="K413" s="48" t="s">
        <v>1048</v>
      </c>
      <c r="L413" s="52" t="s">
        <v>157</v>
      </c>
      <c r="M413" s="44">
        <v>0</v>
      </c>
      <c r="N413" s="45">
        <v>43738</v>
      </c>
    </row>
    <row r="414" spans="1:21" ht="15" customHeight="1" x14ac:dyDescent="0.2">
      <c r="A414" s="59" t="s">
        <v>2235</v>
      </c>
      <c r="B414" s="42" t="s">
        <v>1045</v>
      </c>
      <c r="C414" s="42" t="s">
        <v>1043</v>
      </c>
      <c r="D414" s="40">
        <v>42258</v>
      </c>
      <c r="E414" s="41">
        <v>2.5</v>
      </c>
      <c r="F414" s="46">
        <v>2.5</v>
      </c>
      <c r="G414" s="44" t="s">
        <v>318</v>
      </c>
      <c r="H414" s="43" t="s">
        <v>2744</v>
      </c>
      <c r="I414" s="43" t="s">
        <v>2713</v>
      </c>
      <c r="J414" s="44" t="s">
        <v>530</v>
      </c>
      <c r="K414" s="48" t="s">
        <v>1080</v>
      </c>
      <c r="L414" s="52" t="s">
        <v>157</v>
      </c>
      <c r="M414" s="44">
        <v>0</v>
      </c>
      <c r="N414" s="45">
        <v>43646</v>
      </c>
    </row>
    <row r="415" spans="1:21" ht="15" customHeight="1" x14ac:dyDescent="0.2">
      <c r="A415" s="59" t="s">
        <v>2236</v>
      </c>
      <c r="B415" s="42" t="s">
        <v>1051</v>
      </c>
      <c r="C415" s="42" t="s">
        <v>1052</v>
      </c>
      <c r="D415" s="40">
        <v>42278</v>
      </c>
      <c r="E415" s="41">
        <v>120</v>
      </c>
      <c r="F415" s="46">
        <v>120</v>
      </c>
      <c r="G415" s="44" t="s">
        <v>124</v>
      </c>
      <c r="H415" s="43" t="s">
        <v>2796</v>
      </c>
      <c r="I415" s="43" t="s">
        <v>2713</v>
      </c>
      <c r="J415" s="44" t="s">
        <v>471</v>
      </c>
      <c r="K415" s="48" t="s">
        <v>1056</v>
      </c>
      <c r="L415" s="52" t="s">
        <v>157</v>
      </c>
      <c r="M415" s="44">
        <v>0</v>
      </c>
      <c r="N415" s="45">
        <v>43312</v>
      </c>
    </row>
    <row r="416" spans="1:21" ht="15" customHeight="1" x14ac:dyDescent="0.2">
      <c r="A416" s="59" t="s">
        <v>2237</v>
      </c>
      <c r="B416" s="42" t="s">
        <v>1314</v>
      </c>
      <c r="C416" s="42" t="s">
        <v>159</v>
      </c>
      <c r="D416" s="40">
        <v>42284</v>
      </c>
      <c r="E416" s="41">
        <v>1000</v>
      </c>
      <c r="F416" s="46">
        <v>1000</v>
      </c>
      <c r="G416" s="44" t="s">
        <v>339</v>
      </c>
      <c r="H416" s="43" t="s">
        <v>2713</v>
      </c>
      <c r="I416" s="43" t="s">
        <v>2713</v>
      </c>
      <c r="J416" s="44" t="s">
        <v>533</v>
      </c>
      <c r="K416" s="48" t="s">
        <v>1057</v>
      </c>
      <c r="L416" s="52" t="s">
        <v>403</v>
      </c>
      <c r="M416" s="44">
        <v>0</v>
      </c>
      <c r="N416" s="45">
        <v>43131</v>
      </c>
    </row>
    <row r="417" spans="1:21" ht="15" customHeight="1" x14ac:dyDescent="0.2">
      <c r="A417" s="59" t="s">
        <v>2445</v>
      </c>
      <c r="B417" s="42" t="s">
        <v>797</v>
      </c>
      <c r="C417" s="42" t="s">
        <v>800</v>
      </c>
      <c r="D417" s="40">
        <v>42289</v>
      </c>
      <c r="E417" s="41">
        <v>234.4</v>
      </c>
      <c r="F417" s="46">
        <v>234.4</v>
      </c>
      <c r="G417" s="44" t="s">
        <v>364</v>
      </c>
      <c r="H417" s="43" t="s">
        <v>2807</v>
      </c>
      <c r="I417" s="43" t="s">
        <v>2781</v>
      </c>
      <c r="J417" s="44" t="s">
        <v>533</v>
      </c>
      <c r="K417" s="48" t="s">
        <v>801</v>
      </c>
      <c r="L417" s="52" t="s">
        <v>403</v>
      </c>
      <c r="M417" s="44">
        <v>0</v>
      </c>
      <c r="N417" s="45">
        <v>43890</v>
      </c>
    </row>
    <row r="418" spans="1:21" ht="15" customHeight="1" x14ac:dyDescent="0.2">
      <c r="A418" s="59" t="s">
        <v>2446</v>
      </c>
      <c r="B418" s="42" t="s">
        <v>1053</v>
      </c>
      <c r="C418" s="42" t="s">
        <v>1054</v>
      </c>
      <c r="D418" s="40">
        <v>42304</v>
      </c>
      <c r="E418" s="54" t="s">
        <v>54</v>
      </c>
      <c r="F418" s="51" t="s">
        <v>54</v>
      </c>
      <c r="G418" s="44" t="s">
        <v>256</v>
      </c>
      <c r="H418" s="43" t="s">
        <v>2720</v>
      </c>
      <c r="I418" s="43" t="s">
        <v>2713</v>
      </c>
      <c r="J418" s="44" t="s">
        <v>539</v>
      </c>
      <c r="K418" s="48" t="s">
        <v>1058</v>
      </c>
      <c r="L418" s="52" t="s">
        <v>403</v>
      </c>
      <c r="M418" s="44">
        <v>0</v>
      </c>
      <c r="N418" s="45">
        <v>44347</v>
      </c>
    </row>
    <row r="419" spans="1:21" ht="15" customHeight="1" x14ac:dyDescent="0.2">
      <c r="A419" s="59" t="s">
        <v>2447</v>
      </c>
      <c r="B419" s="60" t="s">
        <v>774</v>
      </c>
      <c r="C419" s="60" t="s">
        <v>705</v>
      </c>
      <c r="D419" s="40">
        <v>42341</v>
      </c>
      <c r="E419" s="61">
        <v>72.599999999999994</v>
      </c>
      <c r="F419" s="62">
        <v>72.599999999999994</v>
      </c>
      <c r="G419" s="63" t="s">
        <v>124</v>
      </c>
      <c r="H419" s="64" t="s">
        <v>2729</v>
      </c>
      <c r="I419" s="64" t="s">
        <v>2713</v>
      </c>
      <c r="J419" s="63" t="s">
        <v>530</v>
      </c>
      <c r="K419" s="64" t="s">
        <v>612</v>
      </c>
      <c r="L419" s="63" t="s">
        <v>34</v>
      </c>
      <c r="M419" s="44">
        <v>0</v>
      </c>
      <c r="N419" s="65">
        <v>44957</v>
      </c>
    </row>
    <row r="420" spans="1:21" ht="15" customHeight="1" x14ac:dyDescent="0.2">
      <c r="A420" s="59" t="s">
        <v>5138</v>
      </c>
      <c r="B420" s="60" t="s">
        <v>4069</v>
      </c>
      <c r="C420" s="60" t="s">
        <v>1061</v>
      </c>
      <c r="D420" s="40">
        <v>42353</v>
      </c>
      <c r="E420" s="61">
        <v>449</v>
      </c>
      <c r="F420" s="62">
        <v>449</v>
      </c>
      <c r="G420" s="63" t="s">
        <v>124</v>
      </c>
      <c r="H420" s="64" t="s">
        <v>2735</v>
      </c>
      <c r="I420" s="64" t="s">
        <v>2713</v>
      </c>
      <c r="J420" s="63" t="s">
        <v>420</v>
      </c>
      <c r="K420" s="44" t="s">
        <v>4070</v>
      </c>
      <c r="L420" s="65" t="s">
        <v>41</v>
      </c>
      <c r="M420" s="44">
        <v>0</v>
      </c>
      <c r="N420" s="65">
        <v>46112</v>
      </c>
    </row>
    <row r="421" spans="1:21" ht="15" customHeight="1" x14ac:dyDescent="0.2">
      <c r="A421" s="59" t="s">
        <v>2448</v>
      </c>
      <c r="B421" s="42" t="s">
        <v>1069</v>
      </c>
      <c r="C421" s="42" t="s">
        <v>1063</v>
      </c>
      <c r="D421" s="40">
        <v>42355</v>
      </c>
      <c r="E421" s="41">
        <v>75</v>
      </c>
      <c r="F421" s="46">
        <v>75</v>
      </c>
      <c r="G421" s="44" t="s">
        <v>758</v>
      </c>
      <c r="H421" s="43" t="s">
        <v>2728</v>
      </c>
      <c r="I421" s="43" t="s">
        <v>2713</v>
      </c>
      <c r="J421" s="44" t="s">
        <v>531</v>
      </c>
      <c r="K421" s="48" t="s">
        <v>1071</v>
      </c>
      <c r="L421" s="52" t="s">
        <v>157</v>
      </c>
      <c r="M421" s="44">
        <v>0</v>
      </c>
      <c r="N421" s="45">
        <v>44012</v>
      </c>
    </row>
    <row r="422" spans="1:21" customFormat="1" ht="14.45" customHeight="1" x14ac:dyDescent="0.2">
      <c r="A422" s="59" t="s">
        <v>2449</v>
      </c>
      <c r="B422" s="42" t="s">
        <v>1069</v>
      </c>
      <c r="C422" s="42" t="s">
        <v>1064</v>
      </c>
      <c r="D422" s="40">
        <v>42355</v>
      </c>
      <c r="E422" s="41">
        <v>370</v>
      </c>
      <c r="F422" s="46">
        <v>370</v>
      </c>
      <c r="G422" s="44" t="s">
        <v>758</v>
      </c>
      <c r="H422" s="43" t="s">
        <v>2728</v>
      </c>
      <c r="I422" s="43" t="s">
        <v>2713</v>
      </c>
      <c r="J422" s="44" t="s">
        <v>531</v>
      </c>
      <c r="K422" s="48" t="s">
        <v>1072</v>
      </c>
      <c r="L422" s="52" t="s">
        <v>157</v>
      </c>
      <c r="M422" s="44">
        <v>0</v>
      </c>
      <c r="N422" s="45">
        <v>44012</v>
      </c>
      <c r="O422" s="4"/>
      <c r="P422" s="4"/>
      <c r="Q422" s="4"/>
      <c r="R422" s="4"/>
      <c r="S422" s="4"/>
      <c r="T422" s="4"/>
      <c r="U422" s="4"/>
    </row>
    <row r="423" spans="1:21" ht="15" customHeight="1" x14ac:dyDescent="0.2">
      <c r="A423" s="59" t="s">
        <v>2238</v>
      </c>
      <c r="B423" s="42" t="s">
        <v>4934</v>
      </c>
      <c r="C423" s="42" t="s">
        <v>1065</v>
      </c>
      <c r="D423" s="40">
        <v>42356</v>
      </c>
      <c r="E423" s="54" t="s">
        <v>54</v>
      </c>
      <c r="F423" s="51" t="s">
        <v>54</v>
      </c>
      <c r="G423" s="44" t="s">
        <v>256</v>
      </c>
      <c r="H423" s="43" t="s">
        <v>2722</v>
      </c>
      <c r="I423" s="43" t="s">
        <v>2713</v>
      </c>
      <c r="J423" s="44" t="s">
        <v>531</v>
      </c>
      <c r="K423" s="48" t="s">
        <v>1074</v>
      </c>
      <c r="L423" s="52" t="s">
        <v>1075</v>
      </c>
      <c r="M423" s="44">
        <v>0</v>
      </c>
      <c r="N423" s="45">
        <v>43159</v>
      </c>
    </row>
    <row r="424" spans="1:21" ht="15" customHeight="1" x14ac:dyDescent="0.2">
      <c r="A424" s="59" t="s">
        <v>2450</v>
      </c>
      <c r="B424" s="60" t="s">
        <v>588</v>
      </c>
      <c r="C424" s="60" t="s">
        <v>682</v>
      </c>
      <c r="D424" s="40">
        <v>42361</v>
      </c>
      <c r="E424" s="61">
        <v>100</v>
      </c>
      <c r="F424" s="62">
        <v>100</v>
      </c>
      <c r="G424" s="63" t="s">
        <v>124</v>
      </c>
      <c r="H424" s="64" t="s">
        <v>2800</v>
      </c>
      <c r="I424" s="64" t="s">
        <v>2713</v>
      </c>
      <c r="J424" s="63" t="s">
        <v>420</v>
      </c>
      <c r="K424" s="64" t="s">
        <v>1743</v>
      </c>
      <c r="L424" s="63" t="s">
        <v>157</v>
      </c>
      <c r="M424" s="44">
        <v>0</v>
      </c>
      <c r="N424" s="65">
        <v>44957</v>
      </c>
    </row>
    <row r="425" spans="1:21" ht="15" customHeight="1" x14ac:dyDescent="0.2">
      <c r="A425" s="59" t="s">
        <v>2239</v>
      </c>
      <c r="B425" s="42" t="s">
        <v>588</v>
      </c>
      <c r="C425" s="42" t="s">
        <v>733</v>
      </c>
      <c r="D425" s="40">
        <v>42361</v>
      </c>
      <c r="E425" s="41">
        <v>250</v>
      </c>
      <c r="F425" s="46">
        <v>250</v>
      </c>
      <c r="G425" s="44" t="s">
        <v>124</v>
      </c>
      <c r="H425" s="43" t="s">
        <v>2740</v>
      </c>
      <c r="I425" s="43" t="s">
        <v>2713</v>
      </c>
      <c r="J425" s="44" t="s">
        <v>530</v>
      </c>
      <c r="K425" s="48" t="s">
        <v>1073</v>
      </c>
      <c r="L425" s="52" t="s">
        <v>157</v>
      </c>
      <c r="M425" s="44">
        <v>0</v>
      </c>
      <c r="N425" s="45">
        <v>42947</v>
      </c>
    </row>
    <row r="426" spans="1:21" ht="15" customHeight="1" x14ac:dyDescent="0.2">
      <c r="A426" s="59" t="s">
        <v>2240</v>
      </c>
      <c r="B426" s="42" t="s">
        <v>194</v>
      </c>
      <c r="C426" s="42" t="s">
        <v>1066</v>
      </c>
      <c r="D426" s="40">
        <v>42368</v>
      </c>
      <c r="E426" s="54" t="s">
        <v>54</v>
      </c>
      <c r="F426" s="51" t="s">
        <v>54</v>
      </c>
      <c r="G426" s="44" t="s">
        <v>256</v>
      </c>
      <c r="H426" s="43" t="s">
        <v>2786</v>
      </c>
      <c r="I426" s="43" t="s">
        <v>2713</v>
      </c>
      <c r="J426" s="44" t="s">
        <v>531</v>
      </c>
      <c r="K426" s="48" t="s">
        <v>1076</v>
      </c>
      <c r="L426" s="52" t="s">
        <v>157</v>
      </c>
      <c r="M426" s="44">
        <v>0</v>
      </c>
      <c r="N426" s="45">
        <v>43008</v>
      </c>
    </row>
    <row r="427" spans="1:21" ht="15" customHeight="1" x14ac:dyDescent="0.2">
      <c r="A427" s="59" t="s">
        <v>2241</v>
      </c>
      <c r="B427" s="42" t="s">
        <v>194</v>
      </c>
      <c r="C427" s="42" t="s">
        <v>1067</v>
      </c>
      <c r="D427" s="40">
        <v>42368</v>
      </c>
      <c r="E427" s="54" t="s">
        <v>54</v>
      </c>
      <c r="F427" s="51" t="s">
        <v>54</v>
      </c>
      <c r="G427" s="44" t="s">
        <v>256</v>
      </c>
      <c r="H427" s="43" t="s">
        <v>2786</v>
      </c>
      <c r="I427" s="43" t="s">
        <v>2713</v>
      </c>
      <c r="J427" s="44" t="s">
        <v>531</v>
      </c>
      <c r="K427" s="48" t="s">
        <v>1076</v>
      </c>
      <c r="L427" s="52" t="s">
        <v>157</v>
      </c>
      <c r="M427" s="44">
        <v>0</v>
      </c>
      <c r="N427" s="45">
        <v>43008</v>
      </c>
    </row>
    <row r="428" spans="1:21" ht="15" customHeight="1" x14ac:dyDescent="0.2">
      <c r="A428" s="59" t="s">
        <v>2382</v>
      </c>
      <c r="B428" s="42" t="s">
        <v>4975</v>
      </c>
      <c r="C428" s="42" t="s">
        <v>1068</v>
      </c>
      <c r="D428" s="40">
        <v>42373</v>
      </c>
      <c r="E428" s="54" t="s">
        <v>54</v>
      </c>
      <c r="F428" s="51" t="s">
        <v>54</v>
      </c>
      <c r="G428" s="44" t="s">
        <v>256</v>
      </c>
      <c r="H428" s="43" t="s">
        <v>2786</v>
      </c>
      <c r="I428" s="43" t="s">
        <v>2713</v>
      </c>
      <c r="J428" s="44" t="s">
        <v>531</v>
      </c>
      <c r="K428" s="48" t="s">
        <v>1079</v>
      </c>
      <c r="L428" s="52" t="s">
        <v>1075</v>
      </c>
      <c r="M428" s="44">
        <v>0</v>
      </c>
      <c r="N428" s="45">
        <v>43131</v>
      </c>
    </row>
    <row r="429" spans="1:21" ht="15" customHeight="1" x14ac:dyDescent="0.2">
      <c r="A429" s="59" t="s">
        <v>2383</v>
      </c>
      <c r="B429" s="42" t="s">
        <v>1000</v>
      </c>
      <c r="C429" s="42" t="s">
        <v>410</v>
      </c>
      <c r="D429" s="40">
        <v>42401</v>
      </c>
      <c r="E429" s="41">
        <v>100</v>
      </c>
      <c r="F429" s="46">
        <v>100</v>
      </c>
      <c r="G429" s="44" t="s">
        <v>124</v>
      </c>
      <c r="H429" s="43" t="s">
        <v>2838</v>
      </c>
      <c r="I429" s="43" t="s">
        <v>2713</v>
      </c>
      <c r="J429" s="44" t="s">
        <v>540</v>
      </c>
      <c r="K429" s="48" t="s">
        <v>1085</v>
      </c>
      <c r="L429" s="52" t="s">
        <v>351</v>
      </c>
      <c r="M429" s="44">
        <v>0</v>
      </c>
      <c r="N429" s="45">
        <v>43555</v>
      </c>
    </row>
    <row r="430" spans="1:21" ht="15" customHeight="1" x14ac:dyDescent="0.2">
      <c r="A430" s="59" t="s">
        <v>2242</v>
      </c>
      <c r="B430" s="42" t="s">
        <v>1083</v>
      </c>
      <c r="C430" s="42" t="s">
        <v>1084</v>
      </c>
      <c r="D430" s="40">
        <v>42403</v>
      </c>
      <c r="E430" s="41">
        <v>275</v>
      </c>
      <c r="F430" s="46">
        <v>275</v>
      </c>
      <c r="G430" s="44" t="s">
        <v>253</v>
      </c>
      <c r="H430" s="43" t="s">
        <v>2746</v>
      </c>
      <c r="I430" s="43" t="s">
        <v>2713</v>
      </c>
      <c r="J430" s="44" t="s">
        <v>532</v>
      </c>
      <c r="K430" s="48" t="s">
        <v>984</v>
      </c>
      <c r="L430" s="52" t="s">
        <v>87</v>
      </c>
      <c r="M430" s="44">
        <v>0</v>
      </c>
      <c r="N430" s="45">
        <v>43069</v>
      </c>
    </row>
    <row r="431" spans="1:21" ht="15" customHeight="1" x14ac:dyDescent="0.2">
      <c r="A431" s="59" t="s">
        <v>2243</v>
      </c>
      <c r="B431" s="42" t="s">
        <v>954</v>
      </c>
      <c r="C431" s="42" t="s">
        <v>1082</v>
      </c>
      <c r="D431" s="40">
        <v>42403</v>
      </c>
      <c r="E431" s="41">
        <v>20</v>
      </c>
      <c r="F431" s="46">
        <v>20</v>
      </c>
      <c r="G431" s="44" t="s">
        <v>55</v>
      </c>
      <c r="H431" s="43" t="s">
        <v>2808</v>
      </c>
      <c r="I431" s="43" t="s">
        <v>2713</v>
      </c>
      <c r="J431" s="44" t="s">
        <v>471</v>
      </c>
      <c r="K431" s="48" t="s">
        <v>1406</v>
      </c>
      <c r="L431" s="52" t="s">
        <v>157</v>
      </c>
      <c r="M431" s="44">
        <v>0</v>
      </c>
      <c r="N431" s="45">
        <v>43677</v>
      </c>
    </row>
    <row r="432" spans="1:21" ht="15" customHeight="1" x14ac:dyDescent="0.2">
      <c r="A432" s="59" t="s">
        <v>2244</v>
      </c>
      <c r="B432" s="42" t="s">
        <v>1086</v>
      </c>
      <c r="C432" s="42" t="s">
        <v>1087</v>
      </c>
      <c r="D432" s="40">
        <v>42479</v>
      </c>
      <c r="E432" s="41">
        <v>275</v>
      </c>
      <c r="F432" s="46">
        <v>275</v>
      </c>
      <c r="G432" s="44" t="s">
        <v>256</v>
      </c>
      <c r="H432" s="43" t="s">
        <v>2716</v>
      </c>
      <c r="I432" s="43" t="s">
        <v>2713</v>
      </c>
      <c r="J432" s="44" t="s">
        <v>532</v>
      </c>
      <c r="K432" s="48" t="s">
        <v>1164</v>
      </c>
      <c r="L432" s="52" t="s">
        <v>87</v>
      </c>
      <c r="M432" s="44">
        <v>0</v>
      </c>
      <c r="N432" s="45">
        <v>43069</v>
      </c>
    </row>
    <row r="433" spans="1:14" ht="15" customHeight="1" x14ac:dyDescent="0.2">
      <c r="A433" s="59" t="s">
        <v>2384</v>
      </c>
      <c r="B433" s="42" t="s">
        <v>4975</v>
      </c>
      <c r="C433" s="42" t="s">
        <v>1089</v>
      </c>
      <c r="D433" s="40">
        <v>42485</v>
      </c>
      <c r="E433" s="54" t="s">
        <v>54</v>
      </c>
      <c r="F433" s="51" t="s">
        <v>54</v>
      </c>
      <c r="G433" s="44" t="s">
        <v>256</v>
      </c>
      <c r="H433" s="43" t="s">
        <v>2789</v>
      </c>
      <c r="I433" s="43" t="s">
        <v>2713</v>
      </c>
      <c r="J433" s="44" t="s">
        <v>945</v>
      </c>
      <c r="K433" s="48" t="s">
        <v>1102</v>
      </c>
      <c r="L433" s="52" t="s">
        <v>913</v>
      </c>
      <c r="M433" s="44">
        <v>0</v>
      </c>
      <c r="N433" s="45">
        <v>43131</v>
      </c>
    </row>
    <row r="434" spans="1:14" ht="15" customHeight="1" x14ac:dyDescent="0.2">
      <c r="A434" s="59" t="s">
        <v>2385</v>
      </c>
      <c r="B434" s="42" t="s">
        <v>4975</v>
      </c>
      <c r="C434" s="42" t="s">
        <v>1090</v>
      </c>
      <c r="D434" s="40">
        <v>42485</v>
      </c>
      <c r="E434" s="54" t="s">
        <v>54</v>
      </c>
      <c r="F434" s="51" t="s">
        <v>54</v>
      </c>
      <c r="G434" s="44" t="s">
        <v>256</v>
      </c>
      <c r="H434" s="43" t="s">
        <v>2760</v>
      </c>
      <c r="I434" s="43" t="s">
        <v>2713</v>
      </c>
      <c r="J434" s="44" t="s">
        <v>794</v>
      </c>
      <c r="K434" s="48" t="s">
        <v>1104</v>
      </c>
      <c r="L434" s="52" t="s">
        <v>1103</v>
      </c>
      <c r="M434" s="44">
        <v>0</v>
      </c>
      <c r="N434" s="45">
        <v>43404</v>
      </c>
    </row>
    <row r="435" spans="1:14" ht="48" x14ac:dyDescent="0.2">
      <c r="A435" s="59" t="s">
        <v>2386</v>
      </c>
      <c r="B435" s="42" t="s">
        <v>4975</v>
      </c>
      <c r="C435" s="42" t="s">
        <v>1091</v>
      </c>
      <c r="D435" s="40">
        <v>42485</v>
      </c>
      <c r="E435" s="54" t="s">
        <v>54</v>
      </c>
      <c r="F435" s="51" t="s">
        <v>54</v>
      </c>
      <c r="G435" s="44" t="s">
        <v>256</v>
      </c>
      <c r="H435" s="43" t="s">
        <v>2760</v>
      </c>
      <c r="I435" s="43" t="s">
        <v>2713</v>
      </c>
      <c r="J435" s="44" t="s">
        <v>794</v>
      </c>
      <c r="K435" s="48" t="s">
        <v>1104</v>
      </c>
      <c r="L435" s="52" t="s">
        <v>1103</v>
      </c>
      <c r="M435" s="44">
        <v>0</v>
      </c>
      <c r="N435" s="45">
        <v>43404</v>
      </c>
    </row>
    <row r="436" spans="1:14" ht="15" customHeight="1" x14ac:dyDescent="0.2">
      <c r="A436" s="59" t="s">
        <v>2452</v>
      </c>
      <c r="B436" s="42" t="s">
        <v>1088</v>
      </c>
      <c r="C436" s="42" t="s">
        <v>1092</v>
      </c>
      <c r="D436" s="40">
        <v>42488</v>
      </c>
      <c r="E436" s="41">
        <v>1000</v>
      </c>
      <c r="F436" s="46">
        <v>1000</v>
      </c>
      <c r="G436" s="44" t="s">
        <v>253</v>
      </c>
      <c r="H436" s="43" t="s">
        <v>2792</v>
      </c>
      <c r="I436" s="43" t="s">
        <v>2713</v>
      </c>
      <c r="J436" s="44" t="s">
        <v>542</v>
      </c>
      <c r="K436" s="48" t="s">
        <v>1105</v>
      </c>
      <c r="L436" s="52" t="s">
        <v>3568</v>
      </c>
      <c r="M436" s="44">
        <v>0</v>
      </c>
      <c r="N436" s="45">
        <v>44865</v>
      </c>
    </row>
    <row r="437" spans="1:14" ht="15" customHeight="1" x14ac:dyDescent="0.2">
      <c r="A437" s="59" t="s">
        <v>2453</v>
      </c>
      <c r="B437" s="42" t="s">
        <v>1088</v>
      </c>
      <c r="C437" s="42" t="s">
        <v>1093</v>
      </c>
      <c r="D437" s="40">
        <v>42488</v>
      </c>
      <c r="E437" s="41">
        <v>1000</v>
      </c>
      <c r="F437" s="46">
        <v>1000</v>
      </c>
      <c r="G437" s="44" t="s">
        <v>253</v>
      </c>
      <c r="H437" s="43" t="s">
        <v>2792</v>
      </c>
      <c r="I437" s="43" t="s">
        <v>2713</v>
      </c>
      <c r="J437" s="44" t="s">
        <v>542</v>
      </c>
      <c r="K437" s="48" t="s">
        <v>1106</v>
      </c>
      <c r="L437" s="52" t="s">
        <v>3568</v>
      </c>
      <c r="M437" s="44">
        <v>0</v>
      </c>
      <c r="N437" s="45">
        <v>44865</v>
      </c>
    </row>
    <row r="438" spans="1:14" ht="15" customHeight="1" x14ac:dyDescent="0.2">
      <c r="A438" s="59" t="s">
        <v>2387</v>
      </c>
      <c r="B438" s="42" t="s">
        <v>194</v>
      </c>
      <c r="C438" s="42" t="s">
        <v>1094</v>
      </c>
      <c r="D438" s="40">
        <v>42494</v>
      </c>
      <c r="E438" s="54" t="s">
        <v>54</v>
      </c>
      <c r="F438" s="51" t="s">
        <v>54</v>
      </c>
      <c r="G438" s="44" t="s">
        <v>256</v>
      </c>
      <c r="H438" s="43" t="s">
        <v>2789</v>
      </c>
      <c r="I438" s="43" t="s">
        <v>2713</v>
      </c>
      <c r="J438" s="44" t="s">
        <v>945</v>
      </c>
      <c r="K438" s="48" t="s">
        <v>1102</v>
      </c>
      <c r="L438" s="52" t="s">
        <v>157</v>
      </c>
      <c r="M438" s="44">
        <v>0</v>
      </c>
      <c r="N438" s="45">
        <v>43131</v>
      </c>
    </row>
    <row r="439" spans="1:14" ht="15" customHeight="1" x14ac:dyDescent="0.2">
      <c r="A439" s="59" t="s">
        <v>2245</v>
      </c>
      <c r="B439" s="42" t="s">
        <v>1000</v>
      </c>
      <c r="C439" s="42" t="s">
        <v>1096</v>
      </c>
      <c r="D439" s="40">
        <v>42494</v>
      </c>
      <c r="E439" s="41">
        <v>100.5</v>
      </c>
      <c r="F439" s="46">
        <v>100.5</v>
      </c>
      <c r="G439" s="44" t="s">
        <v>124</v>
      </c>
      <c r="H439" s="43" t="s">
        <v>2741</v>
      </c>
      <c r="I439" s="43" t="s">
        <v>2713</v>
      </c>
      <c r="J439" s="44" t="s">
        <v>531</v>
      </c>
      <c r="K439" s="48" t="s">
        <v>421</v>
      </c>
      <c r="L439" s="52" t="s">
        <v>351</v>
      </c>
      <c r="M439" s="44">
        <v>0</v>
      </c>
      <c r="N439" s="45">
        <v>42978</v>
      </c>
    </row>
    <row r="440" spans="1:14" customFormat="1" ht="14.45" customHeight="1" x14ac:dyDescent="0.2">
      <c r="A440" s="59" t="s">
        <v>5142</v>
      </c>
      <c r="B440" s="60" t="s">
        <v>4077</v>
      </c>
      <c r="C440" s="60" t="s">
        <v>1097</v>
      </c>
      <c r="D440" s="40">
        <v>42506</v>
      </c>
      <c r="E440" s="61">
        <v>20</v>
      </c>
      <c r="F440" s="62">
        <v>20</v>
      </c>
      <c r="G440" s="63" t="s">
        <v>55</v>
      </c>
      <c r="H440" s="64" t="s">
        <v>2742</v>
      </c>
      <c r="I440" s="64" t="s">
        <v>2713</v>
      </c>
      <c r="J440" s="63" t="s">
        <v>393</v>
      </c>
      <c r="K440" s="64" t="s">
        <v>1359</v>
      </c>
      <c r="L440" s="63" t="s">
        <v>157</v>
      </c>
      <c r="M440" s="63" t="s">
        <v>5781</v>
      </c>
      <c r="N440" s="65">
        <v>46053</v>
      </c>
    </row>
    <row r="441" spans="1:14" ht="15" customHeight="1" x14ac:dyDescent="0.2">
      <c r="A441" s="59" t="s">
        <v>2246</v>
      </c>
      <c r="B441" s="42" t="s">
        <v>764</v>
      </c>
      <c r="C441" s="42" t="s">
        <v>1099</v>
      </c>
      <c r="D441" s="40">
        <v>42515</v>
      </c>
      <c r="E441" s="54" t="s">
        <v>54</v>
      </c>
      <c r="F441" s="51" t="s">
        <v>54</v>
      </c>
      <c r="G441" s="44" t="s">
        <v>256</v>
      </c>
      <c r="H441" s="43" t="s">
        <v>2786</v>
      </c>
      <c r="I441" s="43" t="s">
        <v>2713</v>
      </c>
      <c r="J441" s="44" t="s">
        <v>531</v>
      </c>
      <c r="K441" s="48" t="s">
        <v>1079</v>
      </c>
      <c r="L441" s="52" t="s">
        <v>2247</v>
      </c>
      <c r="M441" s="44">
        <v>0</v>
      </c>
      <c r="N441" s="45">
        <v>43585</v>
      </c>
    </row>
    <row r="442" spans="1:14" ht="15" customHeight="1" x14ac:dyDescent="0.2">
      <c r="A442" s="59" t="s">
        <v>2248</v>
      </c>
      <c r="B442" s="42" t="s">
        <v>764</v>
      </c>
      <c r="C442" s="42" t="s">
        <v>1100</v>
      </c>
      <c r="D442" s="40">
        <v>42515</v>
      </c>
      <c r="E442" s="54" t="s">
        <v>54</v>
      </c>
      <c r="F442" s="51" t="s">
        <v>54</v>
      </c>
      <c r="G442" s="44" t="s">
        <v>256</v>
      </c>
      <c r="H442" s="43" t="s">
        <v>2786</v>
      </c>
      <c r="I442" s="43" t="s">
        <v>2713</v>
      </c>
      <c r="J442" s="44" t="s">
        <v>531</v>
      </c>
      <c r="K442" s="48" t="s">
        <v>1108</v>
      </c>
      <c r="L442" s="52" t="s">
        <v>2247</v>
      </c>
      <c r="M442" s="44">
        <v>0</v>
      </c>
      <c r="N442" s="45">
        <v>43039</v>
      </c>
    </row>
    <row r="443" spans="1:14" ht="15" customHeight="1" x14ac:dyDescent="0.2">
      <c r="A443" s="59" t="s">
        <v>2249</v>
      </c>
      <c r="B443" s="42" t="s">
        <v>764</v>
      </c>
      <c r="C443" s="42" t="s">
        <v>1101</v>
      </c>
      <c r="D443" s="40">
        <v>42515</v>
      </c>
      <c r="E443" s="54" t="s">
        <v>54</v>
      </c>
      <c r="F443" s="51" t="s">
        <v>54</v>
      </c>
      <c r="G443" s="44" t="s">
        <v>256</v>
      </c>
      <c r="H443" s="43" t="s">
        <v>2786</v>
      </c>
      <c r="I443" s="43" t="s">
        <v>2713</v>
      </c>
      <c r="J443" s="44" t="s">
        <v>531</v>
      </c>
      <c r="K443" s="48" t="s">
        <v>1109</v>
      </c>
      <c r="L443" s="52" t="s">
        <v>2247</v>
      </c>
      <c r="M443" s="44">
        <v>0</v>
      </c>
      <c r="N443" s="45">
        <v>43039</v>
      </c>
    </row>
    <row r="444" spans="1:14" ht="15" customHeight="1" x14ac:dyDescent="0.2">
      <c r="A444" s="59" t="s">
        <v>2250</v>
      </c>
      <c r="B444" s="42" t="s">
        <v>764</v>
      </c>
      <c r="C444" s="42" t="s">
        <v>1107</v>
      </c>
      <c r="D444" s="40">
        <v>42523</v>
      </c>
      <c r="E444" s="54" t="s">
        <v>54</v>
      </c>
      <c r="F444" s="51" t="s">
        <v>54</v>
      </c>
      <c r="G444" s="44" t="s">
        <v>256</v>
      </c>
      <c r="H444" s="43" t="s">
        <v>2786</v>
      </c>
      <c r="I444" s="43" t="s">
        <v>2713</v>
      </c>
      <c r="J444" s="44" t="s">
        <v>531</v>
      </c>
      <c r="K444" s="48" t="s">
        <v>1108</v>
      </c>
      <c r="L444" s="52" t="s">
        <v>2247</v>
      </c>
      <c r="M444" s="44">
        <v>0</v>
      </c>
      <c r="N444" s="45">
        <v>43039</v>
      </c>
    </row>
    <row r="445" spans="1:14" ht="15" customHeight="1" x14ac:dyDescent="0.2">
      <c r="A445" s="59" t="s">
        <v>2251</v>
      </c>
      <c r="B445" s="42" t="s">
        <v>954</v>
      </c>
      <c r="C445" s="42" t="s">
        <v>1114</v>
      </c>
      <c r="D445" s="40">
        <v>42545</v>
      </c>
      <c r="E445" s="41">
        <v>20</v>
      </c>
      <c r="F445" s="46">
        <v>20</v>
      </c>
      <c r="G445" s="44" t="s">
        <v>55</v>
      </c>
      <c r="H445" s="43" t="s">
        <v>2758</v>
      </c>
      <c r="I445" s="43" t="s">
        <v>2713</v>
      </c>
      <c r="J445" s="44" t="s">
        <v>540</v>
      </c>
      <c r="K445" s="48" t="s">
        <v>1117</v>
      </c>
      <c r="L445" s="52" t="s">
        <v>157</v>
      </c>
      <c r="M445" s="44">
        <v>0</v>
      </c>
      <c r="N445" s="45">
        <v>42978</v>
      </c>
    </row>
    <row r="446" spans="1:14" ht="15" customHeight="1" x14ac:dyDescent="0.2">
      <c r="A446" s="59" t="s">
        <v>2252</v>
      </c>
      <c r="B446" s="42" t="s">
        <v>954</v>
      </c>
      <c r="C446" s="42" t="s">
        <v>1115</v>
      </c>
      <c r="D446" s="40">
        <v>42545</v>
      </c>
      <c r="E446" s="41">
        <v>20</v>
      </c>
      <c r="F446" s="46">
        <v>20</v>
      </c>
      <c r="G446" s="44" t="s">
        <v>55</v>
      </c>
      <c r="H446" s="43" t="s">
        <v>2758</v>
      </c>
      <c r="I446" s="43" t="s">
        <v>2713</v>
      </c>
      <c r="J446" s="44" t="s">
        <v>540</v>
      </c>
      <c r="K446" s="48" t="s">
        <v>1118</v>
      </c>
      <c r="L446" s="52" t="s">
        <v>157</v>
      </c>
      <c r="M446" s="44">
        <v>0</v>
      </c>
      <c r="N446" s="45">
        <v>42978</v>
      </c>
    </row>
    <row r="447" spans="1:14" ht="15" customHeight="1" x14ac:dyDescent="0.2">
      <c r="A447" s="59" t="s">
        <v>2253</v>
      </c>
      <c r="B447" s="42" t="s">
        <v>954</v>
      </c>
      <c r="C447" s="42" t="s">
        <v>1116</v>
      </c>
      <c r="D447" s="40">
        <v>42545</v>
      </c>
      <c r="E447" s="41">
        <v>20</v>
      </c>
      <c r="F447" s="46">
        <v>20</v>
      </c>
      <c r="G447" s="44" t="s">
        <v>55</v>
      </c>
      <c r="H447" s="43" t="s">
        <v>2758</v>
      </c>
      <c r="I447" s="43" t="s">
        <v>2713</v>
      </c>
      <c r="J447" s="44" t="s">
        <v>540</v>
      </c>
      <c r="K447" s="48" t="s">
        <v>1119</v>
      </c>
      <c r="L447" s="52" t="s">
        <v>157</v>
      </c>
      <c r="M447" s="44">
        <v>0</v>
      </c>
      <c r="N447" s="45">
        <v>42613</v>
      </c>
    </row>
    <row r="448" spans="1:14" ht="15" customHeight="1" x14ac:dyDescent="0.2">
      <c r="A448" s="59" t="s">
        <v>2254</v>
      </c>
      <c r="B448" s="42" t="s">
        <v>1112</v>
      </c>
      <c r="C448" s="42" t="s">
        <v>1113</v>
      </c>
      <c r="D448" s="40">
        <v>42548</v>
      </c>
      <c r="E448" s="68"/>
      <c r="F448" s="50"/>
      <c r="G448" s="44"/>
      <c r="H448" s="43"/>
      <c r="I448" s="43" t="s">
        <v>2713</v>
      </c>
      <c r="J448" s="44"/>
      <c r="K448" s="48" t="s">
        <v>1120</v>
      </c>
      <c r="L448" s="52" t="s">
        <v>157</v>
      </c>
      <c r="M448" s="44">
        <v>0</v>
      </c>
      <c r="N448" s="45">
        <v>42582</v>
      </c>
    </row>
    <row r="449" spans="1:20" ht="15" customHeight="1" x14ac:dyDescent="0.2">
      <c r="A449" s="59" t="s">
        <v>2255</v>
      </c>
      <c r="B449" s="42" t="s">
        <v>764</v>
      </c>
      <c r="C449" s="42" t="s">
        <v>1128</v>
      </c>
      <c r="D449" s="40">
        <v>42557</v>
      </c>
      <c r="E449" s="54" t="s">
        <v>54</v>
      </c>
      <c r="F449" s="51" t="s">
        <v>54</v>
      </c>
      <c r="G449" s="44" t="s">
        <v>256</v>
      </c>
      <c r="H449" s="43" t="s">
        <v>2789</v>
      </c>
      <c r="I449" s="43" t="s">
        <v>2713</v>
      </c>
      <c r="J449" s="44" t="s">
        <v>945</v>
      </c>
      <c r="K449" s="48" t="s">
        <v>1102</v>
      </c>
      <c r="L449" s="52" t="s">
        <v>157</v>
      </c>
      <c r="M449" s="44">
        <v>0</v>
      </c>
      <c r="N449" s="45">
        <v>43585</v>
      </c>
    </row>
    <row r="450" spans="1:20" ht="15" customHeight="1" x14ac:dyDescent="0.2">
      <c r="A450" s="59" t="s">
        <v>2256</v>
      </c>
      <c r="B450" s="42" t="s">
        <v>764</v>
      </c>
      <c r="C450" s="42" t="s">
        <v>1130</v>
      </c>
      <c r="D450" s="40">
        <v>42557</v>
      </c>
      <c r="E450" s="54" t="s">
        <v>54</v>
      </c>
      <c r="F450" s="51" t="s">
        <v>54</v>
      </c>
      <c r="G450" s="44" t="s">
        <v>256</v>
      </c>
      <c r="H450" s="43" t="s">
        <v>2789</v>
      </c>
      <c r="I450" s="43" t="s">
        <v>2713</v>
      </c>
      <c r="J450" s="44" t="s">
        <v>945</v>
      </c>
      <c r="K450" s="48" t="s">
        <v>1102</v>
      </c>
      <c r="L450" s="52" t="s">
        <v>157</v>
      </c>
      <c r="M450" s="44">
        <v>0</v>
      </c>
      <c r="N450" s="45">
        <v>43585</v>
      </c>
    </row>
    <row r="451" spans="1:20" ht="15" customHeight="1" x14ac:dyDescent="0.2">
      <c r="A451" s="59" t="s">
        <v>2257</v>
      </c>
      <c r="B451" s="42" t="s">
        <v>764</v>
      </c>
      <c r="C451" s="42" t="s">
        <v>1131</v>
      </c>
      <c r="D451" s="40">
        <v>42557</v>
      </c>
      <c r="E451" s="54" t="s">
        <v>54</v>
      </c>
      <c r="F451" s="51" t="s">
        <v>54</v>
      </c>
      <c r="G451" s="44" t="s">
        <v>256</v>
      </c>
      <c r="H451" s="43" t="s">
        <v>2789</v>
      </c>
      <c r="I451" s="43" t="s">
        <v>2713</v>
      </c>
      <c r="J451" s="44" t="s">
        <v>945</v>
      </c>
      <c r="K451" s="48" t="s">
        <v>1102</v>
      </c>
      <c r="L451" s="52" t="s">
        <v>1425</v>
      </c>
      <c r="M451" s="44">
        <v>0</v>
      </c>
      <c r="N451" s="45">
        <v>43585</v>
      </c>
    </row>
    <row r="452" spans="1:20" ht="15" customHeight="1" x14ac:dyDescent="0.2">
      <c r="A452" s="59" t="s">
        <v>2258</v>
      </c>
      <c r="B452" s="42" t="s">
        <v>764</v>
      </c>
      <c r="C452" s="42" t="s">
        <v>1542</v>
      </c>
      <c r="D452" s="40">
        <v>42557</v>
      </c>
      <c r="E452" s="54" t="s">
        <v>54</v>
      </c>
      <c r="F452" s="51" t="s">
        <v>54</v>
      </c>
      <c r="G452" s="44" t="s">
        <v>256</v>
      </c>
      <c r="H452" s="43" t="s">
        <v>2789</v>
      </c>
      <c r="I452" s="43" t="s">
        <v>2713</v>
      </c>
      <c r="J452" s="44" t="s">
        <v>945</v>
      </c>
      <c r="K452" s="48" t="s">
        <v>1132</v>
      </c>
      <c r="L452" s="52" t="s">
        <v>1424</v>
      </c>
      <c r="M452" s="44">
        <v>0</v>
      </c>
      <c r="N452" s="45">
        <v>43585</v>
      </c>
    </row>
    <row r="453" spans="1:20" customFormat="1" ht="14.45" customHeight="1" x14ac:dyDescent="0.2">
      <c r="A453" s="59" t="s">
        <v>5143</v>
      </c>
      <c r="B453" s="60" t="s">
        <v>4049</v>
      </c>
      <c r="C453" s="60" t="s">
        <v>1126</v>
      </c>
      <c r="D453" s="40">
        <v>42559</v>
      </c>
      <c r="E453" s="61">
        <v>100</v>
      </c>
      <c r="F453" s="62">
        <v>100</v>
      </c>
      <c r="G453" s="63" t="s">
        <v>124</v>
      </c>
      <c r="H453" s="64" t="s">
        <v>2744</v>
      </c>
      <c r="I453" s="64" t="s">
        <v>2713</v>
      </c>
      <c r="J453" s="63" t="s">
        <v>530</v>
      </c>
      <c r="K453" s="64" t="s">
        <v>973</v>
      </c>
      <c r="L453" s="63" t="s">
        <v>157</v>
      </c>
      <c r="M453" s="63" t="s">
        <v>5781</v>
      </c>
      <c r="N453" s="65">
        <v>45657</v>
      </c>
    </row>
    <row r="454" spans="1:20" ht="15" customHeight="1" x14ac:dyDescent="0.2">
      <c r="A454" s="59" t="s">
        <v>2457</v>
      </c>
      <c r="B454" s="42" t="s">
        <v>1530</v>
      </c>
      <c r="C454" s="42" t="s">
        <v>1127</v>
      </c>
      <c r="D454" s="40">
        <v>42569</v>
      </c>
      <c r="E454" s="41">
        <v>385</v>
      </c>
      <c r="F454" s="46">
        <v>385</v>
      </c>
      <c r="G454" s="44" t="s">
        <v>758</v>
      </c>
      <c r="H454" s="43" t="s">
        <v>2713</v>
      </c>
      <c r="I454" s="43" t="s">
        <v>2713</v>
      </c>
      <c r="J454" s="44" t="s">
        <v>533</v>
      </c>
      <c r="K454" s="48" t="s">
        <v>1163</v>
      </c>
      <c r="L454" s="52" t="s">
        <v>403</v>
      </c>
      <c r="M454" s="44">
        <v>0</v>
      </c>
      <c r="N454" s="45">
        <v>43890</v>
      </c>
    </row>
    <row r="455" spans="1:20" ht="15" customHeight="1" x14ac:dyDescent="0.2">
      <c r="A455" s="59" t="s">
        <v>2259</v>
      </c>
      <c r="B455" s="42" t="s">
        <v>954</v>
      </c>
      <c r="C455" s="42" t="s">
        <v>1123</v>
      </c>
      <c r="D455" s="40">
        <v>42573</v>
      </c>
      <c r="E455" s="41">
        <v>20</v>
      </c>
      <c r="F455" s="46">
        <v>20</v>
      </c>
      <c r="G455" s="44" t="s">
        <v>55</v>
      </c>
      <c r="H455" s="43" t="s">
        <v>2770</v>
      </c>
      <c r="I455" s="43" t="s">
        <v>2713</v>
      </c>
      <c r="J455" s="44" t="s">
        <v>794</v>
      </c>
      <c r="K455" s="48" t="s">
        <v>1133</v>
      </c>
      <c r="L455" s="52" t="s">
        <v>157</v>
      </c>
      <c r="M455" s="44">
        <v>0</v>
      </c>
      <c r="N455" s="45">
        <v>42825</v>
      </c>
    </row>
    <row r="456" spans="1:20" ht="15" customHeight="1" x14ac:dyDescent="0.2">
      <c r="A456" s="59" t="s">
        <v>2260</v>
      </c>
      <c r="B456" s="42" t="s">
        <v>1121</v>
      </c>
      <c r="C456" s="42" t="s">
        <v>1122</v>
      </c>
      <c r="D456" s="40">
        <v>42576</v>
      </c>
      <c r="E456" s="41">
        <v>20</v>
      </c>
      <c r="F456" s="46">
        <v>20</v>
      </c>
      <c r="G456" s="44" t="s">
        <v>55</v>
      </c>
      <c r="H456" s="43" t="s">
        <v>2737</v>
      </c>
      <c r="I456" s="43" t="s">
        <v>2713</v>
      </c>
      <c r="J456" s="44" t="s">
        <v>530</v>
      </c>
      <c r="K456" s="48" t="s">
        <v>1001</v>
      </c>
      <c r="L456" s="52" t="s">
        <v>157</v>
      </c>
      <c r="M456" s="44">
        <v>0</v>
      </c>
      <c r="N456" s="45">
        <v>43677</v>
      </c>
    </row>
    <row r="457" spans="1:20" customFormat="1" ht="14.45" customHeight="1" x14ac:dyDescent="0.2">
      <c r="A457" s="59" t="s">
        <v>5145</v>
      </c>
      <c r="B457" s="60" t="s">
        <v>1543</v>
      </c>
      <c r="C457" s="60" t="s">
        <v>1125</v>
      </c>
      <c r="D457" s="40">
        <v>42576</v>
      </c>
      <c r="E457" s="61">
        <v>20</v>
      </c>
      <c r="F457" s="62">
        <v>20</v>
      </c>
      <c r="G457" s="63" t="s">
        <v>55</v>
      </c>
      <c r="H457" s="64" t="s">
        <v>2736</v>
      </c>
      <c r="I457" s="64" t="s">
        <v>2713</v>
      </c>
      <c r="J457" s="63" t="s">
        <v>471</v>
      </c>
      <c r="K457" s="64" t="s">
        <v>1142</v>
      </c>
      <c r="L457" s="63" t="s">
        <v>157</v>
      </c>
      <c r="M457" s="63">
        <v>0</v>
      </c>
      <c r="N457" s="65">
        <v>45838</v>
      </c>
    </row>
    <row r="458" spans="1:20" ht="15" customHeight="1" x14ac:dyDescent="0.2">
      <c r="A458" s="59" t="s">
        <v>2261</v>
      </c>
      <c r="B458" s="42" t="s">
        <v>1135</v>
      </c>
      <c r="C458" s="42" t="s">
        <v>1136</v>
      </c>
      <c r="D458" s="40">
        <v>42592</v>
      </c>
      <c r="E458" s="41">
        <v>20</v>
      </c>
      <c r="F458" s="46">
        <v>20</v>
      </c>
      <c r="G458" s="44" t="s">
        <v>55</v>
      </c>
      <c r="H458" s="43" t="s">
        <v>2736</v>
      </c>
      <c r="I458" s="43" t="s">
        <v>2713</v>
      </c>
      <c r="J458" s="44" t="s">
        <v>471</v>
      </c>
      <c r="K458" s="48" t="s">
        <v>1405</v>
      </c>
      <c r="L458" s="52" t="s">
        <v>157</v>
      </c>
      <c r="M458" s="44">
        <v>0</v>
      </c>
      <c r="N458" s="45">
        <v>43281</v>
      </c>
    </row>
    <row r="459" spans="1:20" ht="15" customHeight="1" x14ac:dyDescent="0.2">
      <c r="A459" s="59" t="s">
        <v>2262</v>
      </c>
      <c r="B459" s="42" t="s">
        <v>1137</v>
      </c>
      <c r="C459" s="42" t="s">
        <v>1138</v>
      </c>
      <c r="D459" s="40">
        <v>42598</v>
      </c>
      <c r="E459" s="41">
        <v>20</v>
      </c>
      <c r="F459" s="46">
        <v>20</v>
      </c>
      <c r="G459" s="44" t="s">
        <v>55</v>
      </c>
      <c r="H459" s="43" t="s">
        <v>2734</v>
      </c>
      <c r="I459" s="43" t="s">
        <v>2713</v>
      </c>
      <c r="J459" s="44" t="s">
        <v>471</v>
      </c>
      <c r="K459" s="48" t="s">
        <v>1233</v>
      </c>
      <c r="L459" s="52" t="s">
        <v>34</v>
      </c>
      <c r="M459" s="44">
        <v>0</v>
      </c>
      <c r="N459" s="45">
        <v>43131</v>
      </c>
    </row>
    <row r="460" spans="1:20" ht="15" customHeight="1" x14ac:dyDescent="0.2">
      <c r="A460" s="59" t="s">
        <v>2263</v>
      </c>
      <c r="B460" s="42" t="s">
        <v>1154</v>
      </c>
      <c r="C460" s="42" t="s">
        <v>1139</v>
      </c>
      <c r="D460" s="40">
        <v>42599</v>
      </c>
      <c r="E460" s="41">
        <v>50</v>
      </c>
      <c r="F460" s="46">
        <v>50</v>
      </c>
      <c r="G460" s="44" t="s">
        <v>55</v>
      </c>
      <c r="H460" s="43" t="s">
        <v>2777</v>
      </c>
      <c r="I460" s="43" t="s">
        <v>2713</v>
      </c>
      <c r="J460" s="44" t="s">
        <v>539</v>
      </c>
      <c r="K460" s="48"/>
      <c r="L460" s="52" t="s">
        <v>673</v>
      </c>
      <c r="M460" s="44">
        <v>0</v>
      </c>
      <c r="N460" s="45">
        <v>42643</v>
      </c>
    </row>
    <row r="461" spans="1:20" ht="15" customHeight="1" x14ac:dyDescent="0.2">
      <c r="A461" s="59" t="s">
        <v>2458</v>
      </c>
      <c r="B461" s="60" t="s">
        <v>588</v>
      </c>
      <c r="C461" s="60" t="s">
        <v>1145</v>
      </c>
      <c r="D461" s="40">
        <v>42629</v>
      </c>
      <c r="E461" s="61">
        <v>450</v>
      </c>
      <c r="F461" s="62">
        <v>450</v>
      </c>
      <c r="G461" s="63" t="s">
        <v>124</v>
      </c>
      <c r="H461" s="64" t="s">
        <v>2782</v>
      </c>
      <c r="I461" s="64" t="s">
        <v>2713</v>
      </c>
      <c r="J461" s="63" t="s">
        <v>530</v>
      </c>
      <c r="K461" s="64" t="s">
        <v>1158</v>
      </c>
      <c r="L461" s="63" t="s">
        <v>157</v>
      </c>
      <c r="M461" s="44">
        <v>0</v>
      </c>
      <c r="N461" s="65">
        <v>44957</v>
      </c>
    </row>
    <row r="462" spans="1:20" ht="15" customHeight="1" x14ac:dyDescent="0.2">
      <c r="A462" s="59" t="s">
        <v>2459</v>
      </c>
      <c r="B462" s="42" t="s">
        <v>1530</v>
      </c>
      <c r="C462" s="42" t="s">
        <v>1127</v>
      </c>
      <c r="D462" s="40">
        <v>42629</v>
      </c>
      <c r="E462" s="41">
        <v>385</v>
      </c>
      <c r="F462" s="46">
        <v>385</v>
      </c>
      <c r="G462" s="44" t="s">
        <v>758</v>
      </c>
      <c r="H462" s="43" t="s">
        <v>2713</v>
      </c>
      <c r="I462" s="43" t="s">
        <v>2713</v>
      </c>
      <c r="J462" s="44" t="s">
        <v>533</v>
      </c>
      <c r="K462" s="48" t="s">
        <v>662</v>
      </c>
      <c r="L462" s="52" t="s">
        <v>403</v>
      </c>
      <c r="M462" s="44">
        <v>0</v>
      </c>
      <c r="N462" s="45">
        <v>43890</v>
      </c>
    </row>
    <row r="463" spans="1:20" ht="15" customHeight="1" x14ac:dyDescent="0.2">
      <c r="A463" s="59" t="s">
        <v>5852</v>
      </c>
      <c r="B463" s="60" t="s">
        <v>1148</v>
      </c>
      <c r="C463" s="60" t="s">
        <v>1149</v>
      </c>
      <c r="D463" s="40">
        <v>42633</v>
      </c>
      <c r="E463" s="61" t="s">
        <v>5782</v>
      </c>
      <c r="F463" s="62" t="s">
        <v>5782</v>
      </c>
      <c r="G463" s="63" t="s">
        <v>55</v>
      </c>
      <c r="H463" s="64" t="s">
        <v>2777</v>
      </c>
      <c r="I463" s="64" t="s">
        <v>2713</v>
      </c>
      <c r="J463" s="63" t="s">
        <v>539</v>
      </c>
      <c r="K463" s="64" t="s">
        <v>1235</v>
      </c>
      <c r="L463" s="63" t="s">
        <v>2558</v>
      </c>
      <c r="M463" s="63" t="s">
        <v>5781</v>
      </c>
      <c r="N463" s="65">
        <v>45443</v>
      </c>
      <c r="O463"/>
      <c r="P463"/>
      <c r="Q463"/>
      <c r="R463"/>
      <c r="S463"/>
      <c r="T463"/>
    </row>
    <row r="464" spans="1:20" ht="15" customHeight="1" x14ac:dyDescent="0.2">
      <c r="A464" s="59" t="s">
        <v>2264</v>
      </c>
      <c r="B464" s="42" t="s">
        <v>1004</v>
      </c>
      <c r="C464" s="42" t="s">
        <v>1014</v>
      </c>
      <c r="D464" s="40">
        <v>42633</v>
      </c>
      <c r="E464" s="41">
        <v>20</v>
      </c>
      <c r="F464" s="46">
        <v>20</v>
      </c>
      <c r="G464" s="44" t="s">
        <v>55</v>
      </c>
      <c r="H464" s="43" t="s">
        <v>2798</v>
      </c>
      <c r="I464" s="43" t="s">
        <v>2713</v>
      </c>
      <c r="J464" s="44" t="s">
        <v>471</v>
      </c>
      <c r="K464" s="48" t="s">
        <v>1015</v>
      </c>
      <c r="L464" s="52" t="s">
        <v>157</v>
      </c>
      <c r="M464" s="44">
        <v>0</v>
      </c>
      <c r="N464" s="45">
        <v>42916</v>
      </c>
    </row>
    <row r="465" spans="1:20" ht="15" customHeight="1" x14ac:dyDescent="0.2">
      <c r="A465" s="59" t="s">
        <v>2265</v>
      </c>
      <c r="B465" s="42" t="s">
        <v>1167</v>
      </c>
      <c r="C465" s="42" t="s">
        <v>1165</v>
      </c>
      <c r="D465" s="40">
        <v>42661</v>
      </c>
      <c r="E465" s="41">
        <v>20</v>
      </c>
      <c r="F465" s="46">
        <v>20</v>
      </c>
      <c r="G465" s="44" t="s">
        <v>55</v>
      </c>
      <c r="H465" s="43" t="s">
        <v>2798</v>
      </c>
      <c r="I465" s="43" t="s">
        <v>2713</v>
      </c>
      <c r="J465" s="44" t="s">
        <v>471</v>
      </c>
      <c r="K465" s="48" t="s">
        <v>1544</v>
      </c>
      <c r="L465" s="52" t="s">
        <v>157</v>
      </c>
      <c r="M465" s="44">
        <v>0</v>
      </c>
      <c r="N465" s="45">
        <v>43616</v>
      </c>
    </row>
    <row r="466" spans="1:20" ht="15" customHeight="1" x14ac:dyDescent="0.2">
      <c r="A466" s="59" t="s">
        <v>2266</v>
      </c>
      <c r="B466" s="42" t="s">
        <v>1248</v>
      </c>
      <c r="C466" s="42" t="s">
        <v>1177</v>
      </c>
      <c r="D466" s="40">
        <v>42681</v>
      </c>
      <c r="E466" s="41">
        <v>20</v>
      </c>
      <c r="F466" s="46">
        <v>20</v>
      </c>
      <c r="G466" s="44" t="s">
        <v>55</v>
      </c>
      <c r="H466" s="43" t="s">
        <v>2731</v>
      </c>
      <c r="I466" s="43" t="s">
        <v>2713</v>
      </c>
      <c r="J466" s="44" t="s">
        <v>531</v>
      </c>
      <c r="K466" s="48" t="s">
        <v>1402</v>
      </c>
      <c r="L466" s="52" t="s">
        <v>157</v>
      </c>
      <c r="M466" s="44">
        <v>0</v>
      </c>
      <c r="N466" s="45">
        <v>43281</v>
      </c>
    </row>
    <row r="467" spans="1:20" ht="15" customHeight="1" x14ac:dyDescent="0.2">
      <c r="A467" s="59" t="s">
        <v>2267</v>
      </c>
      <c r="B467" s="42" t="s">
        <v>1249</v>
      </c>
      <c r="C467" s="42" t="s">
        <v>1170</v>
      </c>
      <c r="D467" s="40">
        <v>42682</v>
      </c>
      <c r="E467" s="41">
        <v>20</v>
      </c>
      <c r="F467" s="46">
        <v>20</v>
      </c>
      <c r="G467" s="44" t="s">
        <v>55</v>
      </c>
      <c r="H467" s="43" t="s">
        <v>2732</v>
      </c>
      <c r="I467" s="43" t="s">
        <v>2713</v>
      </c>
      <c r="J467" s="44" t="s">
        <v>393</v>
      </c>
      <c r="K467" s="48" t="s">
        <v>1401</v>
      </c>
      <c r="L467" s="52" t="s">
        <v>34</v>
      </c>
      <c r="M467" s="44">
        <v>0</v>
      </c>
      <c r="N467" s="45">
        <v>43312</v>
      </c>
    </row>
    <row r="468" spans="1:20" ht="15" customHeight="1" x14ac:dyDescent="0.2">
      <c r="A468" s="59" t="s">
        <v>2268</v>
      </c>
      <c r="B468" s="42" t="s">
        <v>1172</v>
      </c>
      <c r="C468" s="42" t="s">
        <v>1171</v>
      </c>
      <c r="D468" s="40">
        <v>42689</v>
      </c>
      <c r="E468" s="54" t="s">
        <v>54</v>
      </c>
      <c r="F468" s="51" t="s">
        <v>54</v>
      </c>
      <c r="G468" s="44" t="s">
        <v>256</v>
      </c>
      <c r="H468" s="43" t="s">
        <v>2786</v>
      </c>
      <c r="I468" s="43" t="s">
        <v>2713</v>
      </c>
      <c r="J468" s="44" t="s">
        <v>531</v>
      </c>
      <c r="K468" s="48" t="s">
        <v>2269</v>
      </c>
      <c r="L468" s="52" t="s">
        <v>2247</v>
      </c>
      <c r="M468" s="44">
        <v>0</v>
      </c>
      <c r="N468" s="45">
        <v>43008</v>
      </c>
    </row>
    <row r="469" spans="1:20" ht="15" customHeight="1" x14ac:dyDescent="0.2">
      <c r="A469" s="59" t="s">
        <v>2460</v>
      </c>
      <c r="B469" s="42" t="s">
        <v>1473</v>
      </c>
      <c r="C469" s="42" t="s">
        <v>1251</v>
      </c>
      <c r="D469" s="40">
        <v>42706</v>
      </c>
      <c r="E469" s="41">
        <v>15</v>
      </c>
      <c r="F469" s="46">
        <v>15</v>
      </c>
      <c r="G469" s="44" t="s">
        <v>55</v>
      </c>
      <c r="H469" s="43" t="s">
        <v>2744</v>
      </c>
      <c r="I469" s="43" t="s">
        <v>2713</v>
      </c>
      <c r="J469" s="44" t="s">
        <v>530</v>
      </c>
      <c r="K469" s="48" t="s">
        <v>3668</v>
      </c>
      <c r="L469" s="52" t="s">
        <v>157</v>
      </c>
      <c r="M469" s="44">
        <v>0</v>
      </c>
      <c r="N469" s="45">
        <v>44651</v>
      </c>
    </row>
    <row r="470" spans="1:20" ht="15" customHeight="1" x14ac:dyDescent="0.2">
      <c r="A470" s="59" t="s">
        <v>5158</v>
      </c>
      <c r="B470" s="42" t="s">
        <v>3871</v>
      </c>
      <c r="C470" s="42" t="s">
        <v>3124</v>
      </c>
      <c r="D470" s="40">
        <v>42706</v>
      </c>
      <c r="E470" s="41">
        <v>20</v>
      </c>
      <c r="F470" s="46">
        <v>20</v>
      </c>
      <c r="G470" s="44" t="s">
        <v>55</v>
      </c>
      <c r="H470" s="43" t="s">
        <v>2098</v>
      </c>
      <c r="I470" s="43" t="s">
        <v>2713</v>
      </c>
      <c r="J470" s="44" t="s">
        <v>393</v>
      </c>
      <c r="K470" s="48" t="s">
        <v>4484</v>
      </c>
      <c r="L470" s="52" t="s">
        <v>34</v>
      </c>
      <c r="M470" s="44" t="s">
        <v>5781</v>
      </c>
      <c r="N470" s="45">
        <v>46173</v>
      </c>
    </row>
    <row r="471" spans="1:20" ht="15" customHeight="1" x14ac:dyDescent="0.2">
      <c r="A471" s="59" t="s">
        <v>5159</v>
      </c>
      <c r="B471" s="42" t="s">
        <v>6083</v>
      </c>
      <c r="C471" s="42" t="s">
        <v>1252</v>
      </c>
      <c r="D471" s="40">
        <v>42706</v>
      </c>
      <c r="E471" s="41">
        <v>20</v>
      </c>
      <c r="F471" s="46">
        <v>20</v>
      </c>
      <c r="G471" s="44" t="s">
        <v>55</v>
      </c>
      <c r="H471" s="43" t="s">
        <v>2098</v>
      </c>
      <c r="I471" s="43" t="s">
        <v>2713</v>
      </c>
      <c r="J471" s="44" t="s">
        <v>531</v>
      </c>
      <c r="K471" s="48" t="s">
        <v>4485</v>
      </c>
      <c r="L471" s="52" t="s">
        <v>34</v>
      </c>
      <c r="M471" s="44" t="s">
        <v>5781</v>
      </c>
      <c r="N471" s="45">
        <v>46173</v>
      </c>
    </row>
    <row r="472" spans="1:20" ht="15" customHeight="1" x14ac:dyDescent="0.2">
      <c r="A472" s="59" t="s">
        <v>2461</v>
      </c>
      <c r="B472" s="42" t="s">
        <v>1174</v>
      </c>
      <c r="C472" s="42" t="s">
        <v>1175</v>
      </c>
      <c r="D472" s="40">
        <v>42733</v>
      </c>
      <c r="E472" s="41">
        <v>100</v>
      </c>
      <c r="F472" s="46">
        <v>100</v>
      </c>
      <c r="G472" s="44" t="s">
        <v>615</v>
      </c>
      <c r="H472" s="43" t="s">
        <v>2741</v>
      </c>
      <c r="I472" s="43" t="s">
        <v>2713</v>
      </c>
      <c r="J472" s="44" t="s">
        <v>531</v>
      </c>
      <c r="K472" s="48" t="s">
        <v>1176</v>
      </c>
      <c r="L472" s="52" t="s">
        <v>157</v>
      </c>
      <c r="M472" s="44">
        <v>0</v>
      </c>
      <c r="N472" s="45">
        <v>44439</v>
      </c>
    </row>
    <row r="473" spans="1:20" ht="15" customHeight="1" x14ac:dyDescent="0.2">
      <c r="A473" s="59" t="s">
        <v>5853</v>
      </c>
      <c r="B473" s="60" t="s">
        <v>1635</v>
      </c>
      <c r="C473" s="60" t="s">
        <v>1636</v>
      </c>
      <c r="D473" s="40">
        <v>42745</v>
      </c>
      <c r="E473" s="61" t="s">
        <v>5780</v>
      </c>
      <c r="F473" s="62" t="s">
        <v>5780</v>
      </c>
      <c r="G473" s="63" t="s">
        <v>55</v>
      </c>
      <c r="H473" s="64" t="s">
        <v>2777</v>
      </c>
      <c r="I473" s="64" t="s">
        <v>2713</v>
      </c>
      <c r="J473" s="63" t="s">
        <v>539</v>
      </c>
      <c r="K473" s="64" t="s">
        <v>1185</v>
      </c>
      <c r="L473" s="63" t="s">
        <v>2558</v>
      </c>
      <c r="M473" s="63" t="s">
        <v>5781</v>
      </c>
      <c r="N473" s="65">
        <v>45443</v>
      </c>
      <c r="O473"/>
      <c r="P473"/>
      <c r="Q473"/>
      <c r="R473"/>
      <c r="S473"/>
      <c r="T473"/>
    </row>
    <row r="474" spans="1:20" ht="15" customHeight="1" x14ac:dyDescent="0.2">
      <c r="A474" s="59" t="s">
        <v>2270</v>
      </c>
      <c r="B474" s="42" t="s">
        <v>1183</v>
      </c>
      <c r="C474" s="42" t="s">
        <v>1182</v>
      </c>
      <c r="D474" s="40">
        <v>42746</v>
      </c>
      <c r="E474" s="41">
        <v>20</v>
      </c>
      <c r="F474" s="46">
        <v>20</v>
      </c>
      <c r="G474" s="44" t="s">
        <v>55</v>
      </c>
      <c r="H474" s="43" t="s">
        <v>2739</v>
      </c>
      <c r="I474" s="43" t="s">
        <v>2713</v>
      </c>
      <c r="J474" s="44" t="s">
        <v>540</v>
      </c>
      <c r="K474" s="69" t="s">
        <v>1187</v>
      </c>
      <c r="L474" s="52" t="s">
        <v>1186</v>
      </c>
      <c r="M474" s="44">
        <v>0</v>
      </c>
      <c r="N474" s="45">
        <v>42855</v>
      </c>
    </row>
    <row r="475" spans="1:20" ht="15" customHeight="1" x14ac:dyDescent="0.2">
      <c r="A475" s="59" t="s">
        <v>2271</v>
      </c>
      <c r="B475" s="42" t="s">
        <v>1217</v>
      </c>
      <c r="C475" s="42" t="s">
        <v>1508</v>
      </c>
      <c r="D475" s="40">
        <v>42747</v>
      </c>
      <c r="E475" s="41">
        <v>20</v>
      </c>
      <c r="F475" s="46">
        <v>20</v>
      </c>
      <c r="G475" s="44" t="s">
        <v>55</v>
      </c>
      <c r="H475" s="43" t="s">
        <v>2808</v>
      </c>
      <c r="I475" s="43" t="s">
        <v>2713</v>
      </c>
      <c r="J475" s="44" t="s">
        <v>539</v>
      </c>
      <c r="K475" s="48" t="s">
        <v>1236</v>
      </c>
      <c r="L475" s="52" t="s">
        <v>157</v>
      </c>
      <c r="M475" s="44">
        <v>0</v>
      </c>
      <c r="N475" s="45">
        <v>43585</v>
      </c>
    </row>
    <row r="476" spans="1:20" ht="15" customHeight="1" x14ac:dyDescent="0.2">
      <c r="A476" s="59" t="s">
        <v>2272</v>
      </c>
      <c r="B476" s="42" t="s">
        <v>1181</v>
      </c>
      <c r="C476" s="42" t="s">
        <v>1180</v>
      </c>
      <c r="D476" s="40">
        <v>42755</v>
      </c>
      <c r="E476" s="41">
        <v>4</v>
      </c>
      <c r="F476" s="46">
        <v>4</v>
      </c>
      <c r="G476" s="44" t="s">
        <v>364</v>
      </c>
      <c r="H476" s="43" t="s">
        <v>2729</v>
      </c>
      <c r="I476" s="43" t="s">
        <v>2713</v>
      </c>
      <c r="J476" s="44" t="s">
        <v>393</v>
      </c>
      <c r="K476" s="69" t="s">
        <v>1332</v>
      </c>
      <c r="L476" s="52" t="s">
        <v>1186</v>
      </c>
      <c r="M476" s="44">
        <v>0</v>
      </c>
      <c r="N476" s="45">
        <v>43465</v>
      </c>
    </row>
    <row r="477" spans="1:20" ht="15" customHeight="1" x14ac:dyDescent="0.2">
      <c r="A477" s="59" t="s">
        <v>2273</v>
      </c>
      <c r="B477" s="42" t="s">
        <v>1178</v>
      </c>
      <c r="C477" s="42" t="s">
        <v>1179</v>
      </c>
      <c r="D477" s="40">
        <v>42765</v>
      </c>
      <c r="E477" s="41">
        <v>50</v>
      </c>
      <c r="F477" s="46">
        <v>50</v>
      </c>
      <c r="G477" s="44" t="s">
        <v>55</v>
      </c>
      <c r="H477" s="43" t="s">
        <v>2738</v>
      </c>
      <c r="I477" s="43" t="s">
        <v>2713</v>
      </c>
      <c r="J477" s="44" t="s">
        <v>420</v>
      </c>
      <c r="K477" s="48" t="s">
        <v>1237</v>
      </c>
      <c r="L477" s="52" t="s">
        <v>41</v>
      </c>
      <c r="M477" s="44">
        <v>0</v>
      </c>
      <c r="N477" s="45">
        <v>42886</v>
      </c>
    </row>
    <row r="478" spans="1:20" ht="15" customHeight="1" x14ac:dyDescent="0.2">
      <c r="A478" s="59" t="s">
        <v>2274</v>
      </c>
      <c r="B478" s="42" t="s">
        <v>1188</v>
      </c>
      <c r="C478" s="42" t="s">
        <v>72</v>
      </c>
      <c r="D478" s="40">
        <v>42769</v>
      </c>
      <c r="E478" s="41">
        <v>7.5</v>
      </c>
      <c r="F478" s="46">
        <v>7.5</v>
      </c>
      <c r="G478" s="44" t="s">
        <v>55</v>
      </c>
      <c r="H478" s="43" t="s">
        <v>2716</v>
      </c>
      <c r="I478" s="43" t="s">
        <v>2713</v>
      </c>
      <c r="J478" s="44" t="s">
        <v>532</v>
      </c>
      <c r="K478" s="48" t="s">
        <v>1189</v>
      </c>
      <c r="L478" s="52" t="s">
        <v>87</v>
      </c>
      <c r="M478" s="44">
        <v>0</v>
      </c>
      <c r="N478" s="45">
        <v>43251</v>
      </c>
    </row>
    <row r="479" spans="1:20" ht="15" customHeight="1" x14ac:dyDescent="0.2">
      <c r="A479" s="59" t="s">
        <v>2275</v>
      </c>
      <c r="B479" s="42" t="s">
        <v>1190</v>
      </c>
      <c r="C479" s="42" t="s">
        <v>1191</v>
      </c>
      <c r="D479" s="40">
        <v>42773</v>
      </c>
      <c r="E479" s="41">
        <v>20</v>
      </c>
      <c r="F479" s="46">
        <v>20</v>
      </c>
      <c r="G479" s="44" t="s">
        <v>55</v>
      </c>
      <c r="H479" s="43" t="s">
        <v>2769</v>
      </c>
      <c r="I479" s="43" t="s">
        <v>2713</v>
      </c>
      <c r="J479" s="44" t="s">
        <v>539</v>
      </c>
      <c r="K479" s="48" t="s">
        <v>900</v>
      </c>
      <c r="L479" s="52" t="s">
        <v>34</v>
      </c>
      <c r="M479" s="44">
        <v>0</v>
      </c>
      <c r="N479" s="45">
        <v>42947</v>
      </c>
    </row>
    <row r="480" spans="1:20" ht="15" customHeight="1" x14ac:dyDescent="0.2">
      <c r="A480" s="59" t="s">
        <v>2276</v>
      </c>
      <c r="B480" s="42" t="s">
        <v>1192</v>
      </c>
      <c r="C480" s="42" t="s">
        <v>1193</v>
      </c>
      <c r="D480" s="40">
        <v>42773</v>
      </c>
      <c r="E480" s="41">
        <v>20</v>
      </c>
      <c r="F480" s="46">
        <v>20</v>
      </c>
      <c r="G480" s="44" t="s">
        <v>55</v>
      </c>
      <c r="H480" s="43" t="s">
        <v>2769</v>
      </c>
      <c r="I480" s="43" t="s">
        <v>2713</v>
      </c>
      <c r="J480" s="44" t="s">
        <v>539</v>
      </c>
      <c r="K480" s="48" t="s">
        <v>900</v>
      </c>
      <c r="L480" s="52" t="s">
        <v>34</v>
      </c>
      <c r="M480" s="44">
        <v>0</v>
      </c>
      <c r="N480" s="45">
        <v>42947</v>
      </c>
      <c r="O480"/>
      <c r="P480"/>
      <c r="Q480"/>
      <c r="R480"/>
      <c r="S480"/>
      <c r="T480"/>
    </row>
    <row r="481" spans="1:21" ht="15" customHeight="1" x14ac:dyDescent="0.2">
      <c r="A481" s="59" t="s">
        <v>2277</v>
      </c>
      <c r="B481" s="42" t="s">
        <v>1195</v>
      </c>
      <c r="C481" s="42" t="s">
        <v>1194</v>
      </c>
      <c r="D481" s="40">
        <v>42773</v>
      </c>
      <c r="E481" s="41">
        <v>10</v>
      </c>
      <c r="F481" s="46">
        <v>10</v>
      </c>
      <c r="G481" s="44" t="s">
        <v>55</v>
      </c>
      <c r="H481" s="43" t="s">
        <v>2769</v>
      </c>
      <c r="I481" s="43" t="s">
        <v>2713</v>
      </c>
      <c r="J481" s="44" t="s">
        <v>539</v>
      </c>
      <c r="K481" s="48" t="s">
        <v>900</v>
      </c>
      <c r="L481" s="52" t="s">
        <v>34</v>
      </c>
      <c r="M481" s="44">
        <v>0</v>
      </c>
      <c r="N481" s="45">
        <v>42947</v>
      </c>
    </row>
    <row r="482" spans="1:21" ht="15" customHeight="1" x14ac:dyDescent="0.2">
      <c r="A482" s="59" t="s">
        <v>2278</v>
      </c>
      <c r="B482" s="42" t="s">
        <v>1196</v>
      </c>
      <c r="C482" s="42" t="s">
        <v>1197</v>
      </c>
      <c r="D482" s="40">
        <v>42774</v>
      </c>
      <c r="E482" s="41">
        <v>1000</v>
      </c>
      <c r="F482" s="46">
        <v>1000</v>
      </c>
      <c r="G482" s="44" t="s">
        <v>253</v>
      </c>
      <c r="H482" s="43" t="s">
        <v>5965</v>
      </c>
      <c r="I482" s="43" t="s">
        <v>2713</v>
      </c>
      <c r="J482" s="44" t="s">
        <v>791</v>
      </c>
      <c r="K482" s="48" t="s">
        <v>1198</v>
      </c>
      <c r="L482" s="52" t="s">
        <v>1028</v>
      </c>
      <c r="M482" s="44">
        <v>0</v>
      </c>
      <c r="N482" s="45">
        <v>42825</v>
      </c>
    </row>
    <row r="483" spans="1:21" ht="15" customHeight="1" x14ac:dyDescent="0.2">
      <c r="A483" s="59" t="s">
        <v>2279</v>
      </c>
      <c r="B483" s="42" t="s">
        <v>5973</v>
      </c>
      <c r="C483" s="42" t="s">
        <v>1089</v>
      </c>
      <c r="D483" s="40">
        <v>42774</v>
      </c>
      <c r="E483" s="54" t="s">
        <v>54</v>
      </c>
      <c r="F483" s="51" t="s">
        <v>54</v>
      </c>
      <c r="G483" s="44" t="s">
        <v>256</v>
      </c>
      <c r="H483" s="43" t="s">
        <v>2789</v>
      </c>
      <c r="I483" s="43" t="s">
        <v>2713</v>
      </c>
      <c r="J483" s="44" t="s">
        <v>945</v>
      </c>
      <c r="K483" s="48" t="s">
        <v>1102</v>
      </c>
      <c r="L483" s="52" t="s">
        <v>157</v>
      </c>
      <c r="M483" s="44">
        <v>0</v>
      </c>
      <c r="N483" s="45">
        <v>43585</v>
      </c>
      <c r="O483"/>
      <c r="P483"/>
      <c r="Q483"/>
      <c r="R483"/>
      <c r="S483"/>
      <c r="T483"/>
    </row>
    <row r="484" spans="1:21" ht="15" customHeight="1" x14ac:dyDescent="0.2">
      <c r="A484" s="59" t="s">
        <v>2280</v>
      </c>
      <c r="B484" s="42" t="s">
        <v>5973</v>
      </c>
      <c r="C484" s="42" t="s">
        <v>1090</v>
      </c>
      <c r="D484" s="40">
        <v>42774</v>
      </c>
      <c r="E484" s="54" t="s">
        <v>54</v>
      </c>
      <c r="F484" s="51" t="s">
        <v>54</v>
      </c>
      <c r="G484" s="44" t="s">
        <v>256</v>
      </c>
      <c r="H484" s="43" t="s">
        <v>2789</v>
      </c>
      <c r="I484" s="43" t="s">
        <v>2713</v>
      </c>
      <c r="J484" s="44" t="s">
        <v>945</v>
      </c>
      <c r="K484" s="48" t="s">
        <v>1132</v>
      </c>
      <c r="L484" s="52" t="s">
        <v>1103</v>
      </c>
      <c r="M484" s="44">
        <v>0</v>
      </c>
      <c r="N484" s="45">
        <v>43585</v>
      </c>
    </row>
    <row r="485" spans="1:21" ht="15" customHeight="1" x14ac:dyDescent="0.2">
      <c r="A485" s="59" t="s">
        <v>2281</v>
      </c>
      <c r="B485" s="42" t="s">
        <v>1234</v>
      </c>
      <c r="C485" s="42" t="s">
        <v>1199</v>
      </c>
      <c r="D485" s="40">
        <v>42776</v>
      </c>
      <c r="E485" s="41">
        <v>20</v>
      </c>
      <c r="F485" s="46">
        <v>20</v>
      </c>
      <c r="G485" s="44" t="s">
        <v>55</v>
      </c>
      <c r="H485" s="43" t="s">
        <v>2731</v>
      </c>
      <c r="I485" s="43" t="s">
        <v>2713</v>
      </c>
      <c r="J485" s="44" t="s">
        <v>531</v>
      </c>
      <c r="K485" s="48" t="s">
        <v>1386</v>
      </c>
      <c r="L485" s="52" t="s">
        <v>157</v>
      </c>
      <c r="M485" s="44">
        <v>0</v>
      </c>
      <c r="N485" s="45">
        <v>43646</v>
      </c>
      <c r="O485"/>
      <c r="P485"/>
      <c r="Q485"/>
      <c r="R485"/>
      <c r="S485"/>
      <c r="T485"/>
    </row>
    <row r="486" spans="1:21" ht="15" customHeight="1" x14ac:dyDescent="0.2">
      <c r="A486" s="59" t="s">
        <v>2282</v>
      </c>
      <c r="B486" s="42" t="s">
        <v>2283</v>
      </c>
      <c r="C486" s="42" t="s">
        <v>1200</v>
      </c>
      <c r="D486" s="40">
        <v>42776</v>
      </c>
      <c r="E486" s="41">
        <v>20</v>
      </c>
      <c r="F486" s="46">
        <v>20</v>
      </c>
      <c r="G486" s="44" t="s">
        <v>55</v>
      </c>
      <c r="H486" s="43" t="s">
        <v>2738</v>
      </c>
      <c r="I486" s="43" t="s">
        <v>2713</v>
      </c>
      <c r="J486" s="44" t="s">
        <v>420</v>
      </c>
      <c r="K486" s="48" t="s">
        <v>1214</v>
      </c>
      <c r="L486" s="52" t="s">
        <v>157</v>
      </c>
      <c r="M486" s="44">
        <v>0</v>
      </c>
      <c r="N486" s="45">
        <v>42825</v>
      </c>
    </row>
    <row r="487" spans="1:21" ht="15" customHeight="1" x14ac:dyDescent="0.2">
      <c r="A487" s="59" t="s">
        <v>2284</v>
      </c>
      <c r="B487" s="42" t="s">
        <v>954</v>
      </c>
      <c r="C487" s="42" t="s">
        <v>1203</v>
      </c>
      <c r="D487" s="40">
        <v>42783</v>
      </c>
      <c r="E487" s="41">
        <v>20</v>
      </c>
      <c r="F487" s="46">
        <v>20</v>
      </c>
      <c r="G487" s="44" t="s">
        <v>55</v>
      </c>
      <c r="H487" s="43" t="s">
        <v>2737</v>
      </c>
      <c r="I487" s="43" t="s">
        <v>2713</v>
      </c>
      <c r="J487" s="44" t="s">
        <v>530</v>
      </c>
      <c r="K487" s="48" t="s">
        <v>1387</v>
      </c>
      <c r="L487" s="52" t="s">
        <v>157</v>
      </c>
      <c r="M487" s="44">
        <v>0</v>
      </c>
      <c r="N487" s="45">
        <v>43646</v>
      </c>
      <c r="O487"/>
      <c r="P487"/>
      <c r="Q487"/>
      <c r="R487"/>
      <c r="S487"/>
      <c r="T487"/>
    </row>
    <row r="488" spans="1:21" ht="15" customHeight="1" x14ac:dyDescent="0.2">
      <c r="A488" s="59" t="s">
        <v>2285</v>
      </c>
      <c r="B488" s="42" t="s">
        <v>1204</v>
      </c>
      <c r="C488" s="42" t="s">
        <v>1205</v>
      </c>
      <c r="D488" s="40">
        <v>42788</v>
      </c>
      <c r="E488" s="41">
        <v>20</v>
      </c>
      <c r="F488" s="46">
        <v>20</v>
      </c>
      <c r="G488" s="44" t="s">
        <v>55</v>
      </c>
      <c r="H488" s="43" t="s">
        <v>2772</v>
      </c>
      <c r="I488" s="43" t="s">
        <v>2713</v>
      </c>
      <c r="J488" s="44" t="s">
        <v>540</v>
      </c>
      <c r="K488" s="48" t="s">
        <v>1213</v>
      </c>
      <c r="L488" s="52" t="s">
        <v>34</v>
      </c>
      <c r="M488" s="44">
        <v>0</v>
      </c>
      <c r="N488" s="45">
        <v>42916</v>
      </c>
      <c r="O488"/>
      <c r="P488"/>
      <c r="Q488"/>
      <c r="R488"/>
      <c r="S488"/>
      <c r="T488"/>
    </row>
    <row r="489" spans="1:21" ht="15" customHeight="1" x14ac:dyDescent="0.2">
      <c r="A489" s="59" t="s">
        <v>2286</v>
      </c>
      <c r="B489" s="42" t="s">
        <v>725</v>
      </c>
      <c r="C489" s="42" t="s">
        <v>1206</v>
      </c>
      <c r="D489" s="40">
        <v>42796</v>
      </c>
      <c r="E489" s="41">
        <v>1000</v>
      </c>
      <c r="F489" s="46">
        <v>1000</v>
      </c>
      <c r="G489" s="44" t="s">
        <v>253</v>
      </c>
      <c r="H489" s="57" t="s">
        <v>2761</v>
      </c>
      <c r="I489" s="43" t="s">
        <v>2713</v>
      </c>
      <c r="J489" s="44" t="s">
        <v>692</v>
      </c>
      <c r="K489" s="48" t="s">
        <v>1212</v>
      </c>
      <c r="L489" s="52" t="s">
        <v>571</v>
      </c>
      <c r="M489" s="44">
        <v>0</v>
      </c>
      <c r="N489" s="45">
        <v>43524</v>
      </c>
      <c r="U489"/>
    </row>
    <row r="490" spans="1:21" ht="15" customHeight="1" x14ac:dyDescent="0.2">
      <c r="A490" s="59" t="s">
        <v>2287</v>
      </c>
      <c r="B490" s="42" t="s">
        <v>1487</v>
      </c>
      <c r="C490" s="42" t="s">
        <v>1111</v>
      </c>
      <c r="D490" s="40">
        <v>42817</v>
      </c>
      <c r="E490" s="41">
        <v>20</v>
      </c>
      <c r="F490" s="46">
        <v>20</v>
      </c>
      <c r="G490" s="44" t="s">
        <v>55</v>
      </c>
      <c r="H490" s="43" t="s">
        <v>2737</v>
      </c>
      <c r="I490" s="43" t="s">
        <v>2713</v>
      </c>
      <c r="J490" s="44" t="s">
        <v>530</v>
      </c>
      <c r="K490" s="48" t="s">
        <v>1388</v>
      </c>
      <c r="L490" s="52" t="s">
        <v>157</v>
      </c>
      <c r="M490" s="44">
        <v>0</v>
      </c>
      <c r="N490" s="45">
        <v>43585</v>
      </c>
    </row>
    <row r="491" spans="1:21" ht="15" customHeight="1" x14ac:dyDescent="0.2">
      <c r="A491" s="59" t="s">
        <v>2462</v>
      </c>
      <c r="B491" s="42" t="s">
        <v>1315</v>
      </c>
      <c r="C491" s="42" t="s">
        <v>1210</v>
      </c>
      <c r="D491" s="40">
        <v>42821</v>
      </c>
      <c r="E491" s="41">
        <v>20</v>
      </c>
      <c r="F491" s="46">
        <v>20</v>
      </c>
      <c r="G491" s="44" t="s">
        <v>55</v>
      </c>
      <c r="H491" s="43" t="s">
        <v>2806</v>
      </c>
      <c r="I491" s="43" t="s">
        <v>2713</v>
      </c>
      <c r="J491" s="44" t="s">
        <v>539</v>
      </c>
      <c r="K491" s="48" t="s">
        <v>1391</v>
      </c>
      <c r="L491" s="52" t="s">
        <v>673</v>
      </c>
      <c r="M491" s="44">
        <v>0</v>
      </c>
      <c r="N491" s="45">
        <v>44135</v>
      </c>
      <c r="O491"/>
      <c r="P491"/>
      <c r="Q491"/>
      <c r="R491"/>
      <c r="S491"/>
      <c r="T491"/>
    </row>
    <row r="492" spans="1:21" ht="15" customHeight="1" x14ac:dyDescent="0.2">
      <c r="A492" s="59" t="s">
        <v>2288</v>
      </c>
      <c r="B492" s="42" t="s">
        <v>2289</v>
      </c>
      <c r="C492" s="42" t="s">
        <v>1211</v>
      </c>
      <c r="D492" s="40">
        <v>42821</v>
      </c>
      <c r="E492" s="41">
        <v>20</v>
      </c>
      <c r="F492" s="46">
        <v>20</v>
      </c>
      <c r="G492" s="44" t="s">
        <v>55</v>
      </c>
      <c r="H492" s="43" t="s">
        <v>2800</v>
      </c>
      <c r="I492" s="43" t="s">
        <v>2713</v>
      </c>
      <c r="J492" s="44" t="s">
        <v>530</v>
      </c>
      <c r="K492" s="48" t="s">
        <v>1229</v>
      </c>
      <c r="L492" s="52" t="s">
        <v>157</v>
      </c>
      <c r="M492" s="44">
        <v>0</v>
      </c>
      <c r="N492" s="45">
        <v>42916</v>
      </c>
      <c r="U492"/>
    </row>
    <row r="493" spans="1:21" ht="15" customHeight="1" x14ac:dyDescent="0.2">
      <c r="A493" s="59" t="s">
        <v>2290</v>
      </c>
      <c r="B493" s="42" t="s">
        <v>1217</v>
      </c>
      <c r="C493" s="42" t="s">
        <v>1218</v>
      </c>
      <c r="D493" s="40">
        <v>42830</v>
      </c>
      <c r="E493" s="41">
        <v>20</v>
      </c>
      <c r="F493" s="46">
        <v>20</v>
      </c>
      <c r="G493" s="44" t="s">
        <v>55</v>
      </c>
      <c r="H493" s="43" t="s">
        <v>2753</v>
      </c>
      <c r="I493" s="43" t="s">
        <v>2713</v>
      </c>
      <c r="J493" s="44" t="s">
        <v>393</v>
      </c>
      <c r="K493" s="48" t="s">
        <v>2291</v>
      </c>
      <c r="L493" s="52" t="s">
        <v>34</v>
      </c>
      <c r="M493" s="44">
        <v>0</v>
      </c>
      <c r="N493" s="45">
        <v>42916</v>
      </c>
    </row>
    <row r="494" spans="1:21" ht="15" customHeight="1" x14ac:dyDescent="0.2">
      <c r="A494" s="59" t="s">
        <v>2463</v>
      </c>
      <c r="B494" s="60" t="s">
        <v>1339</v>
      </c>
      <c r="C494" s="60" t="s">
        <v>1219</v>
      </c>
      <c r="D494" s="40">
        <v>42836</v>
      </c>
      <c r="E494" s="61">
        <v>150</v>
      </c>
      <c r="F494" s="62">
        <v>150</v>
      </c>
      <c r="G494" s="63" t="s">
        <v>55</v>
      </c>
      <c r="H494" s="64" t="s">
        <v>2738</v>
      </c>
      <c r="I494" s="64" t="s">
        <v>2713</v>
      </c>
      <c r="J494" s="63" t="s">
        <v>420</v>
      </c>
      <c r="K494" s="64" t="s">
        <v>4082</v>
      </c>
      <c r="L494" s="63" t="s">
        <v>157</v>
      </c>
      <c r="M494" s="44">
        <v>0</v>
      </c>
      <c r="N494" s="65">
        <v>44957</v>
      </c>
      <c r="U494"/>
    </row>
    <row r="495" spans="1:21" ht="15" customHeight="1" x14ac:dyDescent="0.2">
      <c r="A495" s="59" t="s">
        <v>2292</v>
      </c>
      <c r="B495" s="42" t="s">
        <v>1220</v>
      </c>
      <c r="C495" s="42" t="s">
        <v>1221</v>
      </c>
      <c r="D495" s="40">
        <v>42838</v>
      </c>
      <c r="E495" s="41">
        <v>20</v>
      </c>
      <c r="F495" s="46">
        <v>20</v>
      </c>
      <c r="G495" s="44" t="s">
        <v>55</v>
      </c>
      <c r="H495" s="43" t="s">
        <v>2718</v>
      </c>
      <c r="I495" s="43" t="s">
        <v>2713</v>
      </c>
      <c r="J495" s="44" t="s">
        <v>530</v>
      </c>
      <c r="K495" s="48" t="s">
        <v>1242</v>
      </c>
      <c r="L495" s="52" t="s">
        <v>34</v>
      </c>
      <c r="M495" s="44">
        <v>0</v>
      </c>
      <c r="N495" s="45">
        <v>43373</v>
      </c>
    </row>
    <row r="496" spans="1:21" ht="15" customHeight="1" x14ac:dyDescent="0.2">
      <c r="A496" s="59" t="s">
        <v>2293</v>
      </c>
      <c r="B496" s="42" t="s">
        <v>1222</v>
      </c>
      <c r="C496" s="42" t="s">
        <v>1223</v>
      </c>
      <c r="D496" s="40">
        <v>42839</v>
      </c>
      <c r="E496" s="41">
        <v>20</v>
      </c>
      <c r="F496" s="46">
        <v>20</v>
      </c>
      <c r="G496" s="44"/>
      <c r="H496" s="43" t="s">
        <v>2723</v>
      </c>
      <c r="I496" s="43" t="s">
        <v>2713</v>
      </c>
      <c r="J496" s="44" t="s">
        <v>471</v>
      </c>
      <c r="K496" s="48" t="s">
        <v>1243</v>
      </c>
      <c r="L496" s="52" t="s">
        <v>157</v>
      </c>
      <c r="M496" s="44">
        <v>0</v>
      </c>
      <c r="N496" s="45">
        <v>42916</v>
      </c>
      <c r="U496"/>
    </row>
    <row r="497" spans="1:21" ht="15" customHeight="1" x14ac:dyDescent="0.2">
      <c r="A497" s="59" t="s">
        <v>2294</v>
      </c>
      <c r="B497" s="42" t="s">
        <v>954</v>
      </c>
      <c r="C497" s="42" t="s">
        <v>1225</v>
      </c>
      <c r="D497" s="40">
        <v>42842</v>
      </c>
      <c r="E497" s="41">
        <v>20</v>
      </c>
      <c r="F497" s="46">
        <v>20</v>
      </c>
      <c r="G497" s="44" t="s">
        <v>55</v>
      </c>
      <c r="H497" s="43"/>
      <c r="I497" s="43" t="s">
        <v>2713</v>
      </c>
      <c r="J497" s="44"/>
      <c r="K497" s="48" t="s">
        <v>1250</v>
      </c>
      <c r="L497" s="52" t="s">
        <v>157</v>
      </c>
      <c r="M497" s="44">
        <v>0</v>
      </c>
      <c r="N497" s="45">
        <v>42916</v>
      </c>
      <c r="U497"/>
    </row>
    <row r="498" spans="1:21" ht="15" customHeight="1" x14ac:dyDescent="0.2">
      <c r="A498" s="59" t="s">
        <v>2295</v>
      </c>
      <c r="B498" s="42" t="s">
        <v>954</v>
      </c>
      <c r="C498" s="42" t="s">
        <v>1224</v>
      </c>
      <c r="D498" s="40">
        <v>42842</v>
      </c>
      <c r="E498" s="41">
        <v>20</v>
      </c>
      <c r="F498" s="46">
        <v>20</v>
      </c>
      <c r="G498" s="44" t="s">
        <v>55</v>
      </c>
      <c r="H498" s="43" t="s">
        <v>2732</v>
      </c>
      <c r="I498" s="43" t="s">
        <v>2713</v>
      </c>
      <c r="J498" s="44" t="s">
        <v>393</v>
      </c>
      <c r="K498" s="48" t="s">
        <v>2296</v>
      </c>
      <c r="L498" s="52" t="s">
        <v>34</v>
      </c>
      <c r="M498" s="44">
        <v>0</v>
      </c>
      <c r="N498" s="45">
        <v>42978</v>
      </c>
    </row>
    <row r="499" spans="1:21" ht="15" customHeight="1" x14ac:dyDescent="0.2">
      <c r="A499" s="59" t="s">
        <v>2464</v>
      </c>
      <c r="B499" s="60" t="s">
        <v>1274</v>
      </c>
      <c r="C499" s="60" t="s">
        <v>1226</v>
      </c>
      <c r="D499" s="40">
        <v>42852</v>
      </c>
      <c r="E499" s="61">
        <v>24.9</v>
      </c>
      <c r="F499" s="62">
        <v>24.9</v>
      </c>
      <c r="G499" s="63" t="s">
        <v>55</v>
      </c>
      <c r="H499" s="64" t="s">
        <v>2098</v>
      </c>
      <c r="I499" s="64" t="s">
        <v>2713</v>
      </c>
      <c r="J499" s="63"/>
      <c r="K499" s="64" t="s">
        <v>4484</v>
      </c>
      <c r="L499" s="63" t="s">
        <v>34</v>
      </c>
      <c r="M499" s="63">
        <v>0</v>
      </c>
      <c r="N499" s="65">
        <v>45169</v>
      </c>
      <c r="O499"/>
      <c r="P499"/>
      <c r="Q499"/>
      <c r="R499"/>
      <c r="S499"/>
      <c r="T499"/>
    </row>
    <row r="500" spans="1:21" ht="15" customHeight="1" x14ac:dyDescent="0.2">
      <c r="A500" s="59" t="s">
        <v>2297</v>
      </c>
      <c r="B500" s="42" t="s">
        <v>1228</v>
      </c>
      <c r="C500" s="42" t="s">
        <v>1227</v>
      </c>
      <c r="D500" s="40">
        <v>42852</v>
      </c>
      <c r="E500" s="41">
        <v>20</v>
      </c>
      <c r="F500" s="46">
        <v>20</v>
      </c>
      <c r="G500" s="44" t="s">
        <v>55</v>
      </c>
      <c r="H500" s="43" t="s">
        <v>2783</v>
      </c>
      <c r="I500" s="43" t="s">
        <v>2713</v>
      </c>
      <c r="J500" s="44" t="s">
        <v>393</v>
      </c>
      <c r="K500" s="48" t="s">
        <v>1244</v>
      </c>
      <c r="L500" s="52" t="s">
        <v>34</v>
      </c>
      <c r="M500" s="44">
        <v>0</v>
      </c>
      <c r="N500" s="45">
        <v>43131</v>
      </c>
      <c r="U500"/>
    </row>
    <row r="501" spans="1:21" ht="15" customHeight="1" x14ac:dyDescent="0.2">
      <c r="A501" s="59" t="s">
        <v>2465</v>
      </c>
      <c r="B501" s="42" t="s">
        <v>1240</v>
      </c>
      <c r="C501" s="42" t="s">
        <v>1241</v>
      </c>
      <c r="D501" s="40">
        <v>42859</v>
      </c>
      <c r="E501" s="41" t="s">
        <v>54</v>
      </c>
      <c r="F501" s="46" t="s">
        <v>54</v>
      </c>
      <c r="G501" s="44" t="s">
        <v>256</v>
      </c>
      <c r="H501" s="43" t="s">
        <v>2796</v>
      </c>
      <c r="I501" s="43" t="s">
        <v>2713</v>
      </c>
      <c r="J501" s="44" t="s">
        <v>471</v>
      </c>
      <c r="K501" s="48" t="s">
        <v>1245</v>
      </c>
      <c r="L501" s="52" t="s">
        <v>157</v>
      </c>
      <c r="M501" s="44">
        <v>0</v>
      </c>
      <c r="N501" s="45">
        <v>44865</v>
      </c>
    </row>
    <row r="502" spans="1:21" ht="15" customHeight="1" x14ac:dyDescent="0.2">
      <c r="A502" s="59" t="s">
        <v>2298</v>
      </c>
      <c r="B502" s="42" t="s">
        <v>1217</v>
      </c>
      <c r="C502" s="42" t="s">
        <v>1238</v>
      </c>
      <c r="D502" s="40">
        <v>42870</v>
      </c>
      <c r="E502" s="41">
        <v>20</v>
      </c>
      <c r="F502" s="46">
        <v>20</v>
      </c>
      <c r="G502" s="44" t="s">
        <v>55</v>
      </c>
      <c r="H502" s="43"/>
      <c r="I502" s="43" t="s">
        <v>2713</v>
      </c>
      <c r="J502" s="44" t="s">
        <v>540</v>
      </c>
      <c r="K502" s="48" t="s">
        <v>2299</v>
      </c>
      <c r="L502" s="52" t="s">
        <v>34</v>
      </c>
      <c r="M502" s="44">
        <v>0</v>
      </c>
      <c r="N502" s="45">
        <v>42916</v>
      </c>
    </row>
    <row r="503" spans="1:21" ht="15" customHeight="1" x14ac:dyDescent="0.2">
      <c r="A503" s="59" t="s">
        <v>2300</v>
      </c>
      <c r="B503" s="42" t="s">
        <v>1259</v>
      </c>
      <c r="C503" s="42" t="s">
        <v>1260</v>
      </c>
      <c r="D503" s="40">
        <v>42873</v>
      </c>
      <c r="E503" s="41">
        <v>20</v>
      </c>
      <c r="F503" s="46">
        <v>20</v>
      </c>
      <c r="G503" s="44" t="s">
        <v>615</v>
      </c>
      <c r="H503" s="43" t="s">
        <v>2729</v>
      </c>
      <c r="I503" s="43" t="s">
        <v>2713</v>
      </c>
      <c r="J503" s="44" t="s">
        <v>530</v>
      </c>
      <c r="K503" s="48" t="s">
        <v>1246</v>
      </c>
      <c r="L503" s="52" t="s">
        <v>157</v>
      </c>
      <c r="M503" s="44">
        <v>0</v>
      </c>
      <c r="N503" s="45">
        <v>43131</v>
      </c>
    </row>
    <row r="504" spans="1:21" ht="15" customHeight="1" x14ac:dyDescent="0.2">
      <c r="A504" s="59" t="s">
        <v>2301</v>
      </c>
      <c r="B504" s="42" t="s">
        <v>1253</v>
      </c>
      <c r="C504" s="42" t="s">
        <v>1257</v>
      </c>
      <c r="D504" s="40">
        <v>42900</v>
      </c>
      <c r="E504" s="41">
        <v>20</v>
      </c>
      <c r="F504" s="46">
        <v>20</v>
      </c>
      <c r="G504" s="44" t="s">
        <v>55</v>
      </c>
      <c r="H504" s="43" t="s">
        <v>2717</v>
      </c>
      <c r="I504" s="43" t="s">
        <v>2713</v>
      </c>
      <c r="J504" s="44" t="s">
        <v>539</v>
      </c>
      <c r="K504" s="48" t="s">
        <v>1392</v>
      </c>
      <c r="L504" s="52" t="s">
        <v>1162</v>
      </c>
      <c r="M504" s="44">
        <v>0</v>
      </c>
      <c r="N504" s="45">
        <v>43465</v>
      </c>
    </row>
    <row r="505" spans="1:21" ht="15" customHeight="1" x14ac:dyDescent="0.2">
      <c r="A505" s="59" t="s">
        <v>2302</v>
      </c>
      <c r="B505" s="42" t="s">
        <v>1254</v>
      </c>
      <c r="C505" s="42" t="s">
        <v>1256</v>
      </c>
      <c r="D505" s="40">
        <v>42901</v>
      </c>
      <c r="E505" s="41">
        <v>25</v>
      </c>
      <c r="F505" s="46">
        <v>25</v>
      </c>
      <c r="G505" s="44" t="s">
        <v>55</v>
      </c>
      <c r="H505" s="43" t="s">
        <v>2806</v>
      </c>
      <c r="I505" s="43" t="s">
        <v>2713</v>
      </c>
      <c r="J505" s="44" t="s">
        <v>539</v>
      </c>
      <c r="K505" s="48" t="s">
        <v>1393</v>
      </c>
      <c r="L505" s="52" t="s">
        <v>673</v>
      </c>
      <c r="M505" s="44">
        <v>0</v>
      </c>
      <c r="N505" s="45">
        <v>43496</v>
      </c>
    </row>
    <row r="506" spans="1:21" ht="15" customHeight="1" x14ac:dyDescent="0.2">
      <c r="A506" s="59" t="s">
        <v>2303</v>
      </c>
      <c r="B506" s="42" t="s">
        <v>1262</v>
      </c>
      <c r="C506" s="42" t="s">
        <v>1263</v>
      </c>
      <c r="D506" s="40">
        <v>42935</v>
      </c>
      <c r="E506" s="41">
        <v>20</v>
      </c>
      <c r="F506" s="46">
        <v>20</v>
      </c>
      <c r="G506" s="44" t="s">
        <v>55</v>
      </c>
      <c r="H506" s="43" t="s">
        <v>2748</v>
      </c>
      <c r="I506" s="43" t="s">
        <v>2713</v>
      </c>
      <c r="J506" s="44" t="s">
        <v>393</v>
      </c>
      <c r="K506" s="48" t="s">
        <v>1269</v>
      </c>
      <c r="L506" s="52" t="s">
        <v>34</v>
      </c>
      <c r="M506" s="44">
        <v>0</v>
      </c>
      <c r="N506" s="45">
        <v>43069</v>
      </c>
    </row>
    <row r="507" spans="1:21" ht="15" customHeight="1" x14ac:dyDescent="0.2">
      <c r="A507" s="59" t="s">
        <v>2304</v>
      </c>
      <c r="B507" s="42" t="s">
        <v>1264</v>
      </c>
      <c r="C507" s="42" t="s">
        <v>1265</v>
      </c>
      <c r="D507" s="40">
        <v>42935</v>
      </c>
      <c r="E507" s="41">
        <v>20</v>
      </c>
      <c r="F507" s="46">
        <v>20</v>
      </c>
      <c r="G507" s="44" t="s">
        <v>55</v>
      </c>
      <c r="H507" s="43" t="s">
        <v>2699</v>
      </c>
      <c r="I507" s="43" t="s">
        <v>2713</v>
      </c>
      <c r="J507" s="44" t="s">
        <v>471</v>
      </c>
      <c r="K507" s="48" t="s">
        <v>1270</v>
      </c>
      <c r="L507" s="52" t="s">
        <v>157</v>
      </c>
      <c r="M507" s="44">
        <v>0</v>
      </c>
      <c r="N507" s="45">
        <v>43069</v>
      </c>
    </row>
    <row r="508" spans="1:21" ht="15" customHeight="1" x14ac:dyDescent="0.2">
      <c r="A508" s="59" t="s">
        <v>2305</v>
      </c>
      <c r="B508" s="42" t="s">
        <v>1088</v>
      </c>
      <c r="C508" s="42" t="s">
        <v>1266</v>
      </c>
      <c r="D508" s="40">
        <v>42940</v>
      </c>
      <c r="E508" s="54" t="s">
        <v>54</v>
      </c>
      <c r="F508" s="51" t="s">
        <v>54</v>
      </c>
      <c r="G508" s="44" t="s">
        <v>256</v>
      </c>
      <c r="H508" s="43" t="s">
        <v>2765</v>
      </c>
      <c r="I508" s="43" t="s">
        <v>2713</v>
      </c>
      <c r="J508" s="44" t="s">
        <v>393</v>
      </c>
      <c r="K508" s="48" t="s">
        <v>1266</v>
      </c>
      <c r="L508" s="52" t="s">
        <v>643</v>
      </c>
      <c r="M508" s="44">
        <v>0</v>
      </c>
      <c r="N508" s="45">
        <v>43742</v>
      </c>
    </row>
    <row r="509" spans="1:21" ht="15" customHeight="1" x14ac:dyDescent="0.2">
      <c r="A509" s="59" t="s">
        <v>2306</v>
      </c>
      <c r="B509" s="42" t="s">
        <v>1088</v>
      </c>
      <c r="C509" s="42" t="s">
        <v>1267</v>
      </c>
      <c r="D509" s="40">
        <v>42940</v>
      </c>
      <c r="E509" s="54" t="s">
        <v>54</v>
      </c>
      <c r="F509" s="51" t="s">
        <v>54</v>
      </c>
      <c r="G509" s="44" t="s">
        <v>256</v>
      </c>
      <c r="H509" s="43" t="s">
        <v>2843</v>
      </c>
      <c r="I509" s="43" t="s">
        <v>2713</v>
      </c>
      <c r="J509" s="44" t="s">
        <v>530</v>
      </c>
      <c r="K509" s="48" t="s">
        <v>1267</v>
      </c>
      <c r="L509" s="52" t="s">
        <v>643</v>
      </c>
      <c r="M509" s="44">
        <v>0</v>
      </c>
      <c r="N509" s="45">
        <v>43742</v>
      </c>
    </row>
    <row r="510" spans="1:21" ht="15" customHeight="1" x14ac:dyDescent="0.2">
      <c r="A510" s="59" t="s">
        <v>2307</v>
      </c>
      <c r="B510" s="42" t="s">
        <v>1088</v>
      </c>
      <c r="C510" s="42" t="s">
        <v>1268</v>
      </c>
      <c r="D510" s="40">
        <v>42940</v>
      </c>
      <c r="E510" s="54" t="s">
        <v>54</v>
      </c>
      <c r="F510" s="51" t="s">
        <v>54</v>
      </c>
      <c r="G510" s="44" t="s">
        <v>256</v>
      </c>
      <c r="H510" s="43" t="s">
        <v>2802</v>
      </c>
      <c r="I510" s="43" t="s">
        <v>2713</v>
      </c>
      <c r="J510" s="44" t="s">
        <v>818</v>
      </c>
      <c r="K510" s="48" t="s">
        <v>1271</v>
      </c>
      <c r="L510" s="52" t="s">
        <v>643</v>
      </c>
      <c r="M510" s="44">
        <v>0</v>
      </c>
      <c r="N510" s="45">
        <v>43742</v>
      </c>
    </row>
    <row r="511" spans="1:21" ht="15" customHeight="1" x14ac:dyDescent="0.2">
      <c r="A511" s="59" t="s">
        <v>2308</v>
      </c>
      <c r="B511" s="42" t="s">
        <v>1275</v>
      </c>
      <c r="C511" s="42" t="s">
        <v>1327</v>
      </c>
      <c r="D511" s="40">
        <v>42948</v>
      </c>
      <c r="E511" s="41">
        <v>20</v>
      </c>
      <c r="F511" s="46">
        <v>20</v>
      </c>
      <c r="G511" s="44" t="s">
        <v>55</v>
      </c>
      <c r="H511" s="43" t="s">
        <v>2736</v>
      </c>
      <c r="I511" s="43" t="s">
        <v>2713</v>
      </c>
      <c r="J511" s="44" t="s">
        <v>471</v>
      </c>
      <c r="K511" s="48" t="s">
        <v>1278</v>
      </c>
      <c r="L511" s="52" t="s">
        <v>157</v>
      </c>
      <c r="M511" s="44">
        <v>0</v>
      </c>
      <c r="N511" s="45">
        <v>43190</v>
      </c>
    </row>
    <row r="512" spans="1:21" ht="15" customHeight="1" x14ac:dyDescent="0.2">
      <c r="A512" s="59" t="s">
        <v>2309</v>
      </c>
      <c r="B512" s="42" t="s">
        <v>1275</v>
      </c>
      <c r="C512" s="42" t="s">
        <v>1326</v>
      </c>
      <c r="D512" s="40">
        <v>42948</v>
      </c>
      <c r="E512" s="41">
        <v>20</v>
      </c>
      <c r="F512" s="46">
        <v>20</v>
      </c>
      <c r="G512" s="44" t="s">
        <v>55</v>
      </c>
      <c r="H512" s="43" t="s">
        <v>2740</v>
      </c>
      <c r="I512" s="43" t="s">
        <v>2713</v>
      </c>
      <c r="J512" s="44" t="s">
        <v>530</v>
      </c>
      <c r="K512" s="48" t="s">
        <v>1277</v>
      </c>
      <c r="L512" s="52" t="s">
        <v>157</v>
      </c>
      <c r="M512" s="44">
        <v>0</v>
      </c>
      <c r="N512" s="45">
        <v>43100</v>
      </c>
    </row>
    <row r="513" spans="1:21" ht="15" customHeight="1" x14ac:dyDescent="0.2">
      <c r="A513" s="59" t="s">
        <v>2310</v>
      </c>
      <c r="B513" s="42" t="s">
        <v>1275</v>
      </c>
      <c r="C513" s="42" t="s">
        <v>1328</v>
      </c>
      <c r="D513" s="40">
        <v>42948</v>
      </c>
      <c r="E513" s="41">
        <v>20</v>
      </c>
      <c r="F513" s="46">
        <v>20</v>
      </c>
      <c r="G513" s="44" t="s">
        <v>55</v>
      </c>
      <c r="H513" s="43" t="s">
        <v>2740</v>
      </c>
      <c r="I513" s="43" t="s">
        <v>2713</v>
      </c>
      <c r="J513" s="44" t="s">
        <v>530</v>
      </c>
      <c r="K513" s="48" t="s">
        <v>1277</v>
      </c>
      <c r="L513" s="52" t="s">
        <v>157</v>
      </c>
      <c r="M513" s="44">
        <v>0</v>
      </c>
      <c r="N513" s="45">
        <v>43190</v>
      </c>
    </row>
    <row r="514" spans="1:21" ht="15" customHeight="1" x14ac:dyDescent="0.2">
      <c r="A514" s="59" t="s">
        <v>2311</v>
      </c>
      <c r="B514" s="42" t="s">
        <v>1275</v>
      </c>
      <c r="C514" s="42" t="s">
        <v>1329</v>
      </c>
      <c r="D514" s="40">
        <v>42948</v>
      </c>
      <c r="E514" s="70">
        <v>20</v>
      </c>
      <c r="F514" s="46">
        <v>20</v>
      </c>
      <c r="G514" s="44" t="s">
        <v>55</v>
      </c>
      <c r="H514" s="43" t="s">
        <v>2740</v>
      </c>
      <c r="I514" s="43" t="s">
        <v>2713</v>
      </c>
      <c r="J514" s="44" t="s">
        <v>530</v>
      </c>
      <c r="K514" s="48" t="s">
        <v>1276</v>
      </c>
      <c r="L514" s="52" t="s">
        <v>157</v>
      </c>
      <c r="M514" s="44">
        <v>0</v>
      </c>
      <c r="N514" s="45">
        <v>43100</v>
      </c>
    </row>
    <row r="515" spans="1:21" customFormat="1" ht="15" customHeight="1" x14ac:dyDescent="0.2">
      <c r="A515" s="59" t="s">
        <v>2466</v>
      </c>
      <c r="B515" s="42" t="s">
        <v>1279</v>
      </c>
      <c r="C515" s="42" t="s">
        <v>1280</v>
      </c>
      <c r="D515" s="40">
        <v>42950</v>
      </c>
      <c r="E515" s="41">
        <v>13.9</v>
      </c>
      <c r="F515" s="46">
        <v>13.9</v>
      </c>
      <c r="G515" s="44" t="s">
        <v>1038</v>
      </c>
      <c r="H515" s="43" t="s">
        <v>2716</v>
      </c>
      <c r="I515" s="43" t="s">
        <v>2713</v>
      </c>
      <c r="J515" s="44" t="s">
        <v>532</v>
      </c>
      <c r="K515" s="48" t="s">
        <v>3669</v>
      </c>
      <c r="L515" s="52" t="s">
        <v>87</v>
      </c>
      <c r="M515" s="44">
        <v>0</v>
      </c>
      <c r="N515" s="45">
        <v>44561</v>
      </c>
      <c r="O515" s="4"/>
      <c r="P515" s="4"/>
      <c r="Q515" s="4"/>
      <c r="R515" s="4"/>
      <c r="S515" s="4"/>
      <c r="T515" s="4"/>
      <c r="U515" s="4"/>
    </row>
    <row r="516" spans="1:21" ht="15" customHeight="1" x14ac:dyDescent="0.2">
      <c r="A516" s="59" t="s">
        <v>2467</v>
      </c>
      <c r="B516" s="42" t="s">
        <v>1281</v>
      </c>
      <c r="C516" s="42" t="s">
        <v>1282</v>
      </c>
      <c r="D516" s="40">
        <v>42950</v>
      </c>
      <c r="E516" s="41">
        <v>18.5</v>
      </c>
      <c r="F516" s="46">
        <v>18.5</v>
      </c>
      <c r="G516" s="44" t="s">
        <v>1038</v>
      </c>
      <c r="H516" s="43" t="s">
        <v>2716</v>
      </c>
      <c r="I516" s="43" t="s">
        <v>2713</v>
      </c>
      <c r="J516" s="44" t="s">
        <v>532</v>
      </c>
      <c r="K516" s="48" t="s">
        <v>1395</v>
      </c>
      <c r="L516" s="52" t="s">
        <v>87</v>
      </c>
      <c r="M516" s="44">
        <v>0</v>
      </c>
      <c r="N516" s="45">
        <v>44561</v>
      </c>
    </row>
    <row r="517" spans="1:21" ht="15" customHeight="1" x14ac:dyDescent="0.2">
      <c r="A517" s="59" t="s">
        <v>2312</v>
      </c>
      <c r="B517" s="42" t="s">
        <v>985</v>
      </c>
      <c r="C517" s="42" t="s">
        <v>1283</v>
      </c>
      <c r="D517" s="40">
        <v>42951</v>
      </c>
      <c r="E517" s="41">
        <v>7.4</v>
      </c>
      <c r="F517" s="46">
        <v>7.4</v>
      </c>
      <c r="G517" s="44" t="s">
        <v>1038</v>
      </c>
      <c r="H517" s="43" t="s">
        <v>2716</v>
      </c>
      <c r="I517" s="43" t="s">
        <v>2713</v>
      </c>
      <c r="J517" s="44" t="s">
        <v>532</v>
      </c>
      <c r="K517" s="48" t="s">
        <v>1396</v>
      </c>
      <c r="L517" s="52" t="s">
        <v>87</v>
      </c>
      <c r="M517" s="44">
        <v>0</v>
      </c>
      <c r="N517" s="45">
        <v>43404</v>
      </c>
    </row>
    <row r="518" spans="1:21" customFormat="1" ht="15" customHeight="1" x14ac:dyDescent="0.2">
      <c r="A518" s="59" t="s">
        <v>2313</v>
      </c>
      <c r="B518" s="42" t="s">
        <v>1284</v>
      </c>
      <c r="C518" s="42" t="s">
        <v>1285</v>
      </c>
      <c r="D518" s="40">
        <v>42951</v>
      </c>
      <c r="E518" s="41">
        <v>19.899999999999999</v>
      </c>
      <c r="F518" s="46">
        <v>19.899999999999999</v>
      </c>
      <c r="G518" s="44" t="s">
        <v>55</v>
      </c>
      <c r="H518" s="43" t="s">
        <v>2758</v>
      </c>
      <c r="I518" s="43" t="s">
        <v>2713</v>
      </c>
      <c r="J518" s="44" t="s">
        <v>540</v>
      </c>
      <c r="K518" s="48" t="s">
        <v>1296</v>
      </c>
      <c r="L518" s="52" t="s">
        <v>34</v>
      </c>
      <c r="M518" s="44">
        <v>0</v>
      </c>
      <c r="N518" s="45">
        <v>43132</v>
      </c>
      <c r="O518" s="4"/>
      <c r="P518" s="4"/>
      <c r="Q518" s="4"/>
      <c r="R518" s="4"/>
      <c r="S518" s="4"/>
      <c r="T518" s="4"/>
      <c r="U518" s="4"/>
    </row>
    <row r="519" spans="1:21" ht="15" customHeight="1" x14ac:dyDescent="0.2">
      <c r="A519" s="59" t="s">
        <v>2314</v>
      </c>
      <c r="B519" s="42" t="s">
        <v>1286</v>
      </c>
      <c r="C519" s="42" t="s">
        <v>1287</v>
      </c>
      <c r="D519" s="40">
        <v>42954</v>
      </c>
      <c r="E519" s="41">
        <v>20</v>
      </c>
      <c r="F519" s="46">
        <v>20</v>
      </c>
      <c r="G519" s="44" t="s">
        <v>55</v>
      </c>
      <c r="H519" s="43" t="s">
        <v>2735</v>
      </c>
      <c r="I519" s="43" t="s">
        <v>2713</v>
      </c>
      <c r="J519" s="44" t="s">
        <v>420</v>
      </c>
      <c r="K519" s="48" t="s">
        <v>1297</v>
      </c>
      <c r="L519" s="52" t="s">
        <v>34</v>
      </c>
      <c r="M519" s="44">
        <v>0</v>
      </c>
      <c r="N519" s="45">
        <v>43373</v>
      </c>
    </row>
    <row r="520" spans="1:21" customFormat="1" ht="15" customHeight="1" x14ac:dyDescent="0.2">
      <c r="A520" s="59" t="s">
        <v>2468</v>
      </c>
      <c r="B520" s="42" t="s">
        <v>1289</v>
      </c>
      <c r="C520" s="42" t="s">
        <v>997</v>
      </c>
      <c r="D520" s="40" t="s">
        <v>4083</v>
      </c>
      <c r="E520" s="41" t="s">
        <v>54</v>
      </c>
      <c r="F520" s="46" t="s">
        <v>54</v>
      </c>
      <c r="G520" s="44" t="s">
        <v>256</v>
      </c>
      <c r="H520" s="43" t="s">
        <v>2735</v>
      </c>
      <c r="I520" s="43" t="s">
        <v>2749</v>
      </c>
      <c r="J520" s="44" t="s">
        <v>393</v>
      </c>
      <c r="K520" s="48" t="s">
        <v>1568</v>
      </c>
      <c r="L520" s="52" t="s">
        <v>34</v>
      </c>
      <c r="M520" s="44">
        <v>0</v>
      </c>
      <c r="N520" s="45">
        <v>45046</v>
      </c>
      <c r="O520" s="4"/>
      <c r="P520" s="4"/>
      <c r="Q520" s="4"/>
      <c r="R520" s="4"/>
      <c r="S520" s="4"/>
      <c r="T520" s="4"/>
      <c r="U520" s="4"/>
    </row>
    <row r="521" spans="1:21" ht="15" customHeight="1" x14ac:dyDescent="0.2">
      <c r="A521" s="59" t="s">
        <v>2388</v>
      </c>
      <c r="B521" s="42" t="s">
        <v>1290</v>
      </c>
      <c r="C521" s="42" t="s">
        <v>1290</v>
      </c>
      <c r="D521" s="40">
        <v>42958</v>
      </c>
      <c r="E521" s="41">
        <v>20</v>
      </c>
      <c r="F521" s="46">
        <v>20</v>
      </c>
      <c r="G521" s="44" t="s">
        <v>124</v>
      </c>
      <c r="H521" s="43" t="s">
        <v>2729</v>
      </c>
      <c r="I521" s="43" t="s">
        <v>2713</v>
      </c>
      <c r="J521" s="44" t="s">
        <v>393</v>
      </c>
      <c r="K521" s="48" t="s">
        <v>1744</v>
      </c>
      <c r="L521" s="52" t="s">
        <v>157</v>
      </c>
      <c r="M521" s="44">
        <v>0</v>
      </c>
      <c r="N521" s="45">
        <v>43738</v>
      </c>
    </row>
    <row r="522" spans="1:21" customFormat="1" ht="15" customHeight="1" x14ac:dyDescent="0.2">
      <c r="A522" s="59" t="s">
        <v>2315</v>
      </c>
      <c r="B522" s="42" t="s">
        <v>1291</v>
      </c>
      <c r="C522" s="42" t="s">
        <v>1292</v>
      </c>
      <c r="D522" s="40">
        <v>42958</v>
      </c>
      <c r="E522" s="41">
        <v>20</v>
      </c>
      <c r="F522" s="46">
        <v>20</v>
      </c>
      <c r="G522" s="44" t="s">
        <v>124</v>
      </c>
      <c r="H522" s="43" t="s">
        <v>2739</v>
      </c>
      <c r="I522" s="43" t="s">
        <v>2713</v>
      </c>
      <c r="J522" s="44" t="s">
        <v>531</v>
      </c>
      <c r="K522" s="48" t="s">
        <v>1340</v>
      </c>
      <c r="L522" s="52" t="s">
        <v>157</v>
      </c>
      <c r="M522" s="44">
        <v>0</v>
      </c>
      <c r="N522" s="45">
        <v>43131</v>
      </c>
      <c r="O522" s="4"/>
      <c r="P522" s="4"/>
      <c r="Q522" s="4"/>
      <c r="R522" s="4"/>
      <c r="S522" s="4"/>
      <c r="T522" s="4"/>
      <c r="U522" s="4"/>
    </row>
    <row r="523" spans="1:21" customFormat="1" ht="15" customHeight="1" x14ac:dyDescent="0.2">
      <c r="A523" s="59" t="s">
        <v>2389</v>
      </c>
      <c r="B523" s="42" t="s">
        <v>1293</v>
      </c>
      <c r="C523" s="42" t="s">
        <v>1293</v>
      </c>
      <c r="D523" s="40">
        <v>42958</v>
      </c>
      <c r="E523" s="41">
        <v>20</v>
      </c>
      <c r="F523" s="46">
        <v>20</v>
      </c>
      <c r="G523" s="44" t="s">
        <v>124</v>
      </c>
      <c r="H523" s="43" t="s">
        <v>2739</v>
      </c>
      <c r="I523" s="43" t="s">
        <v>2713</v>
      </c>
      <c r="J523" s="44" t="s">
        <v>540</v>
      </c>
      <c r="K523" s="48" t="s">
        <v>1333</v>
      </c>
      <c r="L523" s="52" t="s">
        <v>157</v>
      </c>
      <c r="M523" s="44">
        <v>0</v>
      </c>
      <c r="N523" s="45">
        <v>43434</v>
      </c>
      <c r="O523" s="4"/>
      <c r="P523" s="4"/>
      <c r="Q523" s="4"/>
      <c r="R523" s="4"/>
      <c r="S523" s="4"/>
      <c r="T523" s="4"/>
      <c r="U523" s="4"/>
    </row>
    <row r="524" spans="1:21" ht="15" customHeight="1" x14ac:dyDescent="0.2">
      <c r="A524" s="59" t="s">
        <v>2316</v>
      </c>
      <c r="B524" s="42" t="s">
        <v>1294</v>
      </c>
      <c r="C524" s="42" t="s">
        <v>1295</v>
      </c>
      <c r="D524" s="40">
        <v>42976</v>
      </c>
      <c r="E524" s="41">
        <v>19.8</v>
      </c>
      <c r="F524" s="46">
        <v>19.8</v>
      </c>
      <c r="G524" s="44" t="s">
        <v>55</v>
      </c>
      <c r="H524" s="43" t="s">
        <v>2699</v>
      </c>
      <c r="I524" s="43" t="s">
        <v>2713</v>
      </c>
      <c r="J524" s="44" t="s">
        <v>471</v>
      </c>
      <c r="K524" s="48" t="s">
        <v>1334</v>
      </c>
      <c r="L524" s="52" t="s">
        <v>157</v>
      </c>
      <c r="M524" s="44">
        <v>0</v>
      </c>
      <c r="N524" s="45">
        <v>43131</v>
      </c>
    </row>
    <row r="525" spans="1:21" ht="15" customHeight="1" x14ac:dyDescent="0.2">
      <c r="A525" s="59" t="s">
        <v>2317</v>
      </c>
      <c r="B525" s="42" t="s">
        <v>1298</v>
      </c>
      <c r="C525" s="42" t="s">
        <v>1299</v>
      </c>
      <c r="D525" s="40">
        <v>42997</v>
      </c>
      <c r="E525" s="41">
        <v>10.1</v>
      </c>
      <c r="F525" s="46">
        <v>11.3</v>
      </c>
      <c r="G525" s="44" t="s">
        <v>55</v>
      </c>
      <c r="H525" s="43" t="s">
        <v>2775</v>
      </c>
      <c r="I525" s="43" t="s">
        <v>2713</v>
      </c>
      <c r="J525" s="44" t="s">
        <v>531</v>
      </c>
      <c r="K525" s="48" t="s">
        <v>1336</v>
      </c>
      <c r="L525" s="52" t="s">
        <v>34</v>
      </c>
      <c r="M525" s="44">
        <v>0</v>
      </c>
      <c r="N525" s="45">
        <v>43190</v>
      </c>
    </row>
    <row r="526" spans="1:21" customFormat="1" ht="15" customHeight="1" x14ac:dyDescent="0.2">
      <c r="A526" s="59" t="s">
        <v>2318</v>
      </c>
      <c r="B526" s="42" t="s">
        <v>1298</v>
      </c>
      <c r="C526" s="42" t="s">
        <v>1300</v>
      </c>
      <c r="D526" s="40">
        <v>42985</v>
      </c>
      <c r="E526" s="41">
        <v>7.4</v>
      </c>
      <c r="F526" s="46">
        <v>7.4</v>
      </c>
      <c r="G526" s="44" t="s">
        <v>55</v>
      </c>
      <c r="H526" s="43" t="s">
        <v>2785</v>
      </c>
      <c r="I526" s="43" t="s">
        <v>2713</v>
      </c>
      <c r="J526" s="44" t="s">
        <v>531</v>
      </c>
      <c r="K526" s="48" t="s">
        <v>1341</v>
      </c>
      <c r="L526" s="52" t="s">
        <v>157</v>
      </c>
      <c r="M526" s="44">
        <v>0</v>
      </c>
      <c r="N526" s="45">
        <v>43190</v>
      </c>
      <c r="O526" s="4"/>
      <c r="P526" s="4"/>
      <c r="Q526" s="4"/>
      <c r="R526" s="4"/>
      <c r="S526" s="4"/>
      <c r="T526" s="4"/>
      <c r="U526" s="4"/>
    </row>
    <row r="527" spans="1:21" ht="15" customHeight="1" x14ac:dyDescent="0.2">
      <c r="A527" s="59" t="s">
        <v>2319</v>
      </c>
      <c r="B527" s="42" t="s">
        <v>1298</v>
      </c>
      <c r="C527" s="42" t="s">
        <v>1301</v>
      </c>
      <c r="D527" s="40">
        <v>42985</v>
      </c>
      <c r="E527" s="41">
        <v>18</v>
      </c>
      <c r="F527" s="46">
        <v>18</v>
      </c>
      <c r="G527" s="44" t="s">
        <v>55</v>
      </c>
      <c r="H527" s="43" t="s">
        <v>2775</v>
      </c>
      <c r="I527" s="43" t="s">
        <v>2713</v>
      </c>
      <c r="J527" s="44" t="s">
        <v>531</v>
      </c>
      <c r="K527" s="48" t="s">
        <v>1342</v>
      </c>
      <c r="L527" s="52" t="s">
        <v>157</v>
      </c>
      <c r="M527" s="44">
        <v>0</v>
      </c>
      <c r="N527" s="45">
        <v>43190</v>
      </c>
    </row>
    <row r="528" spans="1:21" ht="15" customHeight="1" x14ac:dyDescent="0.2">
      <c r="A528" s="59" t="s">
        <v>2320</v>
      </c>
      <c r="B528" s="42" t="s">
        <v>1302</v>
      </c>
      <c r="C528" s="42" t="s">
        <v>1303</v>
      </c>
      <c r="D528" s="40">
        <v>42985</v>
      </c>
      <c r="E528" s="41">
        <v>80</v>
      </c>
      <c r="F528" s="46">
        <v>80</v>
      </c>
      <c r="G528" s="44" t="s">
        <v>55</v>
      </c>
      <c r="H528" s="43" t="s">
        <v>2728</v>
      </c>
      <c r="I528" s="43" t="s">
        <v>2713</v>
      </c>
      <c r="J528" s="44" t="s">
        <v>531</v>
      </c>
      <c r="K528" s="48" t="s">
        <v>1397</v>
      </c>
      <c r="L528" s="52" t="s">
        <v>157</v>
      </c>
      <c r="M528" s="44">
        <v>0</v>
      </c>
      <c r="N528" s="45">
        <v>43585</v>
      </c>
      <c r="U528"/>
    </row>
    <row r="529" spans="1:20" ht="15" customHeight="1" x14ac:dyDescent="0.2">
      <c r="A529" s="59" t="s">
        <v>2321</v>
      </c>
      <c r="B529" s="42" t="s">
        <v>1298</v>
      </c>
      <c r="C529" s="42" t="s">
        <v>1304</v>
      </c>
      <c r="D529" s="40">
        <v>42986</v>
      </c>
      <c r="E529" s="41">
        <v>10.8</v>
      </c>
      <c r="F529" s="46">
        <v>10.8</v>
      </c>
      <c r="G529" s="44" t="s">
        <v>55</v>
      </c>
      <c r="H529" s="43" t="s">
        <v>2813</v>
      </c>
      <c r="I529" s="43" t="s">
        <v>2713</v>
      </c>
      <c r="J529" s="44" t="s">
        <v>531</v>
      </c>
      <c r="K529" s="48" t="s">
        <v>1343</v>
      </c>
      <c r="L529" s="52" t="s">
        <v>643</v>
      </c>
      <c r="M529" s="44">
        <v>0</v>
      </c>
      <c r="N529" s="45">
        <v>43190</v>
      </c>
    </row>
    <row r="530" spans="1:20" ht="15" customHeight="1" x14ac:dyDescent="0.2">
      <c r="A530" s="59" t="s">
        <v>2322</v>
      </c>
      <c r="B530" s="42" t="s">
        <v>1305</v>
      </c>
      <c r="C530" s="42" t="s">
        <v>1307</v>
      </c>
      <c r="D530" s="40">
        <v>42992</v>
      </c>
      <c r="E530" s="41">
        <v>20</v>
      </c>
      <c r="F530" s="46">
        <v>20</v>
      </c>
      <c r="G530" s="44" t="s">
        <v>55</v>
      </c>
      <c r="H530" s="43" t="s">
        <v>2741</v>
      </c>
      <c r="I530" s="43" t="s">
        <v>2713</v>
      </c>
      <c r="J530" s="44" t="s">
        <v>531</v>
      </c>
      <c r="K530" s="48" t="s">
        <v>1344</v>
      </c>
      <c r="L530" s="52" t="s">
        <v>157</v>
      </c>
      <c r="M530" s="44">
        <v>0</v>
      </c>
      <c r="N530" s="45">
        <v>43251</v>
      </c>
    </row>
    <row r="531" spans="1:20" ht="15" customHeight="1" x14ac:dyDescent="0.2">
      <c r="A531" s="59" t="s">
        <v>2323</v>
      </c>
      <c r="B531" s="42" t="s">
        <v>1306</v>
      </c>
      <c r="C531" s="42" t="s">
        <v>1308</v>
      </c>
      <c r="D531" s="40">
        <v>42992</v>
      </c>
      <c r="E531" s="41">
        <v>20</v>
      </c>
      <c r="F531" s="46">
        <v>20</v>
      </c>
      <c r="G531" s="44" t="s">
        <v>55</v>
      </c>
      <c r="H531" s="43" t="s">
        <v>2762</v>
      </c>
      <c r="I531" s="43" t="s">
        <v>2713</v>
      </c>
      <c r="J531" s="44" t="s">
        <v>531</v>
      </c>
      <c r="K531" s="48" t="s">
        <v>1360</v>
      </c>
      <c r="L531" s="52" t="s">
        <v>157</v>
      </c>
      <c r="M531" s="44">
        <v>0</v>
      </c>
      <c r="N531" s="45">
        <v>43190</v>
      </c>
    </row>
    <row r="532" spans="1:20" ht="15" customHeight="1" x14ac:dyDescent="0.2">
      <c r="A532" s="59" t="s">
        <v>5170</v>
      </c>
      <c r="B532" s="60" t="s">
        <v>1309</v>
      </c>
      <c r="C532" s="60" t="s">
        <v>1691</v>
      </c>
      <c r="D532" s="40">
        <v>42992</v>
      </c>
      <c r="E532" s="61" t="s">
        <v>5780</v>
      </c>
      <c r="F532" s="62" t="s">
        <v>5780</v>
      </c>
      <c r="G532" s="63" t="s">
        <v>5784</v>
      </c>
      <c r="H532" s="64" t="s">
        <v>2784</v>
      </c>
      <c r="I532" s="64" t="s">
        <v>2713</v>
      </c>
      <c r="J532" s="63" t="s">
        <v>531</v>
      </c>
      <c r="K532" s="64" t="s">
        <v>1567</v>
      </c>
      <c r="L532" s="63" t="s">
        <v>157</v>
      </c>
      <c r="M532" s="63" t="s">
        <v>5781</v>
      </c>
      <c r="N532" s="65">
        <v>45412</v>
      </c>
      <c r="O532"/>
      <c r="P532"/>
      <c r="Q532"/>
      <c r="R532"/>
      <c r="S532"/>
      <c r="T532"/>
    </row>
    <row r="533" spans="1:20" ht="15" customHeight="1" x14ac:dyDescent="0.2">
      <c r="A533" s="59" t="s">
        <v>5171</v>
      </c>
      <c r="B533" s="60" t="s">
        <v>1310</v>
      </c>
      <c r="C533" s="60" t="s">
        <v>1311</v>
      </c>
      <c r="D533" s="40">
        <v>42992</v>
      </c>
      <c r="E533" s="61" t="s">
        <v>5782</v>
      </c>
      <c r="F533" s="62" t="s">
        <v>5782</v>
      </c>
      <c r="G533" s="63" t="s">
        <v>5784</v>
      </c>
      <c r="H533" s="64" t="s">
        <v>2741</v>
      </c>
      <c r="I533" s="64" t="s">
        <v>2713</v>
      </c>
      <c r="J533" s="63" t="s">
        <v>531</v>
      </c>
      <c r="K533" s="64" t="s">
        <v>1335</v>
      </c>
      <c r="L533" s="63" t="s">
        <v>157</v>
      </c>
      <c r="M533" s="63" t="s">
        <v>5781</v>
      </c>
      <c r="N533" s="65">
        <v>45412</v>
      </c>
      <c r="O533"/>
      <c r="P533"/>
      <c r="Q533"/>
      <c r="R533"/>
      <c r="S533"/>
      <c r="T533"/>
    </row>
    <row r="534" spans="1:20" ht="15" customHeight="1" x14ac:dyDescent="0.2">
      <c r="A534" s="59" t="s">
        <v>2469</v>
      </c>
      <c r="B534" s="60" t="s">
        <v>4824</v>
      </c>
      <c r="C534" s="60" t="s">
        <v>1312</v>
      </c>
      <c r="D534" s="40">
        <v>42993</v>
      </c>
      <c r="E534" s="61">
        <v>1171</v>
      </c>
      <c r="F534" s="62">
        <v>1172</v>
      </c>
      <c r="G534" s="63" t="s">
        <v>339</v>
      </c>
      <c r="H534" s="64" t="s">
        <v>2713</v>
      </c>
      <c r="I534" s="64" t="s">
        <v>2713</v>
      </c>
      <c r="J534" s="63" t="s">
        <v>533</v>
      </c>
      <c r="K534" s="64" t="s">
        <v>4487</v>
      </c>
      <c r="L534" s="63" t="s">
        <v>403</v>
      </c>
      <c r="M534" s="63">
        <v>0</v>
      </c>
      <c r="N534" s="65">
        <v>45077</v>
      </c>
      <c r="O534"/>
      <c r="P534"/>
      <c r="Q534"/>
      <c r="R534"/>
      <c r="S534"/>
      <c r="T534"/>
    </row>
    <row r="535" spans="1:20" ht="15" customHeight="1" x14ac:dyDescent="0.2">
      <c r="A535" s="59" t="s">
        <v>2470</v>
      </c>
      <c r="B535" s="42" t="s">
        <v>1423</v>
      </c>
      <c r="C535" s="42" t="s">
        <v>1313</v>
      </c>
      <c r="D535" s="40">
        <v>42999</v>
      </c>
      <c r="E535" s="41">
        <v>20</v>
      </c>
      <c r="F535" s="46">
        <v>20</v>
      </c>
      <c r="G535" s="44" t="s">
        <v>55</v>
      </c>
      <c r="H535" s="43" t="s">
        <v>2767</v>
      </c>
      <c r="I535" s="43" t="s">
        <v>2713</v>
      </c>
      <c r="J535" s="44" t="s">
        <v>393</v>
      </c>
      <c r="K535" s="48" t="s">
        <v>1398</v>
      </c>
      <c r="L535" s="52" t="s">
        <v>157</v>
      </c>
      <c r="M535" s="44">
        <v>0</v>
      </c>
      <c r="N535" s="45">
        <v>44347</v>
      </c>
    </row>
    <row r="536" spans="1:20" ht="15" customHeight="1" x14ac:dyDescent="0.2">
      <c r="A536" s="59" t="s">
        <v>2471</v>
      </c>
      <c r="B536" s="42" t="s">
        <v>797</v>
      </c>
      <c r="C536" s="42" t="s">
        <v>800</v>
      </c>
      <c r="D536" s="40">
        <v>43003</v>
      </c>
      <c r="E536" s="41">
        <v>32</v>
      </c>
      <c r="F536" s="46">
        <v>23</v>
      </c>
      <c r="G536" s="44" t="s">
        <v>364</v>
      </c>
      <c r="H536" s="43" t="s">
        <v>2807</v>
      </c>
      <c r="I536" s="43" t="s">
        <v>2781</v>
      </c>
      <c r="J536" s="44" t="s">
        <v>533</v>
      </c>
      <c r="K536" s="48" t="s">
        <v>801</v>
      </c>
      <c r="L536" s="52" t="s">
        <v>403</v>
      </c>
      <c r="M536" s="44">
        <v>0</v>
      </c>
      <c r="N536" s="45">
        <v>44165</v>
      </c>
    </row>
    <row r="537" spans="1:20" ht="15" customHeight="1" x14ac:dyDescent="0.2">
      <c r="A537" s="59" t="s">
        <v>2324</v>
      </c>
      <c r="B537" s="42" t="s">
        <v>1316</v>
      </c>
      <c r="C537" s="42" t="s">
        <v>1317</v>
      </c>
      <c r="D537" s="40">
        <v>43014</v>
      </c>
      <c r="E537" s="41">
        <v>30.2</v>
      </c>
      <c r="F537" s="46">
        <v>30.2</v>
      </c>
      <c r="G537" s="44" t="s">
        <v>364</v>
      </c>
      <c r="H537" s="43" t="s">
        <v>2713</v>
      </c>
      <c r="I537" s="43" t="s">
        <v>2713</v>
      </c>
      <c r="J537" s="44" t="s">
        <v>533</v>
      </c>
      <c r="K537" s="48" t="s">
        <v>1330</v>
      </c>
      <c r="L537" s="52" t="s">
        <v>403</v>
      </c>
      <c r="M537" s="44">
        <v>0</v>
      </c>
      <c r="N537" s="45">
        <v>43373</v>
      </c>
    </row>
    <row r="538" spans="1:20" ht="15" customHeight="1" x14ac:dyDescent="0.2">
      <c r="A538" s="59" t="s">
        <v>2325</v>
      </c>
      <c r="B538" s="42" t="s">
        <v>1316</v>
      </c>
      <c r="C538" s="42" t="s">
        <v>1318</v>
      </c>
      <c r="D538" s="40">
        <v>43014</v>
      </c>
      <c r="E538" s="41">
        <v>72.400000000000006</v>
      </c>
      <c r="F538" s="46">
        <v>72.400000000000006</v>
      </c>
      <c r="G538" s="44" t="s">
        <v>364</v>
      </c>
      <c r="H538" s="43" t="s">
        <v>2713</v>
      </c>
      <c r="I538" s="43" t="s">
        <v>2713</v>
      </c>
      <c r="J538" s="44" t="s">
        <v>533</v>
      </c>
      <c r="K538" s="48" t="s">
        <v>1330</v>
      </c>
      <c r="L538" s="52" t="s">
        <v>403</v>
      </c>
      <c r="M538" s="44">
        <v>0</v>
      </c>
      <c r="N538" s="45">
        <v>43373</v>
      </c>
    </row>
    <row r="539" spans="1:20" ht="15" customHeight="1" x14ac:dyDescent="0.2">
      <c r="A539" s="59" t="s">
        <v>2326</v>
      </c>
      <c r="B539" s="42" t="s">
        <v>1319</v>
      </c>
      <c r="C539" s="42" t="s">
        <v>1320</v>
      </c>
      <c r="D539" s="40">
        <v>43032</v>
      </c>
      <c r="E539" s="41">
        <v>10</v>
      </c>
      <c r="F539" s="46">
        <v>10</v>
      </c>
      <c r="G539" s="44" t="s">
        <v>615</v>
      </c>
      <c r="H539" s="43" t="s">
        <v>2719</v>
      </c>
      <c r="I539" s="43" t="s">
        <v>2713</v>
      </c>
      <c r="J539" s="44" t="s">
        <v>533</v>
      </c>
      <c r="K539" s="48" t="s">
        <v>2327</v>
      </c>
      <c r="L539" s="52" t="s">
        <v>403</v>
      </c>
      <c r="M539" s="44">
        <v>0</v>
      </c>
      <c r="N539" s="45">
        <v>43343</v>
      </c>
    </row>
    <row r="540" spans="1:20" ht="15" customHeight="1" x14ac:dyDescent="0.2">
      <c r="A540" s="59" t="s">
        <v>2328</v>
      </c>
      <c r="B540" s="42" t="s">
        <v>1319</v>
      </c>
      <c r="C540" s="42" t="s">
        <v>1321</v>
      </c>
      <c r="D540" s="40">
        <v>43032</v>
      </c>
      <c r="E540" s="41">
        <v>10</v>
      </c>
      <c r="F540" s="46">
        <v>10</v>
      </c>
      <c r="G540" s="44" t="s">
        <v>615</v>
      </c>
      <c r="H540" s="43" t="s">
        <v>2719</v>
      </c>
      <c r="I540" s="43" t="s">
        <v>2713</v>
      </c>
      <c r="J540" s="44" t="s">
        <v>533</v>
      </c>
      <c r="K540" s="48" t="s">
        <v>2327</v>
      </c>
      <c r="L540" s="52" t="s">
        <v>403</v>
      </c>
      <c r="M540" s="44">
        <v>0</v>
      </c>
      <c r="N540" s="45">
        <v>43343</v>
      </c>
    </row>
    <row r="541" spans="1:20" ht="15" customHeight="1" x14ac:dyDescent="0.2">
      <c r="A541" s="59" t="s">
        <v>2329</v>
      </c>
      <c r="B541" s="42" t="s">
        <v>1264</v>
      </c>
      <c r="C541" s="42" t="s">
        <v>1322</v>
      </c>
      <c r="D541" s="40">
        <v>43033</v>
      </c>
      <c r="E541" s="41">
        <v>20</v>
      </c>
      <c r="F541" s="46">
        <v>20</v>
      </c>
      <c r="G541" s="44" t="s">
        <v>55</v>
      </c>
      <c r="H541" s="43" t="s">
        <v>2753</v>
      </c>
      <c r="I541" s="43" t="s">
        <v>2713</v>
      </c>
      <c r="J541" s="44" t="s">
        <v>393</v>
      </c>
      <c r="K541" s="48" t="s">
        <v>1345</v>
      </c>
      <c r="L541" s="52" t="s">
        <v>34</v>
      </c>
      <c r="M541" s="44">
        <v>0</v>
      </c>
      <c r="N541" s="45">
        <v>43190</v>
      </c>
    </row>
    <row r="542" spans="1:20" ht="15" customHeight="1" x14ac:dyDescent="0.2">
      <c r="A542" s="59" t="s">
        <v>2330</v>
      </c>
      <c r="B542" s="42" t="s">
        <v>1264</v>
      </c>
      <c r="C542" s="42" t="s">
        <v>1323</v>
      </c>
      <c r="D542" s="40">
        <v>43033</v>
      </c>
      <c r="E542" s="41">
        <v>20</v>
      </c>
      <c r="F542" s="46">
        <v>20</v>
      </c>
      <c r="G542" s="44" t="s">
        <v>55</v>
      </c>
      <c r="H542" s="43" t="s">
        <v>2763</v>
      </c>
      <c r="I542" s="43" t="s">
        <v>2713</v>
      </c>
      <c r="J542" s="44" t="s">
        <v>393</v>
      </c>
      <c r="K542" s="48" t="s">
        <v>1346</v>
      </c>
      <c r="L542" s="52" t="s">
        <v>34</v>
      </c>
      <c r="M542" s="44">
        <v>0</v>
      </c>
      <c r="N542" s="45">
        <v>43131</v>
      </c>
    </row>
    <row r="543" spans="1:20" ht="15" customHeight="1" x14ac:dyDescent="0.2">
      <c r="A543" s="59" t="s">
        <v>5854</v>
      </c>
      <c r="B543" s="60" t="s">
        <v>5974</v>
      </c>
      <c r="C543" s="60" t="s">
        <v>5975</v>
      </c>
      <c r="D543" s="40">
        <v>43046</v>
      </c>
      <c r="E543" s="61" t="s">
        <v>3496</v>
      </c>
      <c r="F543" s="62" t="s">
        <v>3496</v>
      </c>
      <c r="G543" s="63" t="s">
        <v>253</v>
      </c>
      <c r="H543" s="64" t="s">
        <v>2715</v>
      </c>
      <c r="I543" s="64" t="s">
        <v>2713</v>
      </c>
      <c r="J543" s="63" t="s">
        <v>533</v>
      </c>
      <c r="K543" s="64" t="s">
        <v>1780</v>
      </c>
      <c r="L543" s="63" t="s">
        <v>403</v>
      </c>
      <c r="M543" s="63" t="s">
        <v>5781</v>
      </c>
      <c r="N543" s="65">
        <v>45443</v>
      </c>
      <c r="O543"/>
      <c r="P543"/>
      <c r="Q543"/>
      <c r="R543"/>
      <c r="S543"/>
      <c r="T543"/>
    </row>
    <row r="544" spans="1:20" customFormat="1" ht="14.45" customHeight="1" x14ac:dyDescent="0.2">
      <c r="A544" s="59" t="s">
        <v>5172</v>
      </c>
      <c r="B544" s="60" t="s">
        <v>1382</v>
      </c>
      <c r="C544" s="60" t="s">
        <v>4500</v>
      </c>
      <c r="D544" s="40">
        <v>43046</v>
      </c>
      <c r="E544" s="61">
        <v>1200</v>
      </c>
      <c r="F544" s="62">
        <v>1200</v>
      </c>
      <c r="G544" s="63" t="s">
        <v>253</v>
      </c>
      <c r="H544" s="64" t="s">
        <v>2716</v>
      </c>
      <c r="I544" s="64" t="s">
        <v>2713</v>
      </c>
      <c r="J544" s="63" t="s">
        <v>532</v>
      </c>
      <c r="K544" s="64" t="s">
        <v>1081</v>
      </c>
      <c r="L544" s="63" t="s">
        <v>87</v>
      </c>
      <c r="M544" s="63" t="s">
        <v>5781</v>
      </c>
      <c r="N544" s="65">
        <v>45626</v>
      </c>
    </row>
    <row r="545" spans="1:21" ht="15" customHeight="1" x14ac:dyDescent="0.2">
      <c r="A545" s="59" t="s">
        <v>2331</v>
      </c>
      <c r="B545" s="42" t="s">
        <v>1264</v>
      </c>
      <c r="C545" s="42" t="s">
        <v>1348</v>
      </c>
      <c r="D545" s="40">
        <v>43102</v>
      </c>
      <c r="E545" s="41">
        <v>20</v>
      </c>
      <c r="F545" s="46">
        <v>20</v>
      </c>
      <c r="G545" s="44" t="s">
        <v>55</v>
      </c>
      <c r="H545" s="43" t="s">
        <v>2806</v>
      </c>
      <c r="I545" s="43" t="s">
        <v>2713</v>
      </c>
      <c r="J545" s="44" t="s">
        <v>539</v>
      </c>
      <c r="K545" s="48" t="s">
        <v>1356</v>
      </c>
      <c r="L545" s="52" t="s">
        <v>673</v>
      </c>
      <c r="M545" s="44">
        <v>0</v>
      </c>
      <c r="N545" s="45">
        <v>43159</v>
      </c>
    </row>
    <row r="546" spans="1:21" ht="15" customHeight="1" x14ac:dyDescent="0.2">
      <c r="A546" s="59" t="s">
        <v>2474</v>
      </c>
      <c r="B546" s="42" t="s">
        <v>1350</v>
      </c>
      <c r="C546" s="42" t="s">
        <v>1351</v>
      </c>
      <c r="D546" s="40">
        <v>43118</v>
      </c>
      <c r="E546" s="54" t="s">
        <v>54</v>
      </c>
      <c r="F546" s="51" t="s">
        <v>54</v>
      </c>
      <c r="G546" s="44" t="s">
        <v>256</v>
      </c>
      <c r="H546" s="43" t="s">
        <v>2728</v>
      </c>
      <c r="I546" s="43" t="s">
        <v>2713</v>
      </c>
      <c r="J546" s="44" t="s">
        <v>531</v>
      </c>
      <c r="K546" s="48" t="s">
        <v>1357</v>
      </c>
      <c r="L546" s="52" t="s">
        <v>157</v>
      </c>
      <c r="M546" s="44">
        <v>0</v>
      </c>
      <c r="N546" s="45">
        <v>44804</v>
      </c>
    </row>
    <row r="547" spans="1:21" ht="15" customHeight="1" x14ac:dyDescent="0.2">
      <c r="A547" s="59" t="s">
        <v>2332</v>
      </c>
      <c r="B547" s="42" t="s">
        <v>1273</v>
      </c>
      <c r="C547" s="42" t="s">
        <v>1352</v>
      </c>
      <c r="D547" s="40">
        <v>43119</v>
      </c>
      <c r="E547" s="41">
        <v>20</v>
      </c>
      <c r="F547" s="46">
        <v>20</v>
      </c>
      <c r="G547" s="44" t="s">
        <v>55</v>
      </c>
      <c r="H547" s="43" t="s">
        <v>2716</v>
      </c>
      <c r="I547" s="43" t="s">
        <v>2713</v>
      </c>
      <c r="J547" s="44" t="s">
        <v>532</v>
      </c>
      <c r="K547" s="48" t="s">
        <v>1408</v>
      </c>
      <c r="L547" s="52" t="s">
        <v>87</v>
      </c>
      <c r="M547" s="44">
        <v>0</v>
      </c>
      <c r="N547" s="45">
        <v>43220</v>
      </c>
    </row>
    <row r="548" spans="1:21" ht="15" customHeight="1" x14ac:dyDescent="0.2">
      <c r="A548" s="59" t="s">
        <v>5174</v>
      </c>
      <c r="B548" s="42" t="s">
        <v>1355</v>
      </c>
      <c r="C548" s="42" t="s">
        <v>1354</v>
      </c>
      <c r="D548" s="40">
        <v>43126</v>
      </c>
      <c r="E548" s="41">
        <v>125</v>
      </c>
      <c r="F548" s="46">
        <v>125</v>
      </c>
      <c r="G548" s="44" t="s">
        <v>55</v>
      </c>
      <c r="H548" s="43" t="s">
        <v>2735</v>
      </c>
      <c r="I548" s="43" t="s">
        <v>2713</v>
      </c>
      <c r="J548" s="44" t="s">
        <v>420</v>
      </c>
      <c r="K548" s="48" t="s">
        <v>4070</v>
      </c>
      <c r="L548" s="52" t="s">
        <v>41</v>
      </c>
      <c r="M548" s="44" t="s">
        <v>5781</v>
      </c>
      <c r="N548" s="45">
        <v>45473</v>
      </c>
    </row>
    <row r="549" spans="1:21" ht="15" customHeight="1" x14ac:dyDescent="0.2">
      <c r="A549" s="59" t="s">
        <v>2333</v>
      </c>
      <c r="B549" s="42" t="s">
        <v>1273</v>
      </c>
      <c r="C549" s="42" t="s">
        <v>1353</v>
      </c>
      <c r="D549" s="40">
        <v>43129</v>
      </c>
      <c r="E549" s="41">
        <v>150</v>
      </c>
      <c r="F549" s="46">
        <v>150</v>
      </c>
      <c r="G549" s="44" t="s">
        <v>55</v>
      </c>
      <c r="H549" s="43" t="s">
        <v>2716</v>
      </c>
      <c r="I549" s="43" t="s">
        <v>2713</v>
      </c>
      <c r="J549" s="44" t="s">
        <v>532</v>
      </c>
      <c r="K549" s="48" t="s">
        <v>1427</v>
      </c>
      <c r="L549" s="52" t="s">
        <v>87</v>
      </c>
      <c r="M549" s="44">
        <v>0</v>
      </c>
      <c r="N549" s="45">
        <v>43281</v>
      </c>
    </row>
    <row r="550" spans="1:21" ht="15" customHeight="1" x14ac:dyDescent="0.2">
      <c r="A550" s="59" t="s">
        <v>2334</v>
      </c>
      <c r="B550" s="42" t="s">
        <v>1362</v>
      </c>
      <c r="C550" s="42" t="s">
        <v>1363</v>
      </c>
      <c r="D550" s="40">
        <v>43133</v>
      </c>
      <c r="E550" s="41">
        <v>20</v>
      </c>
      <c r="F550" s="46">
        <v>20</v>
      </c>
      <c r="G550" s="44" t="s">
        <v>55</v>
      </c>
      <c r="H550" s="43" t="s">
        <v>2717</v>
      </c>
      <c r="I550" s="43" t="s">
        <v>2713</v>
      </c>
      <c r="J550" s="44" t="s">
        <v>539</v>
      </c>
      <c r="K550" s="48" t="s">
        <v>1409</v>
      </c>
      <c r="L550" s="52" t="s">
        <v>673</v>
      </c>
      <c r="M550" s="44">
        <v>0</v>
      </c>
      <c r="N550" s="45">
        <v>43190</v>
      </c>
    </row>
    <row r="551" spans="1:21" ht="15" customHeight="1" x14ac:dyDescent="0.2">
      <c r="A551" s="59" t="s">
        <v>2335</v>
      </c>
      <c r="B551" s="42" t="s">
        <v>1362</v>
      </c>
      <c r="C551" s="42" t="s">
        <v>1364</v>
      </c>
      <c r="D551" s="40">
        <v>43133</v>
      </c>
      <c r="E551" s="41">
        <v>20</v>
      </c>
      <c r="F551" s="46">
        <v>20</v>
      </c>
      <c r="G551" s="44" t="s">
        <v>55</v>
      </c>
      <c r="H551" s="43" t="s">
        <v>2717</v>
      </c>
      <c r="I551" s="43" t="s">
        <v>2713</v>
      </c>
      <c r="J551" s="44" t="s">
        <v>539</v>
      </c>
      <c r="K551" s="48" t="s">
        <v>661</v>
      </c>
      <c r="L551" s="52" t="s">
        <v>1162</v>
      </c>
      <c r="M551" s="44">
        <v>0</v>
      </c>
      <c r="N551" s="45">
        <v>43190</v>
      </c>
      <c r="O551"/>
      <c r="P551"/>
      <c r="Q551"/>
      <c r="R551"/>
      <c r="S551"/>
      <c r="T551"/>
    </row>
    <row r="552" spans="1:21" ht="15" customHeight="1" x14ac:dyDescent="0.2">
      <c r="A552" s="59" t="s">
        <v>2336</v>
      </c>
      <c r="B552" s="42" t="s">
        <v>1362</v>
      </c>
      <c r="C552" s="42" t="s">
        <v>1365</v>
      </c>
      <c r="D552" s="40">
        <v>43133</v>
      </c>
      <c r="E552" s="41">
        <v>20</v>
      </c>
      <c r="F552" s="46">
        <v>20</v>
      </c>
      <c r="G552" s="44" t="s">
        <v>55</v>
      </c>
      <c r="H552" s="43" t="s">
        <v>2717</v>
      </c>
      <c r="I552" s="43" t="s">
        <v>2713</v>
      </c>
      <c r="J552" s="44" t="s">
        <v>539</v>
      </c>
      <c r="K552" s="48" t="s">
        <v>1410</v>
      </c>
      <c r="L552" s="52" t="s">
        <v>1162</v>
      </c>
      <c r="M552" s="44">
        <v>0</v>
      </c>
      <c r="N552" s="45">
        <v>43190</v>
      </c>
    </row>
    <row r="553" spans="1:21" ht="15" customHeight="1" x14ac:dyDescent="0.2">
      <c r="A553" s="59" t="s">
        <v>2337</v>
      </c>
      <c r="B553" s="42" t="s">
        <v>1362</v>
      </c>
      <c r="C553" s="42" t="s">
        <v>1366</v>
      </c>
      <c r="D553" s="40">
        <v>43133</v>
      </c>
      <c r="E553" s="41">
        <v>20</v>
      </c>
      <c r="F553" s="46">
        <v>20</v>
      </c>
      <c r="G553" s="44" t="s">
        <v>55</v>
      </c>
      <c r="H553" s="43" t="s">
        <v>2717</v>
      </c>
      <c r="I553" s="43" t="s">
        <v>2713</v>
      </c>
      <c r="J553" s="44" t="s">
        <v>539</v>
      </c>
      <c r="K553" s="48" t="s">
        <v>1410</v>
      </c>
      <c r="L553" s="52" t="s">
        <v>1162</v>
      </c>
      <c r="M553" s="44">
        <v>0</v>
      </c>
      <c r="N553" s="45">
        <v>43190</v>
      </c>
    </row>
    <row r="554" spans="1:21" ht="15" customHeight="1" x14ac:dyDescent="0.2">
      <c r="A554" s="59" t="s">
        <v>2338</v>
      </c>
      <c r="B554" s="42" t="s">
        <v>5976</v>
      </c>
      <c r="C554" s="42" t="s">
        <v>1368</v>
      </c>
      <c r="D554" s="40">
        <v>43138</v>
      </c>
      <c r="E554" s="41">
        <v>15</v>
      </c>
      <c r="F554" s="46">
        <v>15</v>
      </c>
      <c r="G554" s="44" t="s">
        <v>615</v>
      </c>
      <c r="H554" s="43" t="s">
        <v>2719</v>
      </c>
      <c r="I554" s="43" t="s">
        <v>2713</v>
      </c>
      <c r="J554" s="44" t="s">
        <v>533</v>
      </c>
      <c r="K554" s="48" t="s">
        <v>1411</v>
      </c>
      <c r="L554" s="52" t="s">
        <v>403</v>
      </c>
      <c r="M554" s="44">
        <v>0</v>
      </c>
      <c r="N554" s="45">
        <v>43190</v>
      </c>
      <c r="U554"/>
    </row>
    <row r="555" spans="1:21" customFormat="1" x14ac:dyDescent="0.2">
      <c r="A555" s="59" t="s">
        <v>2475</v>
      </c>
      <c r="B555" s="60" t="s">
        <v>1288</v>
      </c>
      <c r="C555" s="60" t="s">
        <v>1369</v>
      </c>
      <c r="D555" s="40">
        <v>43144</v>
      </c>
      <c r="E555" s="61">
        <v>515</v>
      </c>
      <c r="F555" s="62">
        <v>548</v>
      </c>
      <c r="G555" s="63" t="s">
        <v>339</v>
      </c>
      <c r="H555" s="64" t="s">
        <v>2735</v>
      </c>
      <c r="I555" s="64" t="s">
        <v>2749</v>
      </c>
      <c r="J555" s="63" t="s">
        <v>393</v>
      </c>
      <c r="K555" s="64" t="s">
        <v>1545</v>
      </c>
      <c r="L555" s="63" t="s">
        <v>34</v>
      </c>
      <c r="M555" s="44">
        <v>0</v>
      </c>
      <c r="N555" s="65">
        <v>44957</v>
      </c>
      <c r="O555" s="4"/>
      <c r="P555" s="4"/>
      <c r="Q555" s="4"/>
      <c r="R555" s="4"/>
      <c r="S555" s="4"/>
      <c r="T555" s="4"/>
      <c r="U555" s="4"/>
    </row>
    <row r="556" spans="1:21" ht="15" customHeight="1" x14ac:dyDescent="0.2">
      <c r="A556" s="59" t="s">
        <v>5855</v>
      </c>
      <c r="B556" s="60" t="s">
        <v>1367</v>
      </c>
      <c r="C556" s="60" t="s">
        <v>1370</v>
      </c>
      <c r="D556" s="40">
        <v>43147</v>
      </c>
      <c r="E556" s="61" t="s">
        <v>5782</v>
      </c>
      <c r="F556" s="62" t="s">
        <v>5782</v>
      </c>
      <c r="G556" s="63" t="s">
        <v>55</v>
      </c>
      <c r="H556" s="64" t="s">
        <v>2759</v>
      </c>
      <c r="I556" s="64" t="s">
        <v>2713</v>
      </c>
      <c r="J556" s="63" t="s">
        <v>539</v>
      </c>
      <c r="K556" s="64" t="s">
        <v>1383</v>
      </c>
      <c r="L556" s="63" t="s">
        <v>2558</v>
      </c>
      <c r="M556" s="63" t="s">
        <v>5781</v>
      </c>
      <c r="N556" s="65">
        <v>45443</v>
      </c>
      <c r="O556"/>
      <c r="P556"/>
      <c r="Q556"/>
      <c r="R556"/>
      <c r="S556"/>
      <c r="T556"/>
    </row>
    <row r="557" spans="1:21" ht="15" customHeight="1" x14ac:dyDescent="0.2">
      <c r="A557" s="59" t="s">
        <v>2477</v>
      </c>
      <c r="B557" s="60" t="s">
        <v>1319</v>
      </c>
      <c r="C557" s="60" t="s">
        <v>1375</v>
      </c>
      <c r="D557" s="40">
        <v>43168</v>
      </c>
      <c r="E557" s="61">
        <v>129</v>
      </c>
      <c r="F557" s="62">
        <v>129</v>
      </c>
      <c r="G557" s="63" t="s">
        <v>615</v>
      </c>
      <c r="H557" s="64" t="s">
        <v>2719</v>
      </c>
      <c r="I557" s="64" t="s">
        <v>2713</v>
      </c>
      <c r="J557" s="63" t="s">
        <v>533</v>
      </c>
      <c r="K557" s="64" t="s">
        <v>1566</v>
      </c>
      <c r="L557" s="63" t="s">
        <v>403</v>
      </c>
      <c r="M557" s="44">
        <v>0</v>
      </c>
      <c r="N557" s="65">
        <v>44957</v>
      </c>
    </row>
    <row r="558" spans="1:21" ht="15" customHeight="1" x14ac:dyDescent="0.2">
      <c r="A558" s="59" t="s">
        <v>2478</v>
      </c>
      <c r="B558" s="60" t="s">
        <v>1319</v>
      </c>
      <c r="C558" s="60" t="s">
        <v>1376</v>
      </c>
      <c r="D558" s="40">
        <v>43168</v>
      </c>
      <c r="E558" s="61">
        <v>129</v>
      </c>
      <c r="F558" s="62">
        <v>129</v>
      </c>
      <c r="G558" s="63" t="s">
        <v>615</v>
      </c>
      <c r="H558" s="64" t="s">
        <v>2719</v>
      </c>
      <c r="I558" s="64" t="s">
        <v>2713</v>
      </c>
      <c r="J558" s="63" t="s">
        <v>533</v>
      </c>
      <c r="K558" s="64" t="s">
        <v>4089</v>
      </c>
      <c r="L558" s="63" t="s">
        <v>403</v>
      </c>
      <c r="M558" s="44">
        <v>0</v>
      </c>
      <c r="N558" s="65">
        <v>44957</v>
      </c>
    </row>
    <row r="559" spans="1:21" ht="15" customHeight="1" x14ac:dyDescent="0.2">
      <c r="A559" s="59" t="s">
        <v>2479</v>
      </c>
      <c r="B559" s="42" t="s">
        <v>1319</v>
      </c>
      <c r="C559" s="42" t="s">
        <v>1377</v>
      </c>
      <c r="D559" s="40">
        <v>43168</v>
      </c>
      <c r="E559" s="41">
        <v>238.5</v>
      </c>
      <c r="F559" s="46">
        <v>243.8</v>
      </c>
      <c r="G559" s="44" t="s">
        <v>364</v>
      </c>
      <c r="H559" s="43" t="s">
        <v>2719</v>
      </c>
      <c r="I559" s="43" t="s">
        <v>2713</v>
      </c>
      <c r="J559" s="44" t="s">
        <v>533</v>
      </c>
      <c r="K559" s="48" t="s">
        <v>1566</v>
      </c>
      <c r="L559" s="52" t="s">
        <v>403</v>
      </c>
      <c r="M559" s="44">
        <v>0</v>
      </c>
      <c r="N559" s="45">
        <v>44957</v>
      </c>
    </row>
    <row r="560" spans="1:21" customFormat="1" ht="14.45" customHeight="1" x14ac:dyDescent="0.2">
      <c r="A560" s="59" t="s">
        <v>5176</v>
      </c>
      <c r="B560" s="60" t="s">
        <v>4059</v>
      </c>
      <c r="C560" s="60" t="s">
        <v>1378</v>
      </c>
      <c r="D560" s="40">
        <v>43172</v>
      </c>
      <c r="E560" s="61">
        <v>300</v>
      </c>
      <c r="F560" s="62">
        <v>300</v>
      </c>
      <c r="G560" s="63" t="s">
        <v>615</v>
      </c>
      <c r="H560" s="64" t="s">
        <v>2715</v>
      </c>
      <c r="I560" s="64" t="s">
        <v>2713</v>
      </c>
      <c r="J560" s="63" t="s">
        <v>533</v>
      </c>
      <c r="K560" s="64" t="s">
        <v>1780</v>
      </c>
      <c r="L560" s="63" t="s">
        <v>403</v>
      </c>
      <c r="M560" s="63" t="s">
        <v>5781</v>
      </c>
      <c r="N560" s="65">
        <v>45657</v>
      </c>
    </row>
    <row r="561" spans="1:20" ht="15" customHeight="1" x14ac:dyDescent="0.2">
      <c r="A561" s="59" t="s">
        <v>2481</v>
      </c>
      <c r="B561" s="42" t="s">
        <v>1382</v>
      </c>
      <c r="C561" s="42" t="s">
        <v>1379</v>
      </c>
      <c r="D561" s="40">
        <v>43174</v>
      </c>
      <c r="E561" s="41">
        <v>800</v>
      </c>
      <c r="F561" s="46">
        <v>800</v>
      </c>
      <c r="G561" s="44" t="s">
        <v>124</v>
      </c>
      <c r="H561" s="43" t="s">
        <v>2716</v>
      </c>
      <c r="I561" s="43" t="s">
        <v>2713</v>
      </c>
      <c r="J561" s="44" t="s">
        <v>532</v>
      </c>
      <c r="K561" s="48" t="s">
        <v>1081</v>
      </c>
      <c r="L561" s="52" t="s">
        <v>87</v>
      </c>
      <c r="M561" s="44">
        <v>0</v>
      </c>
      <c r="N561" s="45">
        <v>43982</v>
      </c>
    </row>
    <row r="562" spans="1:20" ht="14.25" customHeight="1" x14ac:dyDescent="0.2">
      <c r="A562" s="59" t="s">
        <v>2482</v>
      </c>
      <c r="B562" s="42" t="s">
        <v>1382</v>
      </c>
      <c r="C562" s="42" t="s">
        <v>5977</v>
      </c>
      <c r="D562" s="40">
        <v>43174</v>
      </c>
      <c r="E562" s="41">
        <v>800</v>
      </c>
      <c r="F562" s="46">
        <v>800</v>
      </c>
      <c r="G562" s="44" t="s">
        <v>124</v>
      </c>
      <c r="H562" s="43" t="s">
        <v>2715</v>
      </c>
      <c r="I562" s="43" t="s">
        <v>2713</v>
      </c>
      <c r="J562" s="44" t="s">
        <v>533</v>
      </c>
      <c r="K562" s="48" t="s">
        <v>279</v>
      </c>
      <c r="L562" s="52" t="s">
        <v>403</v>
      </c>
      <c r="M562" s="44">
        <v>0</v>
      </c>
      <c r="N562" s="45">
        <v>43982</v>
      </c>
    </row>
    <row r="563" spans="1:20" ht="15" customHeight="1" x14ac:dyDescent="0.2">
      <c r="A563" s="59" t="s">
        <v>2339</v>
      </c>
      <c r="B563" s="42" t="s">
        <v>1412</v>
      </c>
      <c r="C563" s="42" t="s">
        <v>1413</v>
      </c>
      <c r="D563" s="40">
        <v>43200</v>
      </c>
      <c r="E563" s="41">
        <v>160</v>
      </c>
      <c r="F563" s="46">
        <v>160</v>
      </c>
      <c r="G563" s="44" t="s">
        <v>55</v>
      </c>
      <c r="H563" s="43" t="s">
        <v>2718</v>
      </c>
      <c r="I563" s="43" t="s">
        <v>2713</v>
      </c>
      <c r="J563" s="44" t="s">
        <v>539</v>
      </c>
      <c r="K563" s="48" t="s">
        <v>1276</v>
      </c>
      <c r="L563" s="52" t="s">
        <v>157</v>
      </c>
      <c r="M563" s="44">
        <v>0</v>
      </c>
      <c r="N563" s="45">
        <v>43312</v>
      </c>
    </row>
    <row r="564" spans="1:20" ht="15" customHeight="1" x14ac:dyDescent="0.2">
      <c r="A564" s="59" t="s">
        <v>5178</v>
      </c>
      <c r="B564" s="42" t="s">
        <v>1414</v>
      </c>
      <c r="C564" s="42" t="s">
        <v>1415</v>
      </c>
      <c r="D564" s="40">
        <v>43215</v>
      </c>
      <c r="E564" s="41">
        <v>100.8</v>
      </c>
      <c r="F564" s="46">
        <v>100.8</v>
      </c>
      <c r="G564" s="44" t="s">
        <v>124</v>
      </c>
      <c r="H564" s="43" t="s">
        <v>2753</v>
      </c>
      <c r="I564" s="43" t="s">
        <v>2713</v>
      </c>
      <c r="J564" s="44" t="s">
        <v>530</v>
      </c>
      <c r="K564" s="48" t="s">
        <v>1416</v>
      </c>
      <c r="L564" s="52" t="s">
        <v>34</v>
      </c>
      <c r="M564" s="44" t="s">
        <v>5781</v>
      </c>
      <c r="N564" s="45">
        <v>46173</v>
      </c>
    </row>
    <row r="565" spans="1:20" ht="15" customHeight="1" x14ac:dyDescent="0.2">
      <c r="A565" s="59" t="s">
        <v>2340</v>
      </c>
      <c r="B565" s="42" t="s">
        <v>5978</v>
      </c>
      <c r="C565" s="42" t="s">
        <v>1418</v>
      </c>
      <c r="D565" s="40">
        <v>43224</v>
      </c>
      <c r="E565" s="41">
        <v>10</v>
      </c>
      <c r="F565" s="46">
        <v>10</v>
      </c>
      <c r="G565" s="44" t="s">
        <v>615</v>
      </c>
      <c r="H565" s="43" t="s">
        <v>2759</v>
      </c>
      <c r="I565" s="43" t="s">
        <v>2713</v>
      </c>
      <c r="J565" s="44" t="s">
        <v>471</v>
      </c>
      <c r="K565" s="48" t="s">
        <v>1474</v>
      </c>
      <c r="L565" s="52" t="s">
        <v>157</v>
      </c>
      <c r="M565" s="44">
        <v>0</v>
      </c>
      <c r="N565" s="45">
        <v>43434</v>
      </c>
    </row>
    <row r="566" spans="1:20" ht="15" customHeight="1" x14ac:dyDescent="0.2">
      <c r="A566" s="59" t="s">
        <v>2341</v>
      </c>
      <c r="B566" s="42" t="s">
        <v>5978</v>
      </c>
      <c r="C566" s="42" t="s">
        <v>1475</v>
      </c>
      <c r="D566" s="40">
        <v>43224</v>
      </c>
      <c r="E566" s="41">
        <v>1</v>
      </c>
      <c r="F566" s="46">
        <v>1</v>
      </c>
      <c r="G566" s="44" t="s">
        <v>55</v>
      </c>
      <c r="H566" s="43" t="s">
        <v>2759</v>
      </c>
      <c r="I566" s="43" t="s">
        <v>2713</v>
      </c>
      <c r="J566" s="44" t="s">
        <v>471</v>
      </c>
      <c r="K566" s="48" t="s">
        <v>1476</v>
      </c>
      <c r="L566" s="52" t="s">
        <v>157</v>
      </c>
      <c r="M566" s="44">
        <v>0</v>
      </c>
      <c r="N566" s="45">
        <v>43281</v>
      </c>
    </row>
    <row r="567" spans="1:20" ht="15" customHeight="1" x14ac:dyDescent="0.2">
      <c r="A567" s="59" t="s">
        <v>5856</v>
      </c>
      <c r="B567" s="60" t="s">
        <v>1422</v>
      </c>
      <c r="C567" s="60" t="s">
        <v>1419</v>
      </c>
      <c r="D567" s="40">
        <v>43238</v>
      </c>
      <c r="E567" s="61" t="s">
        <v>5798</v>
      </c>
      <c r="F567" s="62" t="s">
        <v>5798</v>
      </c>
      <c r="G567" s="63" t="s">
        <v>55</v>
      </c>
      <c r="H567" s="64" t="s">
        <v>2788</v>
      </c>
      <c r="I567" s="64" t="s">
        <v>2713</v>
      </c>
      <c r="J567" s="63" t="s">
        <v>530</v>
      </c>
      <c r="K567" s="64" t="s">
        <v>3666</v>
      </c>
      <c r="L567" s="63" t="s">
        <v>157</v>
      </c>
      <c r="M567" s="63" t="s">
        <v>5781</v>
      </c>
      <c r="N567" s="65">
        <v>45443</v>
      </c>
      <c r="O567"/>
      <c r="P567"/>
      <c r="Q567"/>
      <c r="R567"/>
      <c r="S567"/>
      <c r="T567"/>
    </row>
    <row r="568" spans="1:20" ht="15" customHeight="1" x14ac:dyDescent="0.2">
      <c r="A568" s="59" t="s">
        <v>2342</v>
      </c>
      <c r="B568" s="42" t="s">
        <v>1421</v>
      </c>
      <c r="C568" s="42" t="s">
        <v>1285</v>
      </c>
      <c r="D568" s="40">
        <v>43251</v>
      </c>
      <c r="E568" s="41">
        <v>19.899999999999999</v>
      </c>
      <c r="F568" s="46">
        <v>19.899999999999999</v>
      </c>
      <c r="G568" s="44" t="s">
        <v>55</v>
      </c>
      <c r="H568" s="43" t="s">
        <v>2758</v>
      </c>
      <c r="I568" s="43" t="s">
        <v>2713</v>
      </c>
      <c r="J568" s="44" t="s">
        <v>540</v>
      </c>
      <c r="K568" s="48" t="s">
        <v>2343</v>
      </c>
      <c r="L568" s="52" t="s">
        <v>34</v>
      </c>
      <c r="M568" s="44">
        <v>0</v>
      </c>
      <c r="N568" s="45">
        <v>43404</v>
      </c>
    </row>
    <row r="569" spans="1:20" ht="15" customHeight="1" x14ac:dyDescent="0.2">
      <c r="A569" s="59" t="s">
        <v>2344</v>
      </c>
      <c r="B569" s="42" t="s">
        <v>1420</v>
      </c>
      <c r="C569" s="42" t="s">
        <v>1227</v>
      </c>
      <c r="D569" s="40">
        <v>43251</v>
      </c>
      <c r="E569" s="41">
        <v>19.899999999999999</v>
      </c>
      <c r="F569" s="46">
        <v>19.899999999999999</v>
      </c>
      <c r="G569" s="44" t="s">
        <v>55</v>
      </c>
      <c r="H569" s="43" t="s">
        <v>2805</v>
      </c>
      <c r="I569" s="43" t="s">
        <v>2713</v>
      </c>
      <c r="J569" s="44" t="s">
        <v>393</v>
      </c>
      <c r="K569" s="48" t="s">
        <v>1466</v>
      </c>
      <c r="L569" s="52" t="s">
        <v>34</v>
      </c>
      <c r="M569" s="44">
        <v>0</v>
      </c>
      <c r="N569" s="45">
        <v>43434</v>
      </c>
    </row>
    <row r="570" spans="1:20" ht="15" customHeight="1" x14ac:dyDescent="0.2">
      <c r="A570" s="59" t="s">
        <v>2484</v>
      </c>
      <c r="B570" s="42" t="s">
        <v>1428</v>
      </c>
      <c r="C570" s="42" t="s">
        <v>1583</v>
      </c>
      <c r="D570" s="40">
        <v>43252</v>
      </c>
      <c r="E570" s="41">
        <v>20</v>
      </c>
      <c r="F570" s="46">
        <v>20</v>
      </c>
      <c r="G570" s="44" t="s">
        <v>55</v>
      </c>
      <c r="H570" s="43" t="s">
        <v>2717</v>
      </c>
      <c r="I570" s="43" t="s">
        <v>2713</v>
      </c>
      <c r="J570" s="44" t="s">
        <v>539</v>
      </c>
      <c r="K570" s="48" t="s">
        <v>1467</v>
      </c>
      <c r="L570" s="52" t="s">
        <v>1162</v>
      </c>
      <c r="M570" s="44">
        <v>0</v>
      </c>
      <c r="N570" s="45">
        <v>43982</v>
      </c>
    </row>
    <row r="571" spans="1:20" ht="15" customHeight="1" x14ac:dyDescent="0.2">
      <c r="A571" s="59" t="s">
        <v>2345</v>
      </c>
      <c r="B571" s="42" t="s">
        <v>1428</v>
      </c>
      <c r="C571" s="42" t="s">
        <v>1584</v>
      </c>
      <c r="D571" s="40">
        <v>43252</v>
      </c>
      <c r="E571" s="41">
        <v>20</v>
      </c>
      <c r="F571" s="46">
        <v>20</v>
      </c>
      <c r="G571" s="44" t="s">
        <v>55</v>
      </c>
      <c r="H571" s="43" t="s">
        <v>2717</v>
      </c>
      <c r="I571" s="43" t="s">
        <v>2713</v>
      </c>
      <c r="J571" s="44" t="s">
        <v>539</v>
      </c>
      <c r="K571" s="48" t="s">
        <v>1459</v>
      </c>
      <c r="L571" s="52" t="s">
        <v>1162</v>
      </c>
      <c r="M571" s="44">
        <v>0</v>
      </c>
      <c r="N571" s="45">
        <v>43677</v>
      </c>
    </row>
    <row r="572" spans="1:20" ht="15" customHeight="1" x14ac:dyDescent="0.2">
      <c r="A572" s="59" t="s">
        <v>2485</v>
      </c>
      <c r="B572" s="42" t="s">
        <v>1428</v>
      </c>
      <c r="C572" s="42" t="s">
        <v>1585</v>
      </c>
      <c r="D572" s="40">
        <v>43252</v>
      </c>
      <c r="E572" s="41">
        <v>20</v>
      </c>
      <c r="F572" s="46">
        <v>20</v>
      </c>
      <c r="G572" s="44" t="s">
        <v>55</v>
      </c>
      <c r="H572" s="43" t="s">
        <v>2766</v>
      </c>
      <c r="I572" s="43" t="s">
        <v>2713</v>
      </c>
      <c r="J572" s="44" t="s">
        <v>393</v>
      </c>
      <c r="K572" s="48" t="s">
        <v>1460</v>
      </c>
      <c r="L572" s="52" t="s">
        <v>34</v>
      </c>
      <c r="M572" s="44">
        <v>0</v>
      </c>
      <c r="N572" s="45">
        <v>44347</v>
      </c>
    </row>
    <row r="573" spans="1:20" ht="15" customHeight="1" x14ac:dyDescent="0.2">
      <c r="A573" s="59" t="s">
        <v>2486</v>
      </c>
      <c r="B573" s="60" t="s">
        <v>1429</v>
      </c>
      <c r="C573" s="60" t="s">
        <v>1432</v>
      </c>
      <c r="D573" s="40">
        <v>43258</v>
      </c>
      <c r="E573" s="61">
        <v>50</v>
      </c>
      <c r="F573" s="62">
        <v>50</v>
      </c>
      <c r="G573" s="63" t="s">
        <v>55</v>
      </c>
      <c r="H573" s="64" t="s">
        <v>2772</v>
      </c>
      <c r="I573" s="64" t="s">
        <v>2713</v>
      </c>
      <c r="J573" s="63" t="s">
        <v>393</v>
      </c>
      <c r="K573" s="64" t="s">
        <v>1753</v>
      </c>
      <c r="L573" s="63" t="s">
        <v>157</v>
      </c>
      <c r="M573" s="44">
        <v>0</v>
      </c>
      <c r="N573" s="65">
        <v>44957</v>
      </c>
    </row>
    <row r="574" spans="1:20" ht="15" customHeight="1" x14ac:dyDescent="0.2">
      <c r="A574" s="59" t="s">
        <v>2487</v>
      </c>
      <c r="B574" s="60" t="s">
        <v>1430</v>
      </c>
      <c r="C574" s="60" t="s">
        <v>1433</v>
      </c>
      <c r="D574" s="40">
        <v>43258</v>
      </c>
      <c r="E574" s="61">
        <v>40</v>
      </c>
      <c r="F574" s="62">
        <v>40</v>
      </c>
      <c r="G574" s="63" t="s">
        <v>55</v>
      </c>
      <c r="H574" s="64" t="s">
        <v>2736</v>
      </c>
      <c r="I574" s="64" t="s">
        <v>2713</v>
      </c>
      <c r="J574" s="63" t="s">
        <v>471</v>
      </c>
      <c r="K574" s="64" t="s">
        <v>1462</v>
      </c>
      <c r="L574" s="63" t="s">
        <v>157</v>
      </c>
      <c r="M574" s="44">
        <v>0</v>
      </c>
      <c r="N574" s="65">
        <v>44957</v>
      </c>
    </row>
    <row r="575" spans="1:20" ht="15" customHeight="1" x14ac:dyDescent="0.2">
      <c r="A575" s="59" t="s">
        <v>2489</v>
      </c>
      <c r="B575" s="42" t="s">
        <v>1423</v>
      </c>
      <c r="C575" s="42" t="s">
        <v>1446</v>
      </c>
      <c r="D575" s="40">
        <v>43258</v>
      </c>
      <c r="E575" s="41">
        <v>20</v>
      </c>
      <c r="F575" s="46">
        <v>20</v>
      </c>
      <c r="G575" s="44" t="s">
        <v>55</v>
      </c>
      <c r="H575" s="43" t="s">
        <v>2640</v>
      </c>
      <c r="I575" s="43" t="s">
        <v>2713</v>
      </c>
      <c r="J575" s="44" t="s">
        <v>393</v>
      </c>
      <c r="K575" s="48" t="s">
        <v>2844</v>
      </c>
      <c r="L575" s="52" t="s">
        <v>191</v>
      </c>
      <c r="M575" s="49">
        <v>0</v>
      </c>
      <c r="N575" s="45">
        <v>44255</v>
      </c>
    </row>
    <row r="576" spans="1:20" ht="15" customHeight="1" x14ac:dyDescent="0.2">
      <c r="A576" s="59" t="s">
        <v>2346</v>
      </c>
      <c r="B576" s="42" t="s">
        <v>1436</v>
      </c>
      <c r="C576" s="42" t="s">
        <v>1447</v>
      </c>
      <c r="D576" s="40">
        <v>43259</v>
      </c>
      <c r="E576" s="41">
        <v>19.899999999999999</v>
      </c>
      <c r="F576" s="46">
        <v>19.899999999999999</v>
      </c>
      <c r="G576" s="44" t="s">
        <v>55</v>
      </c>
      <c r="H576" s="43" t="s">
        <v>2744</v>
      </c>
      <c r="I576" s="43" t="s">
        <v>2713</v>
      </c>
      <c r="J576" s="44" t="s">
        <v>530</v>
      </c>
      <c r="K576" s="48" t="s">
        <v>1468</v>
      </c>
      <c r="L576" s="52" t="s">
        <v>157</v>
      </c>
      <c r="M576" s="44">
        <v>0</v>
      </c>
      <c r="N576" s="45">
        <v>43585</v>
      </c>
    </row>
    <row r="577" spans="1:21" ht="15" customHeight="1" x14ac:dyDescent="0.2">
      <c r="A577" s="59" t="s">
        <v>2347</v>
      </c>
      <c r="B577" s="42" t="s">
        <v>1437</v>
      </c>
      <c r="C577" s="42" t="s">
        <v>1448</v>
      </c>
      <c r="D577" s="40">
        <v>43259</v>
      </c>
      <c r="E577" s="41">
        <v>25</v>
      </c>
      <c r="F577" s="46">
        <v>25</v>
      </c>
      <c r="G577" s="44" t="s">
        <v>55</v>
      </c>
      <c r="H577" s="43" t="s">
        <v>2794</v>
      </c>
      <c r="I577" s="43" t="s">
        <v>2713</v>
      </c>
      <c r="J577" s="44" t="s">
        <v>539</v>
      </c>
      <c r="K577" s="48" t="s">
        <v>1484</v>
      </c>
      <c r="L577" s="52" t="s">
        <v>34</v>
      </c>
      <c r="M577" s="44">
        <v>0</v>
      </c>
      <c r="N577" s="45">
        <v>43434</v>
      </c>
    </row>
    <row r="578" spans="1:21" ht="15" customHeight="1" x14ac:dyDescent="0.2">
      <c r="A578" s="59" t="s">
        <v>2348</v>
      </c>
      <c r="B578" s="42" t="s">
        <v>1438</v>
      </c>
      <c r="C578" s="42" t="s">
        <v>1449</v>
      </c>
      <c r="D578" s="40">
        <v>43259</v>
      </c>
      <c r="E578" s="41">
        <v>24.9</v>
      </c>
      <c r="F578" s="46">
        <v>24.9</v>
      </c>
      <c r="G578" s="44" t="s">
        <v>55</v>
      </c>
      <c r="H578" s="43" t="s">
        <v>2731</v>
      </c>
      <c r="I578" s="43" t="s">
        <v>2713</v>
      </c>
      <c r="J578" s="44" t="s">
        <v>531</v>
      </c>
      <c r="K578" s="48" t="s">
        <v>1485</v>
      </c>
      <c r="L578" s="52" t="s">
        <v>157</v>
      </c>
      <c r="M578" s="44">
        <v>0</v>
      </c>
      <c r="N578" s="45">
        <v>43434</v>
      </c>
    </row>
    <row r="579" spans="1:21" ht="15" customHeight="1" x14ac:dyDescent="0.2">
      <c r="A579" s="59" t="s">
        <v>2349</v>
      </c>
      <c r="B579" s="42" t="s">
        <v>1439</v>
      </c>
      <c r="C579" s="42" t="s">
        <v>1450</v>
      </c>
      <c r="D579" s="40">
        <v>43259</v>
      </c>
      <c r="E579" s="41">
        <v>24.9</v>
      </c>
      <c r="F579" s="46">
        <v>24.9</v>
      </c>
      <c r="G579" s="44" t="s">
        <v>55</v>
      </c>
      <c r="H579" s="43" t="s">
        <v>2722</v>
      </c>
      <c r="I579" s="43" t="s">
        <v>2713</v>
      </c>
      <c r="J579" s="44" t="s">
        <v>531</v>
      </c>
      <c r="K579" s="48" t="s">
        <v>1486</v>
      </c>
      <c r="L579" s="52" t="s">
        <v>157</v>
      </c>
      <c r="M579" s="44">
        <v>0</v>
      </c>
      <c r="N579" s="45">
        <v>43373</v>
      </c>
    </row>
    <row r="580" spans="1:21" ht="15" customHeight="1" x14ac:dyDescent="0.2">
      <c r="A580" s="59" t="s">
        <v>2350</v>
      </c>
      <c r="B580" s="42" t="s">
        <v>1440</v>
      </c>
      <c r="C580" s="42" t="s">
        <v>1451</v>
      </c>
      <c r="D580" s="40">
        <v>43262</v>
      </c>
      <c r="E580" s="41">
        <v>24.9</v>
      </c>
      <c r="F580" s="46">
        <v>24.9</v>
      </c>
      <c r="G580" s="44" t="s">
        <v>55</v>
      </c>
      <c r="H580" s="43" t="s">
        <v>2775</v>
      </c>
      <c r="I580" s="43" t="s">
        <v>2713</v>
      </c>
      <c r="J580" s="44" t="s">
        <v>531</v>
      </c>
      <c r="K580" s="48" t="s">
        <v>1470</v>
      </c>
      <c r="L580" s="52" t="s">
        <v>34</v>
      </c>
      <c r="M580" s="44">
        <v>0</v>
      </c>
      <c r="N580" s="45">
        <v>43373</v>
      </c>
    </row>
    <row r="581" spans="1:21" ht="15" customHeight="1" x14ac:dyDescent="0.2">
      <c r="A581" s="59" t="s">
        <v>2351</v>
      </c>
      <c r="B581" s="42" t="s">
        <v>1428</v>
      </c>
      <c r="C581" s="42" t="s">
        <v>1452</v>
      </c>
      <c r="D581" s="40">
        <v>43262</v>
      </c>
      <c r="E581" s="41">
        <v>20</v>
      </c>
      <c r="F581" s="46">
        <v>20</v>
      </c>
      <c r="G581" s="44" t="s">
        <v>55</v>
      </c>
      <c r="H581" s="43" t="s">
        <v>2735</v>
      </c>
      <c r="I581" s="43" t="s">
        <v>2713</v>
      </c>
      <c r="J581" s="44" t="s">
        <v>530</v>
      </c>
      <c r="K581" s="48" t="s">
        <v>1463</v>
      </c>
      <c r="L581" s="52" t="s">
        <v>34</v>
      </c>
      <c r="M581" s="44">
        <v>0</v>
      </c>
      <c r="N581" s="45">
        <v>43312</v>
      </c>
    </row>
    <row r="582" spans="1:21" customFormat="1" ht="15" customHeight="1" x14ac:dyDescent="0.2">
      <c r="A582" s="59" t="s">
        <v>2352</v>
      </c>
      <c r="B582" s="42" t="s">
        <v>1428</v>
      </c>
      <c r="C582" s="42" t="s">
        <v>1453</v>
      </c>
      <c r="D582" s="40">
        <v>43262</v>
      </c>
      <c r="E582" s="41">
        <v>20</v>
      </c>
      <c r="F582" s="46">
        <v>20</v>
      </c>
      <c r="G582" s="44" t="s">
        <v>55</v>
      </c>
      <c r="H582" s="43" t="s">
        <v>2788</v>
      </c>
      <c r="I582" s="43" t="s">
        <v>2713</v>
      </c>
      <c r="J582" s="44" t="s">
        <v>530</v>
      </c>
      <c r="K582" s="48" t="s">
        <v>1469</v>
      </c>
      <c r="L582" s="52" t="s">
        <v>157</v>
      </c>
      <c r="M582" s="44">
        <v>0</v>
      </c>
      <c r="N582" s="45">
        <v>43343</v>
      </c>
      <c r="O582" s="4"/>
      <c r="P582" s="4"/>
      <c r="Q582" s="4"/>
      <c r="R582" s="4"/>
      <c r="S582" s="4"/>
      <c r="T582" s="4"/>
      <c r="U582" s="4"/>
    </row>
    <row r="583" spans="1:21" ht="15" customHeight="1" x14ac:dyDescent="0.2">
      <c r="A583" s="59" t="s">
        <v>2353</v>
      </c>
      <c r="B583" s="42" t="s">
        <v>1441</v>
      </c>
      <c r="C583" s="42" t="s">
        <v>1454</v>
      </c>
      <c r="D583" s="40">
        <v>43262</v>
      </c>
      <c r="E583" s="41">
        <v>20</v>
      </c>
      <c r="F583" s="46">
        <v>20</v>
      </c>
      <c r="G583" s="44" t="s">
        <v>55</v>
      </c>
      <c r="H583" s="43" t="s">
        <v>2741</v>
      </c>
      <c r="I583" s="43" t="s">
        <v>2713</v>
      </c>
      <c r="J583" s="44" t="s">
        <v>531</v>
      </c>
      <c r="K583" s="48" t="s">
        <v>1464</v>
      </c>
      <c r="L583" s="52" t="s">
        <v>157</v>
      </c>
      <c r="M583" s="44">
        <v>0</v>
      </c>
      <c r="N583" s="45">
        <v>43465</v>
      </c>
    </row>
    <row r="584" spans="1:21" ht="15" customHeight="1" x14ac:dyDescent="0.2">
      <c r="A584" s="59" t="s">
        <v>2354</v>
      </c>
      <c r="B584" s="42" t="s">
        <v>1442</v>
      </c>
      <c r="C584" s="42" t="s">
        <v>1455</v>
      </c>
      <c r="D584" s="40">
        <v>43262</v>
      </c>
      <c r="E584" s="41">
        <v>19.899999999999999</v>
      </c>
      <c r="F584" s="46">
        <v>19.899999999999999</v>
      </c>
      <c r="G584" s="44" t="s">
        <v>55</v>
      </c>
      <c r="H584" s="43" t="s">
        <v>2098</v>
      </c>
      <c r="I584" s="43" t="s">
        <v>2713</v>
      </c>
      <c r="J584" s="44" t="s">
        <v>531</v>
      </c>
      <c r="K584" s="48" t="s">
        <v>1465</v>
      </c>
      <c r="L584" s="52" t="s">
        <v>351</v>
      </c>
      <c r="M584" s="44">
        <v>0</v>
      </c>
      <c r="N584" s="45">
        <v>43434</v>
      </c>
    </row>
    <row r="585" spans="1:21" ht="15" customHeight="1" x14ac:dyDescent="0.2">
      <c r="A585" s="59" t="s">
        <v>2355</v>
      </c>
      <c r="B585" s="42" t="s">
        <v>1435</v>
      </c>
      <c r="C585" s="42" t="s">
        <v>1457</v>
      </c>
      <c r="D585" s="40">
        <v>43263</v>
      </c>
      <c r="E585" s="41">
        <v>20</v>
      </c>
      <c r="F585" s="46">
        <v>20</v>
      </c>
      <c r="G585" s="44" t="s">
        <v>55</v>
      </c>
      <c r="H585" s="43" t="s">
        <v>2799</v>
      </c>
      <c r="I585" s="43" t="s">
        <v>2713</v>
      </c>
      <c r="J585" s="44" t="s">
        <v>393</v>
      </c>
      <c r="K585" s="48" t="s">
        <v>1505</v>
      </c>
      <c r="L585" s="52" t="s">
        <v>34</v>
      </c>
      <c r="M585" s="44">
        <v>0</v>
      </c>
      <c r="N585" s="45">
        <v>43434</v>
      </c>
    </row>
    <row r="586" spans="1:21" ht="15" customHeight="1" x14ac:dyDescent="0.2">
      <c r="A586" s="59" t="s">
        <v>2491</v>
      </c>
      <c r="B586" s="60" t="s">
        <v>3459</v>
      </c>
      <c r="C586" s="60" t="s">
        <v>4092</v>
      </c>
      <c r="D586" s="40">
        <v>43263</v>
      </c>
      <c r="E586" s="61">
        <v>816</v>
      </c>
      <c r="F586" s="62">
        <v>816</v>
      </c>
      <c r="G586" s="63" t="s">
        <v>124</v>
      </c>
      <c r="H586" s="64" t="s">
        <v>2716</v>
      </c>
      <c r="I586" s="64" t="s">
        <v>2713</v>
      </c>
      <c r="J586" s="63" t="s">
        <v>532</v>
      </c>
      <c r="K586" s="64" t="s">
        <v>4093</v>
      </c>
      <c r="L586" s="63" t="s">
        <v>87</v>
      </c>
      <c r="M586" s="44">
        <v>0</v>
      </c>
      <c r="N586" s="65">
        <v>44957</v>
      </c>
    </row>
    <row r="587" spans="1:21" ht="15" customHeight="1" x14ac:dyDescent="0.2">
      <c r="A587" s="59" t="s">
        <v>2356</v>
      </c>
      <c r="B587" s="42" t="s">
        <v>1445</v>
      </c>
      <c r="C587" s="42" t="s">
        <v>1458</v>
      </c>
      <c r="D587" s="40">
        <v>43263</v>
      </c>
      <c r="E587" s="41">
        <v>19.899999999999999</v>
      </c>
      <c r="F587" s="46">
        <v>19.899999999999999</v>
      </c>
      <c r="G587" s="44" t="s">
        <v>124</v>
      </c>
      <c r="H587" s="43" t="s">
        <v>2729</v>
      </c>
      <c r="I587" s="43" t="s">
        <v>2713</v>
      </c>
      <c r="J587" s="44" t="s">
        <v>393</v>
      </c>
      <c r="K587" s="48" t="s">
        <v>608</v>
      </c>
      <c r="L587" s="52" t="s">
        <v>157</v>
      </c>
      <c r="M587" s="44">
        <v>0</v>
      </c>
      <c r="N587" s="45">
        <v>43677</v>
      </c>
    </row>
    <row r="588" spans="1:21" ht="15" customHeight="1" x14ac:dyDescent="0.2">
      <c r="A588" s="59" t="s">
        <v>5857</v>
      </c>
      <c r="B588" s="60" t="s">
        <v>1471</v>
      </c>
      <c r="C588" s="60" t="s">
        <v>1472</v>
      </c>
      <c r="D588" s="40">
        <v>43269</v>
      </c>
      <c r="E588" s="61" t="s">
        <v>5799</v>
      </c>
      <c r="F588" s="62" t="s">
        <v>5799</v>
      </c>
      <c r="G588" s="63" t="s">
        <v>615</v>
      </c>
      <c r="H588" s="64" t="s">
        <v>2763</v>
      </c>
      <c r="I588" s="64" t="s">
        <v>2713</v>
      </c>
      <c r="J588" s="63" t="s">
        <v>393</v>
      </c>
      <c r="K588" s="64" t="s">
        <v>4502</v>
      </c>
      <c r="L588" s="63" t="s">
        <v>34</v>
      </c>
      <c r="M588" s="63" t="s">
        <v>5781</v>
      </c>
      <c r="N588" s="65">
        <v>45443</v>
      </c>
      <c r="O588"/>
      <c r="P588"/>
      <c r="Q588"/>
      <c r="R588"/>
      <c r="S588"/>
      <c r="T588"/>
    </row>
    <row r="589" spans="1:21" ht="15" customHeight="1" x14ac:dyDescent="0.2">
      <c r="A589" s="59" t="s">
        <v>2492</v>
      </c>
      <c r="B589" s="42" t="s">
        <v>1151</v>
      </c>
      <c r="C589" s="42" t="s">
        <v>1477</v>
      </c>
      <c r="D589" s="40">
        <v>43283</v>
      </c>
      <c r="E589" s="41">
        <v>10</v>
      </c>
      <c r="F589" s="46">
        <v>10</v>
      </c>
      <c r="G589" s="44" t="s">
        <v>615</v>
      </c>
      <c r="H589" s="43" t="s">
        <v>2763</v>
      </c>
      <c r="I589" s="43" t="s">
        <v>2713</v>
      </c>
      <c r="J589" s="44" t="s">
        <v>530</v>
      </c>
      <c r="K589" s="48" t="s">
        <v>1160</v>
      </c>
      <c r="L589" s="52" t="s">
        <v>34</v>
      </c>
      <c r="M589" s="44">
        <v>0</v>
      </c>
      <c r="N589" s="45">
        <v>43951</v>
      </c>
    </row>
    <row r="590" spans="1:21" ht="15" customHeight="1" x14ac:dyDescent="0.2">
      <c r="A590" s="59" t="s">
        <v>2493</v>
      </c>
      <c r="B590" s="42" t="s">
        <v>1483</v>
      </c>
      <c r="C590" s="42" t="s">
        <v>1368</v>
      </c>
      <c r="D590" s="40">
        <v>43286</v>
      </c>
      <c r="E590" s="41">
        <v>1.5</v>
      </c>
      <c r="F590" s="46">
        <v>1.5</v>
      </c>
      <c r="G590" s="44" t="s">
        <v>615</v>
      </c>
      <c r="H590" s="43" t="s">
        <v>2719</v>
      </c>
      <c r="I590" s="43" t="s">
        <v>2713</v>
      </c>
      <c r="J590" s="44" t="s">
        <v>533</v>
      </c>
      <c r="K590" s="48" t="s">
        <v>3670</v>
      </c>
      <c r="L590" s="52" t="s">
        <v>403</v>
      </c>
      <c r="M590" s="44">
        <v>0</v>
      </c>
      <c r="N590" s="45">
        <v>44592</v>
      </c>
    </row>
    <row r="591" spans="1:21" ht="15" customHeight="1" x14ac:dyDescent="0.2">
      <c r="A591" s="59" t="s">
        <v>2390</v>
      </c>
      <c r="B591" s="42" t="s">
        <v>1355</v>
      </c>
      <c r="C591" s="42" t="s">
        <v>1478</v>
      </c>
      <c r="D591" s="40">
        <v>43297</v>
      </c>
      <c r="E591" s="41">
        <v>20</v>
      </c>
      <c r="F591" s="46">
        <v>20</v>
      </c>
      <c r="G591" s="44" t="s">
        <v>55</v>
      </c>
      <c r="H591" s="43" t="s">
        <v>2732</v>
      </c>
      <c r="I591" s="43" t="s">
        <v>2713</v>
      </c>
      <c r="J591" s="44" t="s">
        <v>393</v>
      </c>
      <c r="K591" s="48" t="s">
        <v>1499</v>
      </c>
      <c r="L591" s="52" t="s">
        <v>34</v>
      </c>
      <c r="M591" s="44">
        <v>0</v>
      </c>
      <c r="N591" s="45">
        <v>43769</v>
      </c>
    </row>
    <row r="592" spans="1:21" ht="15" customHeight="1" x14ac:dyDescent="0.2">
      <c r="A592" s="59" t="s">
        <v>5186</v>
      </c>
      <c r="B592" s="42" t="s">
        <v>4094</v>
      </c>
      <c r="C592" s="42" t="s">
        <v>3511</v>
      </c>
      <c r="D592" s="40">
        <v>43299</v>
      </c>
      <c r="E592" s="41">
        <v>20</v>
      </c>
      <c r="F592" s="46">
        <v>20</v>
      </c>
      <c r="G592" s="44" t="s">
        <v>615</v>
      </c>
      <c r="H592" s="43" t="s">
        <v>2806</v>
      </c>
      <c r="I592" s="43" t="s">
        <v>2713</v>
      </c>
      <c r="J592" s="44" t="s">
        <v>539</v>
      </c>
      <c r="K592" s="48" t="s">
        <v>1500</v>
      </c>
      <c r="L592" s="52" t="s">
        <v>2558</v>
      </c>
      <c r="M592" s="44" t="s">
        <v>5781</v>
      </c>
      <c r="N592" s="45">
        <v>46053</v>
      </c>
    </row>
    <row r="593" spans="1:20" ht="15" customHeight="1" x14ac:dyDescent="0.2">
      <c r="A593" s="59" t="s">
        <v>5858</v>
      </c>
      <c r="B593" s="60" t="s">
        <v>1479</v>
      </c>
      <c r="C593" s="60" t="s">
        <v>1481</v>
      </c>
      <c r="D593" s="40">
        <v>43306</v>
      </c>
      <c r="E593" s="61" t="s">
        <v>5793</v>
      </c>
      <c r="F593" s="62" t="s">
        <v>5793</v>
      </c>
      <c r="G593" s="63" t="s">
        <v>615</v>
      </c>
      <c r="H593" s="64" t="s">
        <v>2717</v>
      </c>
      <c r="I593" s="64" t="s">
        <v>2713</v>
      </c>
      <c r="J593" s="63" t="s">
        <v>539</v>
      </c>
      <c r="K593" s="64" t="s">
        <v>4333</v>
      </c>
      <c r="L593" s="63" t="s">
        <v>1162</v>
      </c>
      <c r="M593" s="63" t="s">
        <v>5781</v>
      </c>
      <c r="N593" s="65">
        <v>45443</v>
      </c>
      <c r="O593"/>
      <c r="P593"/>
      <c r="Q593"/>
      <c r="R593"/>
      <c r="S593"/>
      <c r="T593"/>
    </row>
    <row r="594" spans="1:20" ht="15" customHeight="1" x14ac:dyDescent="0.2">
      <c r="A594" s="59" t="s">
        <v>2494</v>
      </c>
      <c r="B594" s="60" t="s">
        <v>4095</v>
      </c>
      <c r="C594" s="60" t="s">
        <v>3897</v>
      </c>
      <c r="D594" s="40">
        <v>43311</v>
      </c>
      <c r="E594" s="61">
        <v>150</v>
      </c>
      <c r="F594" s="62">
        <v>150</v>
      </c>
      <c r="G594" s="63" t="s">
        <v>615</v>
      </c>
      <c r="H594" s="64" t="s">
        <v>2716</v>
      </c>
      <c r="I594" s="64" t="s">
        <v>2713</v>
      </c>
      <c r="J594" s="63" t="s">
        <v>532</v>
      </c>
      <c r="K594" s="64" t="s">
        <v>1572</v>
      </c>
      <c r="L594" s="63" t="s">
        <v>87</v>
      </c>
      <c r="M594" s="63">
        <v>0</v>
      </c>
      <c r="N594" s="65">
        <v>45077</v>
      </c>
      <c r="O594"/>
      <c r="P594"/>
      <c r="Q594"/>
      <c r="R594"/>
      <c r="S594"/>
      <c r="T594"/>
    </row>
    <row r="595" spans="1:20" ht="15" customHeight="1" x14ac:dyDescent="0.2">
      <c r="A595" s="59" t="s">
        <v>2357</v>
      </c>
      <c r="B595" s="42" t="s">
        <v>1480</v>
      </c>
      <c r="C595" s="42" t="s">
        <v>1482</v>
      </c>
      <c r="D595" s="40">
        <v>43311</v>
      </c>
      <c r="E595" s="41">
        <v>100</v>
      </c>
      <c r="F595" s="46">
        <v>100</v>
      </c>
      <c r="G595" s="44" t="s">
        <v>55</v>
      </c>
      <c r="H595" s="43" t="s">
        <v>2731</v>
      </c>
      <c r="I595" s="43" t="s">
        <v>2713</v>
      </c>
      <c r="J595" s="44" t="s">
        <v>531</v>
      </c>
      <c r="K595" s="48" t="s">
        <v>1501</v>
      </c>
      <c r="L595" s="52" t="s">
        <v>157</v>
      </c>
      <c r="M595" s="44">
        <v>0</v>
      </c>
      <c r="N595" s="45">
        <v>43404</v>
      </c>
    </row>
    <row r="596" spans="1:20" ht="15" customHeight="1" x14ac:dyDescent="0.2">
      <c r="A596" s="59" t="s">
        <v>2358</v>
      </c>
      <c r="B596" s="42" t="s">
        <v>1490</v>
      </c>
      <c r="C596" s="42" t="s">
        <v>1491</v>
      </c>
      <c r="D596" s="40">
        <v>43322</v>
      </c>
      <c r="E596" s="41">
        <v>20</v>
      </c>
      <c r="F596" s="46">
        <v>20</v>
      </c>
      <c r="G596" s="44" t="s">
        <v>615</v>
      </c>
      <c r="H596" s="43" t="s">
        <v>2717</v>
      </c>
      <c r="I596" s="43" t="s">
        <v>2713</v>
      </c>
      <c r="J596" s="44" t="s">
        <v>539</v>
      </c>
      <c r="K596" s="48" t="s">
        <v>1372</v>
      </c>
      <c r="L596" s="52" t="s">
        <v>673</v>
      </c>
      <c r="M596" s="44">
        <v>0</v>
      </c>
      <c r="N596" s="45">
        <v>43524</v>
      </c>
    </row>
    <row r="597" spans="1:20" ht="15" customHeight="1" x14ac:dyDescent="0.2">
      <c r="A597" s="59" t="s">
        <v>2359</v>
      </c>
      <c r="B597" s="42" t="s">
        <v>1492</v>
      </c>
      <c r="C597" s="42" t="s">
        <v>1493</v>
      </c>
      <c r="D597" s="40">
        <v>43326</v>
      </c>
      <c r="E597" s="41">
        <v>50</v>
      </c>
      <c r="F597" s="46">
        <v>50</v>
      </c>
      <c r="G597" s="44" t="s">
        <v>615</v>
      </c>
      <c r="H597" s="43" t="s">
        <v>2746</v>
      </c>
      <c r="I597" s="43" t="s">
        <v>2713</v>
      </c>
      <c r="J597" s="44" t="s">
        <v>532</v>
      </c>
      <c r="K597" s="48" t="s">
        <v>1529</v>
      </c>
      <c r="L597" s="52" t="s">
        <v>87</v>
      </c>
      <c r="M597" s="44">
        <v>0</v>
      </c>
      <c r="N597" s="45">
        <v>43616</v>
      </c>
    </row>
    <row r="598" spans="1:20" ht="15" customHeight="1" x14ac:dyDescent="0.2">
      <c r="A598" s="59" t="s">
        <v>2497</v>
      </c>
      <c r="B598" s="42" t="s">
        <v>1492</v>
      </c>
      <c r="C598" s="42" t="s">
        <v>1494</v>
      </c>
      <c r="D598" s="40">
        <v>43326</v>
      </c>
      <c r="E598" s="41">
        <v>24</v>
      </c>
      <c r="F598" s="51">
        <v>24</v>
      </c>
      <c r="G598" s="44" t="s">
        <v>615</v>
      </c>
      <c r="H598" s="43" t="s">
        <v>2716</v>
      </c>
      <c r="I598" s="43" t="s">
        <v>2713</v>
      </c>
      <c r="J598" s="44" t="s">
        <v>532</v>
      </c>
      <c r="K598" s="48" t="s">
        <v>2845</v>
      </c>
      <c r="L598" s="52" t="s">
        <v>87</v>
      </c>
      <c r="M598" s="44">
        <v>0</v>
      </c>
      <c r="N598" s="55" t="s">
        <v>3667</v>
      </c>
    </row>
    <row r="599" spans="1:20" ht="15" customHeight="1" x14ac:dyDescent="0.2">
      <c r="A599" s="59" t="s">
        <v>2360</v>
      </c>
      <c r="B599" s="42" t="s">
        <v>1489</v>
      </c>
      <c r="C599" s="42" t="s">
        <v>1495</v>
      </c>
      <c r="D599" s="40">
        <v>43327</v>
      </c>
      <c r="E599" s="41">
        <v>90</v>
      </c>
      <c r="F599" s="46">
        <v>90</v>
      </c>
      <c r="G599" s="44" t="s">
        <v>55</v>
      </c>
      <c r="H599" s="43" t="s">
        <v>2737</v>
      </c>
      <c r="I599" s="43" t="s">
        <v>2713</v>
      </c>
      <c r="J599" s="44" t="s">
        <v>530</v>
      </c>
      <c r="K599" s="48" t="s">
        <v>1462</v>
      </c>
      <c r="L599" s="52" t="s">
        <v>157</v>
      </c>
      <c r="M599" s="44">
        <v>0</v>
      </c>
      <c r="N599" s="45">
        <v>43404</v>
      </c>
    </row>
    <row r="600" spans="1:20" ht="15" customHeight="1" x14ac:dyDescent="0.2">
      <c r="A600" s="59" t="s">
        <v>2361</v>
      </c>
      <c r="B600" s="42" t="s">
        <v>1489</v>
      </c>
      <c r="C600" s="42" t="s">
        <v>1496</v>
      </c>
      <c r="D600" s="40">
        <v>43327</v>
      </c>
      <c r="E600" s="41">
        <v>100</v>
      </c>
      <c r="F600" s="46">
        <v>100</v>
      </c>
      <c r="G600" s="44" t="s">
        <v>55</v>
      </c>
      <c r="H600" s="43" t="s">
        <v>2808</v>
      </c>
      <c r="I600" s="43" t="s">
        <v>2713</v>
      </c>
      <c r="J600" s="44" t="s">
        <v>471</v>
      </c>
      <c r="K600" s="48" t="s">
        <v>1503</v>
      </c>
      <c r="L600" s="52" t="s">
        <v>157</v>
      </c>
      <c r="M600" s="44">
        <v>0</v>
      </c>
      <c r="N600" s="45">
        <v>43404</v>
      </c>
    </row>
    <row r="601" spans="1:20" ht="15" customHeight="1" x14ac:dyDescent="0.2">
      <c r="A601" s="59" t="s">
        <v>2498</v>
      </c>
      <c r="B601" s="42" t="s">
        <v>1382</v>
      </c>
      <c r="C601" s="42" t="s">
        <v>5979</v>
      </c>
      <c r="D601" s="40">
        <v>43332</v>
      </c>
      <c r="E601" s="41">
        <v>800</v>
      </c>
      <c r="F601" s="46">
        <v>800</v>
      </c>
      <c r="G601" s="44" t="s">
        <v>124</v>
      </c>
      <c r="H601" s="43" t="s">
        <v>2716</v>
      </c>
      <c r="I601" s="43" t="s">
        <v>2713</v>
      </c>
      <c r="J601" s="44" t="s">
        <v>532</v>
      </c>
      <c r="K601" s="48" t="s">
        <v>1573</v>
      </c>
      <c r="L601" s="52" t="s">
        <v>87</v>
      </c>
      <c r="M601" s="44">
        <v>0</v>
      </c>
      <c r="N601" s="45">
        <v>44074</v>
      </c>
    </row>
    <row r="602" spans="1:20" ht="15" customHeight="1" x14ac:dyDescent="0.2">
      <c r="A602" s="59" t="s">
        <v>2499</v>
      </c>
      <c r="B602" s="42" t="s">
        <v>1382</v>
      </c>
      <c r="C602" s="42" t="s">
        <v>5980</v>
      </c>
      <c r="D602" s="40">
        <v>43332</v>
      </c>
      <c r="E602" s="41">
        <v>800</v>
      </c>
      <c r="F602" s="46">
        <v>800</v>
      </c>
      <c r="G602" s="44" t="s">
        <v>124</v>
      </c>
      <c r="H602" s="43" t="s">
        <v>2716</v>
      </c>
      <c r="I602" s="43" t="s">
        <v>2713</v>
      </c>
      <c r="J602" s="44" t="s">
        <v>532</v>
      </c>
      <c r="K602" s="48" t="s">
        <v>1574</v>
      </c>
      <c r="L602" s="52" t="s">
        <v>87</v>
      </c>
      <c r="M602" s="44">
        <v>0</v>
      </c>
      <c r="N602" s="45">
        <v>44043</v>
      </c>
    </row>
    <row r="603" spans="1:20" ht="15" customHeight="1" x14ac:dyDescent="0.2">
      <c r="A603" s="59" t="s">
        <v>2500</v>
      </c>
      <c r="B603" s="42" t="s">
        <v>1253</v>
      </c>
      <c r="C603" s="42" t="s">
        <v>1497</v>
      </c>
      <c r="D603" s="40">
        <v>43336</v>
      </c>
      <c r="E603" s="41">
        <v>20</v>
      </c>
      <c r="F603" s="46">
        <v>20</v>
      </c>
      <c r="G603" s="44" t="s">
        <v>55</v>
      </c>
      <c r="H603" s="43" t="s">
        <v>2717</v>
      </c>
      <c r="I603" s="43" t="s">
        <v>2713</v>
      </c>
      <c r="J603" s="44" t="s">
        <v>539</v>
      </c>
      <c r="K603" s="48" t="s">
        <v>1509</v>
      </c>
      <c r="L603" s="52" t="s">
        <v>1162</v>
      </c>
      <c r="M603" s="44">
        <v>0</v>
      </c>
      <c r="N603" s="45">
        <v>44227</v>
      </c>
    </row>
    <row r="604" spans="1:20" ht="15" customHeight="1" x14ac:dyDescent="0.2">
      <c r="A604" s="59" t="s">
        <v>2362</v>
      </c>
      <c r="B604" s="42" t="s">
        <v>1264</v>
      </c>
      <c r="C604" s="42" t="s">
        <v>1498</v>
      </c>
      <c r="D604" s="40">
        <v>43341</v>
      </c>
      <c r="E604" s="41">
        <v>20</v>
      </c>
      <c r="F604" s="46">
        <v>20</v>
      </c>
      <c r="G604" s="44" t="s">
        <v>55</v>
      </c>
      <c r="H604" s="43" t="s">
        <v>2737</v>
      </c>
      <c r="I604" s="43" t="s">
        <v>2713</v>
      </c>
      <c r="J604" s="44" t="s">
        <v>530</v>
      </c>
      <c r="K604" s="48" t="s">
        <v>1462</v>
      </c>
      <c r="L604" s="52" t="s">
        <v>157</v>
      </c>
      <c r="M604" s="44">
        <v>0</v>
      </c>
      <c r="N604" s="45">
        <v>43465</v>
      </c>
    </row>
    <row r="605" spans="1:20" ht="15" customHeight="1" x14ac:dyDescent="0.2">
      <c r="A605" s="59" t="s">
        <v>2501</v>
      </c>
      <c r="B605" s="42" t="s">
        <v>4934</v>
      </c>
      <c r="C605" s="42" t="s">
        <v>2502</v>
      </c>
      <c r="D605" s="40">
        <v>43350</v>
      </c>
      <c r="E605" s="54" t="s">
        <v>54</v>
      </c>
      <c r="F605" s="51" t="s">
        <v>54</v>
      </c>
      <c r="G605" s="44" t="s">
        <v>256</v>
      </c>
      <c r="H605" s="43" t="s">
        <v>2801</v>
      </c>
      <c r="I605" s="43" t="s">
        <v>2713</v>
      </c>
      <c r="J605" s="44" t="s">
        <v>1140</v>
      </c>
      <c r="K605" s="48" t="s">
        <v>1524</v>
      </c>
      <c r="L605" s="52" t="s">
        <v>41</v>
      </c>
      <c r="M605" s="44">
        <v>0</v>
      </c>
      <c r="N605" s="55" t="s">
        <v>3481</v>
      </c>
    </row>
    <row r="606" spans="1:20" ht="15" customHeight="1" x14ac:dyDescent="0.2">
      <c r="A606" s="59" t="s">
        <v>2363</v>
      </c>
      <c r="B606" s="42" t="s">
        <v>1825</v>
      </c>
      <c r="C606" s="42" t="s">
        <v>2364</v>
      </c>
      <c r="D606" s="40">
        <v>43360</v>
      </c>
      <c r="E606" s="41">
        <v>100</v>
      </c>
      <c r="F606" s="46">
        <v>100</v>
      </c>
      <c r="G606" s="44"/>
      <c r="H606" s="43" t="s">
        <v>2777</v>
      </c>
      <c r="I606" s="43" t="s">
        <v>2713</v>
      </c>
      <c r="J606" s="44" t="s">
        <v>539</v>
      </c>
      <c r="K606" s="48" t="s">
        <v>1523</v>
      </c>
      <c r="L606" s="52" t="s">
        <v>157</v>
      </c>
      <c r="M606" s="44">
        <v>0</v>
      </c>
      <c r="N606" s="45">
        <v>43404</v>
      </c>
    </row>
    <row r="607" spans="1:20" ht="15" customHeight="1" x14ac:dyDescent="0.2">
      <c r="A607" s="59" t="s">
        <v>2503</v>
      </c>
      <c r="B607" s="42" t="s">
        <v>2504</v>
      </c>
      <c r="C607" s="42" t="s">
        <v>2505</v>
      </c>
      <c r="D607" s="40">
        <v>43360</v>
      </c>
      <c r="E607" s="41">
        <v>75</v>
      </c>
      <c r="F607" s="46">
        <v>75</v>
      </c>
      <c r="G607" s="44" t="s">
        <v>615</v>
      </c>
      <c r="H607" s="43" t="s">
        <v>2716</v>
      </c>
      <c r="I607" s="43" t="s">
        <v>2713</v>
      </c>
      <c r="J607" s="44" t="s">
        <v>532</v>
      </c>
      <c r="K607" s="48" t="s">
        <v>2846</v>
      </c>
      <c r="L607" s="52" t="s">
        <v>87</v>
      </c>
      <c r="M607" s="44">
        <v>0</v>
      </c>
      <c r="N607" s="45">
        <v>43921</v>
      </c>
    </row>
    <row r="608" spans="1:20" ht="15" customHeight="1" x14ac:dyDescent="0.2">
      <c r="A608" s="59" t="s">
        <v>2506</v>
      </c>
      <c r="B608" s="42" t="s">
        <v>1825</v>
      </c>
      <c r="C608" s="42" t="s">
        <v>2847</v>
      </c>
      <c r="D608" s="40">
        <v>43368</v>
      </c>
      <c r="E608" s="41">
        <v>10</v>
      </c>
      <c r="F608" s="46">
        <v>10</v>
      </c>
      <c r="G608" s="44" t="s">
        <v>615</v>
      </c>
      <c r="H608" s="43" t="s">
        <v>2742</v>
      </c>
      <c r="I608" s="43" t="s">
        <v>2713</v>
      </c>
      <c r="J608" s="44" t="s">
        <v>393</v>
      </c>
      <c r="K608" s="48" t="s">
        <v>1525</v>
      </c>
      <c r="L608" s="52" t="s">
        <v>157</v>
      </c>
      <c r="M608" s="44">
        <v>0</v>
      </c>
      <c r="N608" s="45">
        <v>43861</v>
      </c>
    </row>
    <row r="609" spans="1:20" ht="15" customHeight="1" x14ac:dyDescent="0.2">
      <c r="A609" s="59" t="s">
        <v>2507</v>
      </c>
      <c r="B609" s="42" t="s">
        <v>1510</v>
      </c>
      <c r="C609" s="42" t="s">
        <v>1570</v>
      </c>
      <c r="D609" s="40">
        <v>43371</v>
      </c>
      <c r="E609" s="41">
        <v>440</v>
      </c>
      <c r="F609" s="46">
        <v>440</v>
      </c>
      <c r="G609" s="44" t="s">
        <v>124</v>
      </c>
      <c r="H609" s="43" t="s">
        <v>2716</v>
      </c>
      <c r="I609" s="43" t="s">
        <v>2713</v>
      </c>
      <c r="J609" s="44" t="s">
        <v>532</v>
      </c>
      <c r="K609" s="48" t="s">
        <v>1573</v>
      </c>
      <c r="L609" s="52" t="s">
        <v>87</v>
      </c>
      <c r="M609" s="44">
        <v>0</v>
      </c>
      <c r="N609" s="45">
        <v>44135</v>
      </c>
    </row>
    <row r="610" spans="1:20" ht="15" customHeight="1" x14ac:dyDescent="0.2">
      <c r="A610" s="59" t="s">
        <v>2508</v>
      </c>
      <c r="B610" s="42" t="s">
        <v>1510</v>
      </c>
      <c r="C610" s="42" t="s">
        <v>1511</v>
      </c>
      <c r="D610" s="40">
        <v>43371</v>
      </c>
      <c r="E610" s="41">
        <v>880</v>
      </c>
      <c r="F610" s="46">
        <v>880</v>
      </c>
      <c r="G610" s="44" t="s">
        <v>124</v>
      </c>
      <c r="H610" s="43" t="s">
        <v>2716</v>
      </c>
      <c r="I610" s="43" t="s">
        <v>2713</v>
      </c>
      <c r="J610" s="44" t="s">
        <v>532</v>
      </c>
      <c r="K610" s="48" t="s">
        <v>1526</v>
      </c>
      <c r="L610" s="52" t="s">
        <v>87</v>
      </c>
      <c r="M610" s="44">
        <v>0</v>
      </c>
      <c r="N610" s="45">
        <v>44196</v>
      </c>
    </row>
    <row r="611" spans="1:20" ht="15" customHeight="1" x14ac:dyDescent="0.2">
      <c r="A611" s="59" t="s">
        <v>2509</v>
      </c>
      <c r="B611" s="42" t="s">
        <v>1510</v>
      </c>
      <c r="C611" s="42" t="s">
        <v>1512</v>
      </c>
      <c r="D611" s="40">
        <v>43371</v>
      </c>
      <c r="E611" s="41">
        <v>1200</v>
      </c>
      <c r="F611" s="46">
        <v>1200</v>
      </c>
      <c r="G611" s="44" t="s">
        <v>124</v>
      </c>
      <c r="H611" s="43" t="s">
        <v>2713</v>
      </c>
      <c r="I611" s="43" t="s">
        <v>2713</v>
      </c>
      <c r="J611" s="44" t="s">
        <v>533</v>
      </c>
      <c r="K611" s="48" t="s">
        <v>507</v>
      </c>
      <c r="L611" s="52" t="s">
        <v>403</v>
      </c>
      <c r="M611" s="44">
        <v>0</v>
      </c>
      <c r="N611" s="55" t="s">
        <v>3667</v>
      </c>
    </row>
    <row r="612" spans="1:20" customFormat="1" ht="14.45" customHeight="1" x14ac:dyDescent="0.2">
      <c r="A612" s="59" t="s">
        <v>5189</v>
      </c>
      <c r="B612" s="60" t="s">
        <v>1537</v>
      </c>
      <c r="C612" s="60" t="s">
        <v>1514</v>
      </c>
      <c r="D612" s="40">
        <v>43382</v>
      </c>
      <c r="E612" s="61">
        <v>20</v>
      </c>
      <c r="F612" s="62">
        <v>20</v>
      </c>
      <c r="G612" s="63" t="s">
        <v>615</v>
      </c>
      <c r="H612" s="64" t="s">
        <v>2777</v>
      </c>
      <c r="I612" s="64" t="s">
        <v>2713</v>
      </c>
      <c r="J612" s="63" t="s">
        <v>539</v>
      </c>
      <c r="K612" s="64" t="s">
        <v>4492</v>
      </c>
      <c r="L612" s="63" t="s">
        <v>2558</v>
      </c>
      <c r="M612" s="63" t="s">
        <v>5781</v>
      </c>
      <c r="N612" s="65">
        <v>45657</v>
      </c>
    </row>
    <row r="613" spans="1:20" ht="15" customHeight="1" x14ac:dyDescent="0.2">
      <c r="A613" s="59" t="s">
        <v>2391</v>
      </c>
      <c r="B613" s="42" t="s">
        <v>1293</v>
      </c>
      <c r="C613" s="42" t="s">
        <v>1515</v>
      </c>
      <c r="D613" s="40">
        <v>43383</v>
      </c>
      <c r="E613" s="41">
        <v>20</v>
      </c>
      <c r="F613" s="46">
        <v>20</v>
      </c>
      <c r="G613" s="44" t="s">
        <v>124</v>
      </c>
      <c r="H613" s="43" t="s">
        <v>2739</v>
      </c>
      <c r="I613" s="43" t="s">
        <v>2713</v>
      </c>
      <c r="J613" s="44" t="s">
        <v>540</v>
      </c>
      <c r="K613" s="48" t="s">
        <v>1549</v>
      </c>
      <c r="L613" s="52" t="s">
        <v>157</v>
      </c>
      <c r="M613" s="44">
        <v>0</v>
      </c>
      <c r="N613" s="45">
        <v>43861</v>
      </c>
    </row>
    <row r="614" spans="1:20" ht="15" customHeight="1" x14ac:dyDescent="0.2">
      <c r="A614" s="59" t="s">
        <v>2365</v>
      </c>
      <c r="B614" s="42" t="s">
        <v>1516</v>
      </c>
      <c r="C614" s="42" t="s">
        <v>1517</v>
      </c>
      <c r="D614" s="40">
        <v>43388</v>
      </c>
      <c r="E614" s="41">
        <v>20</v>
      </c>
      <c r="F614" s="46">
        <v>20</v>
      </c>
      <c r="G614" s="44" t="s">
        <v>55</v>
      </c>
      <c r="H614" s="43" t="s">
        <v>2759</v>
      </c>
      <c r="I614" s="43" t="s">
        <v>2713</v>
      </c>
      <c r="J614" s="44" t="s">
        <v>471</v>
      </c>
      <c r="K614" s="48" t="s">
        <v>1538</v>
      </c>
      <c r="L614" s="52" t="s">
        <v>157</v>
      </c>
      <c r="M614" s="44">
        <v>0</v>
      </c>
      <c r="N614" s="45">
        <v>43465</v>
      </c>
    </row>
    <row r="615" spans="1:20" ht="15" customHeight="1" x14ac:dyDescent="0.2">
      <c r="A615" s="59" t="s">
        <v>2366</v>
      </c>
      <c r="B615" s="42" t="s">
        <v>1518</v>
      </c>
      <c r="C615" s="42" t="s">
        <v>1519</v>
      </c>
      <c r="D615" s="40">
        <v>43388</v>
      </c>
      <c r="E615" s="41">
        <v>20</v>
      </c>
      <c r="F615" s="46">
        <v>20</v>
      </c>
      <c r="G615" s="44" t="s">
        <v>55</v>
      </c>
      <c r="H615" s="43" t="s">
        <v>2776</v>
      </c>
      <c r="I615" s="43" t="s">
        <v>2713</v>
      </c>
      <c r="J615" s="44" t="s">
        <v>471</v>
      </c>
      <c r="K615" s="48" t="s">
        <v>1539</v>
      </c>
      <c r="L615" s="52" t="s">
        <v>157</v>
      </c>
      <c r="M615" s="44">
        <v>0</v>
      </c>
      <c r="N615" s="45">
        <v>43585</v>
      </c>
    </row>
    <row r="616" spans="1:20" ht="15" customHeight="1" x14ac:dyDescent="0.2">
      <c r="A616" s="59" t="s">
        <v>2513</v>
      </c>
      <c r="B616" s="60" t="s">
        <v>1530</v>
      </c>
      <c r="C616" s="60" t="s">
        <v>1531</v>
      </c>
      <c r="D616" s="40">
        <v>43412</v>
      </c>
      <c r="E616" s="61">
        <v>549</v>
      </c>
      <c r="F616" s="62">
        <v>588</v>
      </c>
      <c r="G616" s="63" t="s">
        <v>364</v>
      </c>
      <c r="H616" s="64" t="s">
        <v>2715</v>
      </c>
      <c r="I616" s="64" t="s">
        <v>2713</v>
      </c>
      <c r="J616" s="63" t="s">
        <v>533</v>
      </c>
      <c r="K616" s="64" t="s">
        <v>507</v>
      </c>
      <c r="L616" s="63" t="s">
        <v>403</v>
      </c>
      <c r="M616" s="44">
        <v>0</v>
      </c>
      <c r="N616" s="65">
        <v>44957</v>
      </c>
    </row>
    <row r="617" spans="1:20" ht="15" customHeight="1" x14ac:dyDescent="0.2">
      <c r="A617" s="59" t="s">
        <v>5859</v>
      </c>
      <c r="B617" s="60" t="s">
        <v>1532</v>
      </c>
      <c r="C617" s="60" t="s">
        <v>1533</v>
      </c>
      <c r="D617" s="40">
        <v>43413</v>
      </c>
      <c r="E617" s="61" t="s">
        <v>5782</v>
      </c>
      <c r="F617" s="62" t="s">
        <v>5782</v>
      </c>
      <c r="G617" s="63" t="s">
        <v>55</v>
      </c>
      <c r="H617" s="64" t="s">
        <v>2759</v>
      </c>
      <c r="I617" s="64" t="s">
        <v>2713</v>
      </c>
      <c r="J617" s="63" t="s">
        <v>539</v>
      </c>
      <c r="K617" s="64" t="s">
        <v>1547</v>
      </c>
      <c r="L617" s="63" t="s">
        <v>2558</v>
      </c>
      <c r="M617" s="63" t="s">
        <v>5781</v>
      </c>
      <c r="N617" s="65">
        <v>45443</v>
      </c>
      <c r="O617"/>
      <c r="P617"/>
      <c r="Q617"/>
      <c r="R617"/>
      <c r="S617"/>
      <c r="T617"/>
    </row>
    <row r="618" spans="1:20" ht="15" customHeight="1" x14ac:dyDescent="0.2">
      <c r="A618" s="59" t="s">
        <v>2514</v>
      </c>
      <c r="B618" s="60" t="s">
        <v>1534</v>
      </c>
      <c r="C618" s="60" t="s">
        <v>1535</v>
      </c>
      <c r="D618" s="40">
        <v>43413</v>
      </c>
      <c r="E618" s="61">
        <v>20</v>
      </c>
      <c r="F618" s="62">
        <v>20</v>
      </c>
      <c r="G618" s="63" t="s">
        <v>55</v>
      </c>
      <c r="H618" s="64" t="s">
        <v>2721</v>
      </c>
      <c r="I618" s="64" t="s">
        <v>2713</v>
      </c>
      <c r="J618" s="63"/>
      <c r="K618" s="64" t="s">
        <v>1389</v>
      </c>
      <c r="L618" s="63" t="s">
        <v>157</v>
      </c>
      <c r="M618" s="63">
        <v>0</v>
      </c>
      <c r="N618" s="65">
        <v>45169</v>
      </c>
      <c r="O618"/>
      <c r="P618"/>
      <c r="Q618"/>
      <c r="R618"/>
      <c r="S618"/>
      <c r="T618"/>
    </row>
    <row r="619" spans="1:20" ht="15" customHeight="1" x14ac:dyDescent="0.2">
      <c r="A619" s="59" t="s">
        <v>2516</v>
      </c>
      <c r="B619" s="42" t="s">
        <v>1355</v>
      </c>
      <c r="C619" s="42" t="s">
        <v>1551</v>
      </c>
      <c r="D619" s="40">
        <v>43438</v>
      </c>
      <c r="E619" s="41">
        <v>20</v>
      </c>
      <c r="F619" s="46">
        <v>20</v>
      </c>
      <c r="G619" s="44" t="s">
        <v>615</v>
      </c>
      <c r="H619" s="43" t="s">
        <v>2732</v>
      </c>
      <c r="I619" s="43" t="s">
        <v>2713</v>
      </c>
      <c r="J619" s="44" t="s">
        <v>393</v>
      </c>
      <c r="K619" s="48" t="s">
        <v>1499</v>
      </c>
      <c r="L619" s="52" t="s">
        <v>34</v>
      </c>
      <c r="M619" s="44">
        <v>0</v>
      </c>
      <c r="N619" s="45">
        <v>43951</v>
      </c>
    </row>
    <row r="620" spans="1:20" ht="15" customHeight="1" x14ac:dyDescent="0.2">
      <c r="A620" s="59" t="s">
        <v>5194</v>
      </c>
      <c r="B620" s="42" t="s">
        <v>1414</v>
      </c>
      <c r="C620" s="42" t="s">
        <v>1552</v>
      </c>
      <c r="D620" s="40">
        <v>43445</v>
      </c>
      <c r="E620" s="41">
        <v>5</v>
      </c>
      <c r="F620" s="46">
        <v>5</v>
      </c>
      <c r="G620" s="44" t="s">
        <v>615</v>
      </c>
      <c r="H620" s="43" t="s">
        <v>2753</v>
      </c>
      <c r="I620" s="43" t="s">
        <v>2713</v>
      </c>
      <c r="J620" s="44" t="s">
        <v>530</v>
      </c>
      <c r="K620" s="48" t="s">
        <v>1416</v>
      </c>
      <c r="L620" s="52" t="s">
        <v>34</v>
      </c>
      <c r="M620" s="44" t="s">
        <v>5781</v>
      </c>
      <c r="N620" s="45">
        <v>45473</v>
      </c>
    </row>
    <row r="621" spans="1:20" customFormat="1" ht="14.45" customHeight="1" x14ac:dyDescent="0.2">
      <c r="A621" s="59" t="s">
        <v>5195</v>
      </c>
      <c r="B621" s="60" t="s">
        <v>1556</v>
      </c>
      <c r="C621" s="60" t="s">
        <v>1553</v>
      </c>
      <c r="D621" s="40">
        <v>43446</v>
      </c>
      <c r="E621" s="61">
        <v>175</v>
      </c>
      <c r="F621" s="62">
        <v>175</v>
      </c>
      <c r="G621" s="63" t="s">
        <v>3505</v>
      </c>
      <c r="H621" s="64" t="s">
        <v>2098</v>
      </c>
      <c r="I621" s="64" t="s">
        <v>2713</v>
      </c>
      <c r="J621" s="63" t="s">
        <v>393</v>
      </c>
      <c r="K621" s="64" t="s">
        <v>1559</v>
      </c>
      <c r="L621" s="63" t="s">
        <v>34</v>
      </c>
      <c r="M621" s="63" t="s">
        <v>5781</v>
      </c>
      <c r="N621" s="65">
        <v>45657</v>
      </c>
    </row>
    <row r="622" spans="1:20" ht="15" customHeight="1" x14ac:dyDescent="0.2">
      <c r="A622" s="59" t="s">
        <v>2517</v>
      </c>
      <c r="B622" s="42" t="s">
        <v>1557</v>
      </c>
      <c r="C622" s="42" t="s">
        <v>1782</v>
      </c>
      <c r="D622" s="40">
        <v>43454</v>
      </c>
      <c r="E622" s="41">
        <v>187</v>
      </c>
      <c r="F622" s="46">
        <v>187</v>
      </c>
      <c r="G622" s="44" t="s">
        <v>615</v>
      </c>
      <c r="H622" s="43" t="s">
        <v>2719</v>
      </c>
      <c r="I622" s="43" t="s">
        <v>2713</v>
      </c>
      <c r="J622" s="44" t="s">
        <v>533</v>
      </c>
      <c r="K622" s="48" t="s">
        <v>1566</v>
      </c>
      <c r="L622" s="52" t="s">
        <v>403</v>
      </c>
      <c r="M622" s="44">
        <v>0</v>
      </c>
      <c r="N622" s="45">
        <v>44561</v>
      </c>
    </row>
    <row r="623" spans="1:20" ht="15" customHeight="1" x14ac:dyDescent="0.2">
      <c r="A623" s="59" t="s">
        <v>5196</v>
      </c>
      <c r="B623" s="42" t="s">
        <v>1554</v>
      </c>
      <c r="C623" s="42" t="s">
        <v>1554</v>
      </c>
      <c r="D623" s="40">
        <v>43454</v>
      </c>
      <c r="E623" s="41">
        <v>150</v>
      </c>
      <c r="F623" s="46">
        <v>150</v>
      </c>
      <c r="G623" s="44" t="s">
        <v>615</v>
      </c>
      <c r="H623" s="43" t="s">
        <v>2775</v>
      </c>
      <c r="I623" s="43" t="s">
        <v>2713</v>
      </c>
      <c r="J623" s="44" t="s">
        <v>531</v>
      </c>
      <c r="K623" s="48" t="s">
        <v>4099</v>
      </c>
      <c r="L623" s="52" t="s">
        <v>157</v>
      </c>
      <c r="M623" s="44" t="s">
        <v>5781</v>
      </c>
      <c r="N623" s="45">
        <v>46203</v>
      </c>
    </row>
    <row r="624" spans="1:20" ht="15" customHeight="1" x14ac:dyDescent="0.2">
      <c r="A624" s="59" t="s">
        <v>2518</v>
      </c>
      <c r="B624" s="42" t="s">
        <v>2519</v>
      </c>
      <c r="C624" s="42" t="s">
        <v>1562</v>
      </c>
      <c r="D624" s="40">
        <v>43479</v>
      </c>
      <c r="E624" s="41">
        <v>880</v>
      </c>
      <c r="F624" s="46">
        <v>880</v>
      </c>
      <c r="G624" s="44" t="s">
        <v>124</v>
      </c>
      <c r="H624" s="43" t="s">
        <v>2746</v>
      </c>
      <c r="I624" s="43" t="s">
        <v>2713</v>
      </c>
      <c r="J624" s="44" t="s">
        <v>532</v>
      </c>
      <c r="K624" s="48" t="s">
        <v>1582</v>
      </c>
      <c r="L624" s="52" t="s">
        <v>41</v>
      </c>
      <c r="M624" s="44">
        <v>0</v>
      </c>
      <c r="N624" s="45">
        <v>44377</v>
      </c>
    </row>
    <row r="625" spans="1:20" ht="15" customHeight="1" x14ac:dyDescent="0.2">
      <c r="A625" s="59" t="s">
        <v>5860</v>
      </c>
      <c r="B625" s="60" t="s">
        <v>2519</v>
      </c>
      <c r="C625" s="60" t="s">
        <v>1563</v>
      </c>
      <c r="D625" s="40">
        <v>43479</v>
      </c>
      <c r="E625" s="61" t="s">
        <v>5802</v>
      </c>
      <c r="F625" s="62" t="s">
        <v>5802</v>
      </c>
      <c r="G625" s="63" t="s">
        <v>124</v>
      </c>
      <c r="H625" s="64" t="s">
        <v>2715</v>
      </c>
      <c r="I625" s="64" t="s">
        <v>2713</v>
      </c>
      <c r="J625" s="63" t="s">
        <v>533</v>
      </c>
      <c r="K625" s="64" t="s">
        <v>1780</v>
      </c>
      <c r="L625" s="63" t="s">
        <v>403</v>
      </c>
      <c r="M625" s="63" t="s">
        <v>5781</v>
      </c>
      <c r="N625" s="65">
        <v>45443</v>
      </c>
      <c r="O625"/>
      <c r="P625"/>
      <c r="Q625"/>
      <c r="R625"/>
      <c r="S625"/>
      <c r="T625"/>
    </row>
    <row r="626" spans="1:20" ht="15" customHeight="1" x14ac:dyDescent="0.2">
      <c r="A626" s="59" t="s">
        <v>5861</v>
      </c>
      <c r="B626" s="60" t="s">
        <v>4100</v>
      </c>
      <c r="C626" s="60" t="s">
        <v>1564</v>
      </c>
      <c r="D626" s="40">
        <v>43479</v>
      </c>
      <c r="E626" s="61" t="s">
        <v>5802</v>
      </c>
      <c r="F626" s="62" t="s">
        <v>5802</v>
      </c>
      <c r="G626" s="63" t="s">
        <v>124</v>
      </c>
      <c r="H626" s="64" t="s">
        <v>2714</v>
      </c>
      <c r="I626" s="64" t="s">
        <v>2713</v>
      </c>
      <c r="J626" s="63" t="s">
        <v>533</v>
      </c>
      <c r="K626" s="64" t="s">
        <v>1588</v>
      </c>
      <c r="L626" s="63" t="s">
        <v>403</v>
      </c>
      <c r="M626" s="63" t="s">
        <v>5781</v>
      </c>
      <c r="N626" s="65">
        <v>45443</v>
      </c>
      <c r="O626"/>
      <c r="P626"/>
      <c r="Q626"/>
      <c r="R626"/>
      <c r="S626"/>
      <c r="T626"/>
    </row>
    <row r="627" spans="1:20" ht="15" customHeight="1" x14ac:dyDescent="0.2">
      <c r="A627" s="59" t="s">
        <v>2520</v>
      </c>
      <c r="B627" s="42" t="s">
        <v>1561</v>
      </c>
      <c r="C627" s="42" t="s">
        <v>1565</v>
      </c>
      <c r="D627" s="40">
        <v>43479</v>
      </c>
      <c r="E627" s="41">
        <v>84.4</v>
      </c>
      <c r="F627" s="46">
        <v>88.9</v>
      </c>
      <c r="G627" s="44" t="s">
        <v>339</v>
      </c>
      <c r="H627" s="43" t="s">
        <v>2717</v>
      </c>
      <c r="I627" s="43" t="s">
        <v>2713</v>
      </c>
      <c r="J627" s="44" t="s">
        <v>539</v>
      </c>
      <c r="K627" s="48" t="s">
        <v>3671</v>
      </c>
      <c r="L627" s="52" t="s">
        <v>673</v>
      </c>
      <c r="M627" s="44">
        <v>0</v>
      </c>
      <c r="N627" s="45">
        <v>44804</v>
      </c>
    </row>
    <row r="628" spans="1:20" ht="15" customHeight="1" x14ac:dyDescent="0.2">
      <c r="A628" s="59" t="s">
        <v>5862</v>
      </c>
      <c r="B628" s="60" t="s">
        <v>1382</v>
      </c>
      <c r="C628" s="60" t="s">
        <v>4506</v>
      </c>
      <c r="D628" s="40">
        <v>43494</v>
      </c>
      <c r="E628" s="61" t="s">
        <v>5803</v>
      </c>
      <c r="F628" s="62" t="s">
        <v>5803</v>
      </c>
      <c r="G628" s="63" t="s">
        <v>253</v>
      </c>
      <c r="H628" s="64" t="s">
        <v>2716</v>
      </c>
      <c r="I628" s="64" t="s">
        <v>2713</v>
      </c>
      <c r="J628" s="63" t="s">
        <v>532</v>
      </c>
      <c r="K628" s="64" t="s">
        <v>538</v>
      </c>
      <c r="L628" s="63" t="s">
        <v>87</v>
      </c>
      <c r="M628" s="63" t="s">
        <v>5781</v>
      </c>
      <c r="N628" s="65">
        <v>45443</v>
      </c>
      <c r="O628"/>
      <c r="P628"/>
      <c r="Q628"/>
      <c r="R628"/>
      <c r="S628"/>
      <c r="T628"/>
    </row>
    <row r="629" spans="1:20" ht="15" customHeight="1" x14ac:dyDescent="0.2">
      <c r="A629" s="59" t="s">
        <v>2367</v>
      </c>
      <c r="B629" s="42" t="s">
        <v>1576</v>
      </c>
      <c r="C629" s="42" t="s">
        <v>1578</v>
      </c>
      <c r="D629" s="40">
        <v>43502</v>
      </c>
      <c r="E629" s="41">
        <v>75</v>
      </c>
      <c r="F629" s="46">
        <v>75</v>
      </c>
      <c r="G629" s="44" t="s">
        <v>615</v>
      </c>
      <c r="H629" s="43" t="s">
        <v>2811</v>
      </c>
      <c r="I629" s="43" t="s">
        <v>2713</v>
      </c>
      <c r="J629" s="44" t="s">
        <v>1596</v>
      </c>
      <c r="K629" s="48" t="s">
        <v>1597</v>
      </c>
      <c r="L629" s="52" t="s">
        <v>403</v>
      </c>
      <c r="M629" s="44">
        <v>0</v>
      </c>
      <c r="N629" s="45">
        <v>43677</v>
      </c>
    </row>
    <row r="630" spans="1:20" ht="15" customHeight="1" x14ac:dyDescent="0.2">
      <c r="A630" s="59" t="s">
        <v>2368</v>
      </c>
      <c r="B630" s="42" t="s">
        <v>1576</v>
      </c>
      <c r="C630" s="42" t="s">
        <v>1579</v>
      </c>
      <c r="D630" s="40">
        <v>43502</v>
      </c>
      <c r="E630" s="41">
        <v>40</v>
      </c>
      <c r="F630" s="46">
        <v>40</v>
      </c>
      <c r="G630" s="44" t="s">
        <v>615</v>
      </c>
      <c r="H630" s="43" t="s">
        <v>2811</v>
      </c>
      <c r="I630" s="43" t="s">
        <v>2713</v>
      </c>
      <c r="J630" s="44" t="s">
        <v>1596</v>
      </c>
      <c r="K630" s="48" t="s">
        <v>1598</v>
      </c>
      <c r="L630" s="52" t="s">
        <v>403</v>
      </c>
      <c r="M630" s="44">
        <v>0</v>
      </c>
      <c r="N630" s="45">
        <v>43677</v>
      </c>
    </row>
    <row r="631" spans="1:20" ht="15" customHeight="1" x14ac:dyDescent="0.2">
      <c r="A631" s="59" t="s">
        <v>2369</v>
      </c>
      <c r="B631" s="42" t="s">
        <v>1576</v>
      </c>
      <c r="C631" s="42" t="s">
        <v>1580</v>
      </c>
      <c r="D631" s="40">
        <v>43502</v>
      </c>
      <c r="E631" s="41">
        <v>50</v>
      </c>
      <c r="F631" s="46">
        <v>50</v>
      </c>
      <c r="G631" s="44" t="s">
        <v>615</v>
      </c>
      <c r="H631" s="43" t="s">
        <v>2777</v>
      </c>
      <c r="I631" s="43" t="s">
        <v>2713</v>
      </c>
      <c r="J631" s="44" t="s">
        <v>539</v>
      </c>
      <c r="K631" s="48" t="s">
        <v>1599</v>
      </c>
      <c r="L631" s="52" t="s">
        <v>157</v>
      </c>
      <c r="M631" s="44">
        <v>0</v>
      </c>
      <c r="N631" s="45">
        <v>43677</v>
      </c>
    </row>
    <row r="632" spans="1:20" ht="15" customHeight="1" x14ac:dyDescent="0.2">
      <c r="A632" s="59" t="s">
        <v>2521</v>
      </c>
      <c r="B632" s="42" t="s">
        <v>1428</v>
      </c>
      <c r="C632" s="42" t="s">
        <v>1589</v>
      </c>
      <c r="D632" s="40">
        <v>43530</v>
      </c>
      <c r="E632" s="41">
        <v>125</v>
      </c>
      <c r="F632" s="46">
        <v>125</v>
      </c>
      <c r="G632" s="44" t="s">
        <v>615</v>
      </c>
      <c r="H632" s="43" t="s">
        <v>2738</v>
      </c>
      <c r="I632" s="43" t="s">
        <v>2713</v>
      </c>
      <c r="J632" s="44" t="s">
        <v>420</v>
      </c>
      <c r="K632" s="48" t="s">
        <v>1784</v>
      </c>
      <c r="L632" s="52" t="s">
        <v>34</v>
      </c>
      <c r="M632" s="44">
        <v>0</v>
      </c>
      <c r="N632" s="45">
        <v>43921</v>
      </c>
    </row>
    <row r="633" spans="1:20" ht="15" customHeight="1" x14ac:dyDescent="0.2">
      <c r="A633" s="59" t="s">
        <v>2522</v>
      </c>
      <c r="B633" s="60" t="s">
        <v>1590</v>
      </c>
      <c r="C633" s="60" t="s">
        <v>1590</v>
      </c>
      <c r="D633" s="40">
        <v>43535</v>
      </c>
      <c r="E633" s="61">
        <v>100</v>
      </c>
      <c r="F633" s="62">
        <v>100</v>
      </c>
      <c r="G633" s="63" t="s">
        <v>615</v>
      </c>
      <c r="H633" s="64" t="s">
        <v>2811</v>
      </c>
      <c r="I633" s="64" t="s">
        <v>2713</v>
      </c>
      <c r="J633" s="63" t="s">
        <v>1596</v>
      </c>
      <c r="K633" s="64" t="s">
        <v>4507</v>
      </c>
      <c r="L633" s="63" t="s">
        <v>403</v>
      </c>
      <c r="M633" s="63">
        <v>0</v>
      </c>
      <c r="N633" s="65">
        <v>45199</v>
      </c>
      <c r="O633"/>
      <c r="P633"/>
      <c r="Q633"/>
      <c r="R633"/>
      <c r="S633"/>
      <c r="T633"/>
    </row>
    <row r="634" spans="1:20" ht="15" customHeight="1" x14ac:dyDescent="0.2">
      <c r="A634" s="59" t="s">
        <v>5863</v>
      </c>
      <c r="B634" s="60" t="s">
        <v>1423</v>
      </c>
      <c r="C634" s="60" t="s">
        <v>1732</v>
      </c>
      <c r="D634" s="40">
        <v>43549</v>
      </c>
      <c r="E634" s="61" t="s">
        <v>5780</v>
      </c>
      <c r="F634" s="62" t="s">
        <v>5780</v>
      </c>
      <c r="G634" s="63" t="s">
        <v>55</v>
      </c>
      <c r="H634" s="64" t="s">
        <v>2699</v>
      </c>
      <c r="I634" s="64" t="s">
        <v>2713</v>
      </c>
      <c r="J634" s="63" t="s">
        <v>471</v>
      </c>
      <c r="K634" s="64" t="s">
        <v>1389</v>
      </c>
      <c r="L634" s="63" t="s">
        <v>157</v>
      </c>
      <c r="M634" s="63" t="s">
        <v>5781</v>
      </c>
      <c r="N634" s="65">
        <v>45443</v>
      </c>
      <c r="O634"/>
      <c r="P634"/>
      <c r="Q634"/>
      <c r="R634"/>
      <c r="S634"/>
      <c r="T634"/>
    </row>
    <row r="635" spans="1:20" customFormat="1" ht="14.45" customHeight="1" x14ac:dyDescent="0.2">
      <c r="A635" s="59" t="s">
        <v>5201</v>
      </c>
      <c r="B635" s="60" t="s">
        <v>3561</v>
      </c>
      <c r="C635" s="60" t="s">
        <v>1787</v>
      </c>
      <c r="D635" s="40">
        <v>43552</v>
      </c>
      <c r="E635" s="61">
        <v>20</v>
      </c>
      <c r="F635" s="62">
        <v>20</v>
      </c>
      <c r="G635" s="63" t="s">
        <v>55</v>
      </c>
      <c r="H635" s="64" t="s">
        <v>2796</v>
      </c>
      <c r="I635" s="64" t="s">
        <v>2713</v>
      </c>
      <c r="J635" s="63" t="s">
        <v>471</v>
      </c>
      <c r="K635" s="64" t="s">
        <v>1785</v>
      </c>
      <c r="L635" s="63" t="s">
        <v>157</v>
      </c>
      <c r="M635" s="63" t="s">
        <v>5781</v>
      </c>
      <c r="N635" s="65">
        <v>45565</v>
      </c>
    </row>
    <row r="636" spans="1:20" ht="15" customHeight="1" x14ac:dyDescent="0.2">
      <c r="A636" s="59" t="s">
        <v>2523</v>
      </c>
      <c r="B636" s="42" t="s">
        <v>1600</v>
      </c>
      <c r="C636" s="42" t="s">
        <v>1609</v>
      </c>
      <c r="D636" s="40">
        <v>43556</v>
      </c>
      <c r="E636" s="41">
        <v>107</v>
      </c>
      <c r="F636" s="46">
        <v>107</v>
      </c>
      <c r="G636" s="44" t="s">
        <v>615</v>
      </c>
      <c r="H636" s="43" t="s">
        <v>2717</v>
      </c>
      <c r="I636" s="43" t="s">
        <v>2713</v>
      </c>
      <c r="J636" s="44" t="s">
        <v>539</v>
      </c>
      <c r="K636" s="48" t="s">
        <v>1676</v>
      </c>
      <c r="L636" s="52" t="s">
        <v>673</v>
      </c>
      <c r="M636" s="56">
        <v>0</v>
      </c>
      <c r="N636" s="45">
        <v>44306</v>
      </c>
    </row>
    <row r="637" spans="1:20" ht="15" customHeight="1" x14ac:dyDescent="0.2">
      <c r="A637" s="59" t="s">
        <v>2524</v>
      </c>
      <c r="B637" s="42" t="s">
        <v>1601</v>
      </c>
      <c r="C637" s="42" t="s">
        <v>1610</v>
      </c>
      <c r="D637" s="40">
        <v>43556</v>
      </c>
      <c r="E637" s="41">
        <v>240</v>
      </c>
      <c r="F637" s="46">
        <v>240</v>
      </c>
      <c r="G637" s="44" t="s">
        <v>615</v>
      </c>
      <c r="H637" s="43" t="s">
        <v>2728</v>
      </c>
      <c r="I637" s="43" t="s">
        <v>2713</v>
      </c>
      <c r="J637" s="44" t="s">
        <v>531</v>
      </c>
      <c r="K637" s="48" t="s">
        <v>924</v>
      </c>
      <c r="L637" s="52" t="s">
        <v>157</v>
      </c>
      <c r="M637" s="56">
        <v>0</v>
      </c>
      <c r="N637" s="45">
        <v>44306</v>
      </c>
    </row>
    <row r="638" spans="1:20" ht="15" customHeight="1" x14ac:dyDescent="0.2">
      <c r="A638" s="59" t="s">
        <v>2525</v>
      </c>
      <c r="B638" s="42" t="s">
        <v>1604</v>
      </c>
      <c r="C638" s="42" t="s">
        <v>1788</v>
      </c>
      <c r="D638" s="40">
        <v>43558</v>
      </c>
      <c r="E638" s="41">
        <v>200</v>
      </c>
      <c r="F638" s="46">
        <v>200</v>
      </c>
      <c r="G638" s="44" t="s">
        <v>124</v>
      </c>
      <c r="H638" s="43" t="s">
        <v>2775</v>
      </c>
      <c r="I638" s="43" t="s">
        <v>2713</v>
      </c>
      <c r="J638" s="44" t="s">
        <v>531</v>
      </c>
      <c r="K638" s="48" t="s">
        <v>1786</v>
      </c>
      <c r="L638" s="52" t="s">
        <v>157</v>
      </c>
      <c r="M638" s="56">
        <v>0</v>
      </c>
      <c r="N638" s="45">
        <v>44286</v>
      </c>
    </row>
    <row r="639" spans="1:20" ht="15" customHeight="1" x14ac:dyDescent="0.2">
      <c r="A639" s="59" t="s">
        <v>2526</v>
      </c>
      <c r="B639" s="42" t="s">
        <v>1604</v>
      </c>
      <c r="C639" s="42" t="s">
        <v>1789</v>
      </c>
      <c r="D639" s="40">
        <v>43558</v>
      </c>
      <c r="E639" s="41">
        <v>300</v>
      </c>
      <c r="F639" s="46">
        <v>300</v>
      </c>
      <c r="G639" s="44" t="s">
        <v>124</v>
      </c>
      <c r="H639" s="43" t="s">
        <v>2775</v>
      </c>
      <c r="I639" s="43" t="s">
        <v>2713</v>
      </c>
      <c r="J639" s="44" t="s">
        <v>531</v>
      </c>
      <c r="K639" s="48" t="s">
        <v>1786</v>
      </c>
      <c r="L639" s="52" t="s">
        <v>157</v>
      </c>
      <c r="M639" s="44">
        <v>0</v>
      </c>
      <c r="N639" s="45">
        <v>44255</v>
      </c>
    </row>
    <row r="640" spans="1:20" ht="15" customHeight="1" x14ac:dyDescent="0.2">
      <c r="A640" s="59" t="s">
        <v>2527</v>
      </c>
      <c r="B640" s="42" t="s">
        <v>1604</v>
      </c>
      <c r="C640" s="42" t="s">
        <v>2528</v>
      </c>
      <c r="D640" s="40">
        <v>43558</v>
      </c>
      <c r="E640" s="41">
        <v>300</v>
      </c>
      <c r="F640" s="46">
        <v>300</v>
      </c>
      <c r="G640" s="44" t="s">
        <v>124</v>
      </c>
      <c r="H640" s="43" t="s">
        <v>2728</v>
      </c>
      <c r="I640" s="43" t="s">
        <v>2713</v>
      </c>
      <c r="J640" s="44" t="s">
        <v>531</v>
      </c>
      <c r="K640" s="48" t="s">
        <v>1629</v>
      </c>
      <c r="L640" s="52" t="s">
        <v>157</v>
      </c>
      <c r="M640" s="44">
        <v>0</v>
      </c>
      <c r="N640" s="45">
        <v>44255</v>
      </c>
    </row>
    <row r="641" spans="1:14" ht="15" customHeight="1" x14ac:dyDescent="0.2">
      <c r="A641" s="59" t="s">
        <v>2529</v>
      </c>
      <c r="B641" s="42" t="s">
        <v>87</v>
      </c>
      <c r="C641" s="42" t="s">
        <v>1613</v>
      </c>
      <c r="D641" s="40">
        <v>43560</v>
      </c>
      <c r="E641" s="66" t="s">
        <v>54</v>
      </c>
      <c r="F641" s="53" t="s">
        <v>54</v>
      </c>
      <c r="G641" s="44" t="s">
        <v>256</v>
      </c>
      <c r="H641" s="43" t="s">
        <v>2716</v>
      </c>
      <c r="I641" s="43" t="s">
        <v>2713</v>
      </c>
      <c r="J641" s="44" t="s">
        <v>532</v>
      </c>
      <c r="K641" s="48" t="s">
        <v>1689</v>
      </c>
      <c r="L641" s="52" t="s">
        <v>87</v>
      </c>
      <c r="M641" s="44">
        <v>0</v>
      </c>
      <c r="N641" s="45">
        <v>44377</v>
      </c>
    </row>
    <row r="642" spans="1:14" ht="15" customHeight="1" x14ac:dyDescent="0.2">
      <c r="A642" s="59" t="s">
        <v>2370</v>
      </c>
      <c r="B642" s="42" t="s">
        <v>1605</v>
      </c>
      <c r="C642" s="42" t="s">
        <v>1614</v>
      </c>
      <c r="D642" s="40">
        <v>43567</v>
      </c>
      <c r="E642" s="41">
        <v>20</v>
      </c>
      <c r="F642" s="46">
        <v>20</v>
      </c>
      <c r="G642" s="44" t="s">
        <v>615</v>
      </c>
      <c r="H642" s="43" t="s">
        <v>2716</v>
      </c>
      <c r="I642" s="43" t="s">
        <v>2713</v>
      </c>
      <c r="J642" s="44" t="s">
        <v>532</v>
      </c>
      <c r="K642" s="48" t="s">
        <v>1678</v>
      </c>
      <c r="L642" s="52" t="s">
        <v>87</v>
      </c>
      <c r="M642" s="44">
        <v>0</v>
      </c>
      <c r="N642" s="45">
        <v>43646</v>
      </c>
    </row>
    <row r="643" spans="1:14" ht="15" customHeight="1" x14ac:dyDescent="0.2">
      <c r="A643" s="59" t="s">
        <v>2371</v>
      </c>
      <c r="B643" s="42" t="s">
        <v>1606</v>
      </c>
      <c r="C643" s="42" t="s">
        <v>1615</v>
      </c>
      <c r="D643" s="40">
        <v>43570</v>
      </c>
      <c r="E643" s="41">
        <v>20</v>
      </c>
      <c r="F643" s="46">
        <v>20</v>
      </c>
      <c r="G643" s="44" t="s">
        <v>615</v>
      </c>
      <c r="H643" s="43" t="s">
        <v>2716</v>
      </c>
      <c r="I643" s="43" t="s">
        <v>2713</v>
      </c>
      <c r="J643" s="44" t="s">
        <v>532</v>
      </c>
      <c r="K643" s="48" t="s">
        <v>1679</v>
      </c>
      <c r="L643" s="52" t="s">
        <v>87</v>
      </c>
      <c r="M643" s="44">
        <v>0</v>
      </c>
      <c r="N643" s="45">
        <v>43646</v>
      </c>
    </row>
    <row r="644" spans="1:14" ht="15" customHeight="1" x14ac:dyDescent="0.2">
      <c r="A644" s="59" t="s">
        <v>2372</v>
      </c>
      <c r="B644" s="42" t="s">
        <v>1606</v>
      </c>
      <c r="C644" s="42" t="s">
        <v>1616</v>
      </c>
      <c r="D644" s="40">
        <v>43570</v>
      </c>
      <c r="E644" s="41">
        <v>20</v>
      </c>
      <c r="F644" s="46">
        <v>20</v>
      </c>
      <c r="G644" s="44" t="s">
        <v>615</v>
      </c>
      <c r="H644" s="43" t="s">
        <v>2716</v>
      </c>
      <c r="I644" s="43" t="s">
        <v>2713</v>
      </c>
      <c r="J644" s="44" t="s">
        <v>532</v>
      </c>
      <c r="K644" s="48" t="s">
        <v>1679</v>
      </c>
      <c r="L644" s="52" t="s">
        <v>87</v>
      </c>
      <c r="M644" s="44">
        <v>0</v>
      </c>
      <c r="N644" s="45">
        <v>43646</v>
      </c>
    </row>
    <row r="645" spans="1:14" ht="15" customHeight="1" x14ac:dyDescent="0.2">
      <c r="A645" s="59" t="s">
        <v>2373</v>
      </c>
      <c r="B645" s="42" t="s">
        <v>1606</v>
      </c>
      <c r="C645" s="42" t="s">
        <v>1617</v>
      </c>
      <c r="D645" s="40">
        <v>43570</v>
      </c>
      <c r="E645" s="41">
        <v>20</v>
      </c>
      <c r="F645" s="46">
        <v>20</v>
      </c>
      <c r="G645" s="44" t="s">
        <v>615</v>
      </c>
      <c r="H645" s="43" t="s">
        <v>2716</v>
      </c>
      <c r="I645" s="43" t="s">
        <v>2713</v>
      </c>
      <c r="J645" s="44" t="s">
        <v>532</v>
      </c>
      <c r="K645" s="48" t="s">
        <v>1680</v>
      </c>
      <c r="L645" s="52" t="s">
        <v>87</v>
      </c>
      <c r="M645" s="44">
        <v>0</v>
      </c>
      <c r="N645" s="45">
        <v>43646</v>
      </c>
    </row>
    <row r="646" spans="1:14" ht="15" customHeight="1" x14ac:dyDescent="0.2">
      <c r="A646" s="59" t="s">
        <v>2374</v>
      </c>
      <c r="B646" s="42" t="s">
        <v>1606</v>
      </c>
      <c r="C646" s="42" t="s">
        <v>1618</v>
      </c>
      <c r="D646" s="40">
        <v>43570</v>
      </c>
      <c r="E646" s="41">
        <v>20</v>
      </c>
      <c r="F646" s="46">
        <v>20</v>
      </c>
      <c r="G646" s="44" t="s">
        <v>615</v>
      </c>
      <c r="H646" s="43" t="s">
        <v>2716</v>
      </c>
      <c r="I646" s="43" t="s">
        <v>2713</v>
      </c>
      <c r="J646" s="44" t="s">
        <v>532</v>
      </c>
      <c r="K646" s="48" t="s">
        <v>1681</v>
      </c>
      <c r="L646" s="52" t="s">
        <v>87</v>
      </c>
      <c r="M646" s="44">
        <v>0</v>
      </c>
      <c r="N646" s="45">
        <v>43646</v>
      </c>
    </row>
    <row r="647" spans="1:14" customFormat="1" ht="14.45" customHeight="1" x14ac:dyDescent="0.2">
      <c r="A647" s="59" t="s">
        <v>6186</v>
      </c>
      <c r="B647" s="60" t="s">
        <v>1530</v>
      </c>
      <c r="C647" s="60" t="s">
        <v>6187</v>
      </c>
      <c r="D647" s="40">
        <v>43570</v>
      </c>
      <c r="E647" s="61">
        <v>58.2</v>
      </c>
      <c r="F647" s="62">
        <v>58.2</v>
      </c>
      <c r="G647" s="63" t="s">
        <v>615</v>
      </c>
      <c r="H647" s="64" t="s">
        <v>2715</v>
      </c>
      <c r="I647" s="64" t="s">
        <v>2713</v>
      </c>
      <c r="J647" s="63" t="s">
        <v>533</v>
      </c>
      <c r="K647" s="64" t="s">
        <v>6188</v>
      </c>
      <c r="L647" s="63" t="s">
        <v>403</v>
      </c>
      <c r="M647" s="63" t="s">
        <v>5781</v>
      </c>
      <c r="N647" s="65">
        <v>45657</v>
      </c>
    </row>
    <row r="648" spans="1:14" ht="15" customHeight="1" x14ac:dyDescent="0.2">
      <c r="A648" s="59" t="s">
        <v>2530</v>
      </c>
      <c r="B648" s="42" t="s">
        <v>1607</v>
      </c>
      <c r="C648" s="42" t="s">
        <v>1619</v>
      </c>
      <c r="D648" s="40">
        <v>43570</v>
      </c>
      <c r="E648" s="41">
        <v>116.7</v>
      </c>
      <c r="F648" s="46">
        <v>116.7</v>
      </c>
      <c r="G648" s="44" t="s">
        <v>615</v>
      </c>
      <c r="H648" s="43" t="s">
        <v>2716</v>
      </c>
      <c r="I648" s="43" t="s">
        <v>2713</v>
      </c>
      <c r="J648" s="44" t="s">
        <v>532</v>
      </c>
      <c r="K648" s="48" t="s">
        <v>1682</v>
      </c>
      <c r="L648" s="52" t="s">
        <v>87</v>
      </c>
      <c r="M648" s="44">
        <v>0</v>
      </c>
      <c r="N648" s="45">
        <v>43951</v>
      </c>
    </row>
    <row r="649" spans="1:14" ht="15" customHeight="1" x14ac:dyDescent="0.2">
      <c r="A649" s="59" t="s">
        <v>2531</v>
      </c>
      <c r="B649" s="42" t="s">
        <v>1607</v>
      </c>
      <c r="C649" s="42" t="s">
        <v>1620</v>
      </c>
      <c r="D649" s="40">
        <v>43570</v>
      </c>
      <c r="E649" s="41">
        <v>76.900000000000006</v>
      </c>
      <c r="F649" s="46">
        <v>76.900000000000006</v>
      </c>
      <c r="G649" s="44" t="s">
        <v>615</v>
      </c>
      <c r="H649" s="43" t="s">
        <v>2716</v>
      </c>
      <c r="I649" s="43" t="s">
        <v>2713</v>
      </c>
      <c r="J649" s="44" t="s">
        <v>532</v>
      </c>
      <c r="K649" s="48" t="s">
        <v>1677</v>
      </c>
      <c r="L649" s="52" t="s">
        <v>87</v>
      </c>
      <c r="M649" s="44">
        <v>0</v>
      </c>
      <c r="N649" s="45">
        <v>43951</v>
      </c>
    </row>
    <row r="650" spans="1:14" customFormat="1" ht="14.45" customHeight="1" x14ac:dyDescent="0.2">
      <c r="A650" s="59" t="s">
        <v>5204</v>
      </c>
      <c r="B650" s="60" t="s">
        <v>1606</v>
      </c>
      <c r="C650" s="60" t="s">
        <v>1621</v>
      </c>
      <c r="D650" s="40">
        <v>43570</v>
      </c>
      <c r="E650" s="61">
        <v>65.3</v>
      </c>
      <c r="F650" s="62">
        <v>65.3</v>
      </c>
      <c r="G650" s="63" t="s">
        <v>615</v>
      </c>
      <c r="H650" s="64" t="s">
        <v>2716</v>
      </c>
      <c r="I650" s="64" t="s">
        <v>2713</v>
      </c>
      <c r="J650" s="63" t="s">
        <v>532</v>
      </c>
      <c r="K650" s="64" t="s">
        <v>1679</v>
      </c>
      <c r="L650" s="63" t="s">
        <v>87</v>
      </c>
      <c r="M650" s="63" t="s">
        <v>5781</v>
      </c>
      <c r="N650" s="65">
        <v>45688</v>
      </c>
    </row>
    <row r="651" spans="1:14" ht="15" customHeight="1" x14ac:dyDescent="0.2">
      <c r="A651" s="59" t="s">
        <v>2532</v>
      </c>
      <c r="B651" s="60" t="s">
        <v>1608</v>
      </c>
      <c r="C651" s="60" t="s">
        <v>1622</v>
      </c>
      <c r="D651" s="40">
        <v>43573</v>
      </c>
      <c r="E651" s="61">
        <v>40</v>
      </c>
      <c r="F651" s="62">
        <v>40</v>
      </c>
      <c r="G651" s="63" t="s">
        <v>615</v>
      </c>
      <c r="H651" s="64" t="s">
        <v>2719</v>
      </c>
      <c r="I651" s="64" t="s">
        <v>2713</v>
      </c>
      <c r="J651" s="63" t="s">
        <v>533</v>
      </c>
      <c r="K651" s="64" t="s">
        <v>4102</v>
      </c>
      <c r="L651" s="63" t="s">
        <v>403</v>
      </c>
      <c r="M651" s="44">
        <v>0</v>
      </c>
      <c r="N651" s="65">
        <v>44957</v>
      </c>
    </row>
    <row r="652" spans="1:14" ht="15" customHeight="1" x14ac:dyDescent="0.2">
      <c r="A652" s="59" t="s">
        <v>2392</v>
      </c>
      <c r="B652" s="42" t="s">
        <v>1624</v>
      </c>
      <c r="C652" s="42" t="s">
        <v>1627</v>
      </c>
      <c r="D652" s="40">
        <v>43579</v>
      </c>
      <c r="E652" s="41">
        <v>60</v>
      </c>
      <c r="F652" s="46">
        <v>60</v>
      </c>
      <c r="G652" s="44" t="s">
        <v>615</v>
      </c>
      <c r="H652" s="43" t="s">
        <v>2714</v>
      </c>
      <c r="I652" s="43" t="s">
        <v>2713</v>
      </c>
      <c r="J652" s="44" t="s">
        <v>533</v>
      </c>
      <c r="K652" s="48" t="s">
        <v>1683</v>
      </c>
      <c r="L652" s="52" t="s">
        <v>403</v>
      </c>
      <c r="M652" s="44">
        <v>0</v>
      </c>
      <c r="N652" s="45">
        <v>43861</v>
      </c>
    </row>
    <row r="653" spans="1:14" ht="15" customHeight="1" x14ac:dyDescent="0.2">
      <c r="A653" s="59" t="s">
        <v>2533</v>
      </c>
      <c r="B653" s="60" t="s">
        <v>1608</v>
      </c>
      <c r="C653" s="60" t="s">
        <v>1628</v>
      </c>
      <c r="D653" s="40">
        <v>43581</v>
      </c>
      <c r="E653" s="61">
        <v>79.900000000000006</v>
      </c>
      <c r="F653" s="62">
        <v>79.900000000000006</v>
      </c>
      <c r="G653" s="63" t="s">
        <v>615</v>
      </c>
      <c r="H653" s="64" t="s">
        <v>2719</v>
      </c>
      <c r="I653" s="64" t="s">
        <v>2713</v>
      </c>
      <c r="J653" s="63" t="s">
        <v>533</v>
      </c>
      <c r="K653" s="64" t="s">
        <v>1690</v>
      </c>
      <c r="L653" s="63" t="s">
        <v>403</v>
      </c>
      <c r="M653" s="44">
        <v>0</v>
      </c>
      <c r="N653" s="65">
        <v>44957</v>
      </c>
    </row>
    <row r="654" spans="1:14" ht="15" customHeight="1" x14ac:dyDescent="0.2">
      <c r="A654" s="59" t="s">
        <v>2393</v>
      </c>
      <c r="B654" s="42" t="s">
        <v>1602</v>
      </c>
      <c r="C654" s="42" t="s">
        <v>2394</v>
      </c>
      <c r="D654" s="40">
        <v>43584</v>
      </c>
      <c r="E654" s="41">
        <v>10.199999999999999</v>
      </c>
      <c r="F654" s="46">
        <v>10.199999999999999</v>
      </c>
      <c r="G654" s="44" t="s">
        <v>615</v>
      </c>
      <c r="H654" s="43" t="s">
        <v>2763</v>
      </c>
      <c r="I654" s="43" t="s">
        <v>2713</v>
      </c>
      <c r="J654" s="44" t="s">
        <v>393</v>
      </c>
      <c r="K654" s="48" t="s">
        <v>1684</v>
      </c>
      <c r="L654" s="52" t="s">
        <v>34</v>
      </c>
      <c r="M654" s="44">
        <v>0</v>
      </c>
      <c r="N654" s="45">
        <v>43861</v>
      </c>
    </row>
    <row r="655" spans="1:14" ht="15" customHeight="1" x14ac:dyDescent="0.2">
      <c r="A655" s="59" t="s">
        <v>2534</v>
      </c>
      <c r="B655" s="42" t="s">
        <v>1640</v>
      </c>
      <c r="C655" s="42" t="s">
        <v>1641</v>
      </c>
      <c r="D655" s="40">
        <v>43592</v>
      </c>
      <c r="E655" s="41">
        <v>56.3</v>
      </c>
      <c r="F655" s="46">
        <v>56.3</v>
      </c>
      <c r="G655" s="44" t="s">
        <v>615</v>
      </c>
      <c r="H655" s="43" t="s">
        <v>2719</v>
      </c>
      <c r="I655" s="43" t="s">
        <v>2713</v>
      </c>
      <c r="J655" s="44" t="s">
        <v>533</v>
      </c>
      <c r="K655" s="48" t="s">
        <v>662</v>
      </c>
      <c r="L655" s="52" t="s">
        <v>403</v>
      </c>
      <c r="M655" s="44">
        <v>0</v>
      </c>
      <c r="N655" s="45">
        <v>43890</v>
      </c>
    </row>
    <row r="656" spans="1:14" ht="15" customHeight="1" x14ac:dyDescent="0.2">
      <c r="A656" s="59" t="s">
        <v>2535</v>
      </c>
      <c r="B656" s="42" t="s">
        <v>1640</v>
      </c>
      <c r="C656" s="42" t="s">
        <v>1642</v>
      </c>
      <c r="D656" s="40">
        <v>43592</v>
      </c>
      <c r="E656" s="41">
        <v>79</v>
      </c>
      <c r="F656" s="46">
        <v>79</v>
      </c>
      <c r="G656" s="44" t="s">
        <v>615</v>
      </c>
      <c r="H656" s="43" t="s">
        <v>2719</v>
      </c>
      <c r="I656" s="43" t="s">
        <v>2713</v>
      </c>
      <c r="J656" s="44" t="s">
        <v>533</v>
      </c>
      <c r="K656" s="48" t="s">
        <v>662</v>
      </c>
      <c r="L656" s="52" t="s">
        <v>403</v>
      </c>
      <c r="M656" s="44">
        <v>0</v>
      </c>
      <c r="N656" s="45">
        <v>43890</v>
      </c>
    </row>
    <row r="657" spans="1:14" ht="15" customHeight="1" x14ac:dyDescent="0.2">
      <c r="A657" s="59" t="s">
        <v>2536</v>
      </c>
      <c r="B657" s="60" t="s">
        <v>1608</v>
      </c>
      <c r="C657" s="60" t="s">
        <v>1643</v>
      </c>
      <c r="D657" s="40">
        <v>43594</v>
      </c>
      <c r="E657" s="61">
        <v>20</v>
      </c>
      <c r="F657" s="62">
        <v>20</v>
      </c>
      <c r="G657" s="63" t="s">
        <v>615</v>
      </c>
      <c r="H657" s="64" t="s">
        <v>2719</v>
      </c>
      <c r="I657" s="64" t="s">
        <v>2713</v>
      </c>
      <c r="J657" s="63" t="s">
        <v>533</v>
      </c>
      <c r="K657" s="64" t="s">
        <v>4103</v>
      </c>
      <c r="L657" s="63" t="s">
        <v>403</v>
      </c>
      <c r="M657" s="44">
        <v>0</v>
      </c>
      <c r="N657" s="65">
        <v>44957</v>
      </c>
    </row>
    <row r="658" spans="1:14" ht="15" customHeight="1" x14ac:dyDescent="0.2">
      <c r="A658" s="59" t="s">
        <v>2537</v>
      </c>
      <c r="B658" s="42" t="s">
        <v>1608</v>
      </c>
      <c r="C658" s="42" t="s">
        <v>1644</v>
      </c>
      <c r="D658" s="40">
        <v>43594</v>
      </c>
      <c r="E658" s="41">
        <v>20</v>
      </c>
      <c r="F658" s="46">
        <v>20</v>
      </c>
      <c r="G658" s="44" t="s">
        <v>615</v>
      </c>
      <c r="H658" s="43" t="s">
        <v>2719</v>
      </c>
      <c r="I658" s="43" t="s">
        <v>2713</v>
      </c>
      <c r="J658" s="44" t="s">
        <v>533</v>
      </c>
      <c r="K658" s="48" t="s">
        <v>1690</v>
      </c>
      <c r="L658" s="52" t="s">
        <v>403</v>
      </c>
      <c r="M658" s="44">
        <v>0</v>
      </c>
      <c r="N658" s="45">
        <v>43890</v>
      </c>
    </row>
    <row r="659" spans="1:14" customFormat="1" ht="14.45" customHeight="1" x14ac:dyDescent="0.2">
      <c r="A659" s="59" t="s">
        <v>5211</v>
      </c>
      <c r="B659" s="60" t="s">
        <v>5098</v>
      </c>
      <c r="C659" s="60" t="s">
        <v>2538</v>
      </c>
      <c r="D659" s="40">
        <v>43594</v>
      </c>
      <c r="E659" s="61">
        <v>650</v>
      </c>
      <c r="F659" s="62">
        <v>650</v>
      </c>
      <c r="G659" s="63" t="s">
        <v>615</v>
      </c>
      <c r="H659" s="64" t="s">
        <v>2714</v>
      </c>
      <c r="I659" s="64" t="s">
        <v>2713</v>
      </c>
      <c r="J659" s="63" t="s">
        <v>533</v>
      </c>
      <c r="K659" s="64" t="s">
        <v>1588</v>
      </c>
      <c r="L659" s="63" t="s">
        <v>403</v>
      </c>
      <c r="M659" s="63" t="s">
        <v>5781</v>
      </c>
      <c r="N659" s="65">
        <v>45626</v>
      </c>
    </row>
    <row r="660" spans="1:14" ht="15" customHeight="1" x14ac:dyDescent="0.2">
      <c r="A660" s="59" t="s">
        <v>2539</v>
      </c>
      <c r="B660" s="42" t="s">
        <v>1645</v>
      </c>
      <c r="C660" s="42" t="s">
        <v>1790</v>
      </c>
      <c r="D660" s="40">
        <v>43595</v>
      </c>
      <c r="E660" s="41">
        <v>20</v>
      </c>
      <c r="F660" s="46">
        <v>20</v>
      </c>
      <c r="G660" s="44" t="s">
        <v>55</v>
      </c>
      <c r="H660" s="43" t="s">
        <v>2798</v>
      </c>
      <c r="I660" s="43" t="s">
        <v>2713</v>
      </c>
      <c r="J660" s="44" t="s">
        <v>471</v>
      </c>
      <c r="K660" s="48" t="s">
        <v>1724</v>
      </c>
      <c r="L660" s="52" t="s">
        <v>157</v>
      </c>
      <c r="M660" s="44">
        <v>0</v>
      </c>
      <c r="N660" s="45">
        <v>44408</v>
      </c>
    </row>
    <row r="661" spans="1:14" ht="15" customHeight="1" x14ac:dyDescent="0.2">
      <c r="A661" s="59" t="s">
        <v>2540</v>
      </c>
      <c r="B661" s="42" t="s">
        <v>1646</v>
      </c>
      <c r="C661" s="42" t="s">
        <v>1791</v>
      </c>
      <c r="D661" s="40">
        <v>43602</v>
      </c>
      <c r="E661" s="41">
        <v>20</v>
      </c>
      <c r="F661" s="46">
        <v>20</v>
      </c>
      <c r="G661" s="44" t="s">
        <v>55</v>
      </c>
      <c r="H661" s="43" t="s">
        <v>2758</v>
      </c>
      <c r="I661" s="43" t="s">
        <v>2713</v>
      </c>
      <c r="J661" s="44" t="s">
        <v>540</v>
      </c>
      <c r="K661" s="48" t="s">
        <v>2848</v>
      </c>
      <c r="L661" s="52" t="s">
        <v>157</v>
      </c>
      <c r="M661" s="44">
        <v>0</v>
      </c>
      <c r="N661" s="45">
        <v>43861</v>
      </c>
    </row>
    <row r="662" spans="1:14" ht="15" customHeight="1" x14ac:dyDescent="0.2">
      <c r="A662" s="59" t="s">
        <v>2541</v>
      </c>
      <c r="B662" s="42" t="s">
        <v>1647</v>
      </c>
      <c r="C662" s="42" t="s">
        <v>1649</v>
      </c>
      <c r="D662" s="40">
        <v>43602</v>
      </c>
      <c r="E662" s="41">
        <v>4</v>
      </c>
      <c r="F662" s="46">
        <v>4</v>
      </c>
      <c r="G662" s="44" t="s">
        <v>615</v>
      </c>
      <c r="H662" s="43" t="s">
        <v>2740</v>
      </c>
      <c r="I662" s="43" t="s">
        <v>2713</v>
      </c>
      <c r="J662" s="44" t="s">
        <v>530</v>
      </c>
      <c r="K662" s="48" t="s">
        <v>1725</v>
      </c>
      <c r="L662" s="52" t="s">
        <v>157</v>
      </c>
      <c r="M662" s="44">
        <v>0</v>
      </c>
      <c r="N662" s="45">
        <v>44196</v>
      </c>
    </row>
    <row r="663" spans="1:14" ht="15" customHeight="1" x14ac:dyDescent="0.2">
      <c r="A663" s="59" t="s">
        <v>2542</v>
      </c>
      <c r="B663" s="42" t="s">
        <v>1273</v>
      </c>
      <c r="C663" s="42" t="s">
        <v>1650</v>
      </c>
      <c r="D663" s="40">
        <v>43605</v>
      </c>
      <c r="E663" s="41">
        <v>120</v>
      </c>
      <c r="F663" s="46">
        <v>120</v>
      </c>
      <c r="G663" s="44" t="s">
        <v>615</v>
      </c>
      <c r="H663" s="43" t="s">
        <v>2715</v>
      </c>
      <c r="I663" s="43" t="s">
        <v>2713</v>
      </c>
      <c r="J663" s="44" t="s">
        <v>533</v>
      </c>
      <c r="K663" s="48" t="s">
        <v>1792</v>
      </c>
      <c r="L663" s="52" t="s">
        <v>403</v>
      </c>
      <c r="M663" s="44">
        <v>0</v>
      </c>
      <c r="N663" s="45">
        <v>43921</v>
      </c>
    </row>
    <row r="664" spans="1:14" ht="15" customHeight="1" x14ac:dyDescent="0.2">
      <c r="A664" s="59" t="s">
        <v>2543</v>
      </c>
      <c r="B664" s="42" t="s">
        <v>1273</v>
      </c>
      <c r="C664" s="42" t="s">
        <v>1651</v>
      </c>
      <c r="D664" s="40">
        <v>43605</v>
      </c>
      <c r="E664" s="41">
        <v>300</v>
      </c>
      <c r="F664" s="46">
        <v>300</v>
      </c>
      <c r="G664" s="44" t="s">
        <v>615</v>
      </c>
      <c r="H664" s="43" t="s">
        <v>2713</v>
      </c>
      <c r="I664" s="43" t="s">
        <v>2713</v>
      </c>
      <c r="J664" s="44" t="s">
        <v>533</v>
      </c>
      <c r="K664" s="48" t="s">
        <v>1727</v>
      </c>
      <c r="L664" s="52" t="s">
        <v>403</v>
      </c>
      <c r="M664" s="44">
        <v>0</v>
      </c>
      <c r="N664" s="45">
        <v>43951</v>
      </c>
    </row>
    <row r="665" spans="1:14" ht="15" customHeight="1" x14ac:dyDescent="0.2">
      <c r="A665" s="59" t="s">
        <v>2544</v>
      </c>
      <c r="B665" s="42" t="s">
        <v>1273</v>
      </c>
      <c r="C665" s="42" t="s">
        <v>1652</v>
      </c>
      <c r="D665" s="40">
        <v>43605</v>
      </c>
      <c r="E665" s="41">
        <v>300</v>
      </c>
      <c r="F665" s="46">
        <v>300</v>
      </c>
      <c r="G665" s="44" t="s">
        <v>615</v>
      </c>
      <c r="H665" s="43" t="s">
        <v>2713</v>
      </c>
      <c r="I665" s="43" t="s">
        <v>2713</v>
      </c>
      <c r="J665" s="44" t="s">
        <v>533</v>
      </c>
      <c r="K665" s="48" t="s">
        <v>1575</v>
      </c>
      <c r="L665" s="52" t="s">
        <v>403</v>
      </c>
      <c r="M665" s="44">
        <v>0</v>
      </c>
      <c r="N665" s="45">
        <v>43951</v>
      </c>
    </row>
    <row r="666" spans="1:14" customFormat="1" ht="14.45" customHeight="1" x14ac:dyDescent="0.2">
      <c r="A666" s="59" t="s">
        <v>5213</v>
      </c>
      <c r="B666" s="60" t="s">
        <v>7520</v>
      </c>
      <c r="C666" s="60" t="s">
        <v>1653</v>
      </c>
      <c r="D666" s="40">
        <v>43605</v>
      </c>
      <c r="E666" s="61">
        <v>20</v>
      </c>
      <c r="F666" s="62">
        <v>20</v>
      </c>
      <c r="G666" s="63" t="s">
        <v>55</v>
      </c>
      <c r="H666" s="64" t="s">
        <v>2800</v>
      </c>
      <c r="I666" s="64" t="s">
        <v>2713</v>
      </c>
      <c r="J666" s="63" t="s">
        <v>530</v>
      </c>
      <c r="K666" s="64" t="s">
        <v>4494</v>
      </c>
      <c r="L666" s="63" t="s">
        <v>157</v>
      </c>
      <c r="M666" s="63" t="s">
        <v>5781</v>
      </c>
      <c r="N666" s="65">
        <v>45900</v>
      </c>
    </row>
    <row r="667" spans="1:14" ht="15" customHeight="1" x14ac:dyDescent="0.2">
      <c r="A667" s="59" t="s">
        <v>2545</v>
      </c>
      <c r="B667" s="42" t="s">
        <v>1658</v>
      </c>
      <c r="C667" s="42" t="s">
        <v>1659</v>
      </c>
      <c r="D667" s="40">
        <v>43608</v>
      </c>
      <c r="E667" s="41">
        <v>20</v>
      </c>
      <c r="F667" s="46">
        <v>20</v>
      </c>
      <c r="G667" s="44" t="s">
        <v>55</v>
      </c>
      <c r="H667" s="43" t="s">
        <v>2729</v>
      </c>
      <c r="I667" s="43" t="s">
        <v>2713</v>
      </c>
      <c r="J667" s="44" t="s">
        <v>530</v>
      </c>
      <c r="K667" s="48" t="s">
        <v>1728</v>
      </c>
      <c r="L667" s="52" t="s">
        <v>34</v>
      </c>
      <c r="M667" s="44">
        <v>0</v>
      </c>
      <c r="N667" s="45">
        <v>43861</v>
      </c>
    </row>
    <row r="668" spans="1:14" customFormat="1" ht="14.45" customHeight="1" x14ac:dyDescent="0.2">
      <c r="A668" s="59" t="s">
        <v>5215</v>
      </c>
      <c r="B668" s="60" t="s">
        <v>1660</v>
      </c>
      <c r="C668" s="60" t="s">
        <v>1661</v>
      </c>
      <c r="D668" s="40">
        <v>43609</v>
      </c>
      <c r="E668" s="61">
        <v>180</v>
      </c>
      <c r="F668" s="62">
        <v>180</v>
      </c>
      <c r="G668" s="63" t="s">
        <v>55</v>
      </c>
      <c r="H668" s="64" t="s">
        <v>2722</v>
      </c>
      <c r="I668" s="64" t="s">
        <v>2713</v>
      </c>
      <c r="J668" s="63" t="s">
        <v>531</v>
      </c>
      <c r="K668" s="64" t="s">
        <v>1793</v>
      </c>
      <c r="L668" s="63" t="s">
        <v>34</v>
      </c>
      <c r="M668" s="63" t="s">
        <v>5781</v>
      </c>
      <c r="N668" s="65">
        <v>45657</v>
      </c>
    </row>
    <row r="669" spans="1:14" ht="15" customHeight="1" x14ac:dyDescent="0.2">
      <c r="A669" s="59" t="s">
        <v>2546</v>
      </c>
      <c r="B669" s="42" t="s">
        <v>1647</v>
      </c>
      <c r="C669" s="42" t="s">
        <v>1662</v>
      </c>
      <c r="D669" s="40">
        <v>43609</v>
      </c>
      <c r="E669" s="41">
        <v>20</v>
      </c>
      <c r="F669" s="46">
        <v>20</v>
      </c>
      <c r="G669" s="44" t="s">
        <v>55</v>
      </c>
      <c r="H669" s="43" t="s">
        <v>2808</v>
      </c>
      <c r="I669" s="43" t="s">
        <v>2713</v>
      </c>
      <c r="J669" s="44" t="s">
        <v>471</v>
      </c>
      <c r="K669" s="48" t="s">
        <v>1750</v>
      </c>
      <c r="L669" s="52" t="s">
        <v>157</v>
      </c>
      <c r="M669" s="44">
        <v>0</v>
      </c>
      <c r="N669" s="45">
        <v>44286</v>
      </c>
    </row>
    <row r="670" spans="1:14" ht="15" customHeight="1" x14ac:dyDescent="0.2">
      <c r="A670" s="59" t="s">
        <v>2395</v>
      </c>
      <c r="B670" s="42" t="s">
        <v>1647</v>
      </c>
      <c r="C670" s="42" t="s">
        <v>1663</v>
      </c>
      <c r="D670" s="40">
        <v>43609</v>
      </c>
      <c r="E670" s="41">
        <v>4</v>
      </c>
      <c r="F670" s="46">
        <v>4</v>
      </c>
      <c r="G670" s="44" t="s">
        <v>615</v>
      </c>
      <c r="H670" s="43" t="s">
        <v>2808</v>
      </c>
      <c r="I670" s="43" t="s">
        <v>2713</v>
      </c>
      <c r="J670" s="44" t="s">
        <v>471</v>
      </c>
      <c r="K670" s="48" t="s">
        <v>1686</v>
      </c>
      <c r="L670" s="52" t="s">
        <v>157</v>
      </c>
      <c r="M670" s="44">
        <v>0</v>
      </c>
      <c r="N670" s="45">
        <v>43742</v>
      </c>
    </row>
    <row r="671" spans="1:14" customFormat="1" ht="14.45" customHeight="1" x14ac:dyDescent="0.2">
      <c r="A671" s="59" t="s">
        <v>5216</v>
      </c>
      <c r="B671" s="60" t="s">
        <v>3803</v>
      </c>
      <c r="C671" s="60" t="s">
        <v>1664</v>
      </c>
      <c r="D671" s="40">
        <v>43609</v>
      </c>
      <c r="E671" s="61">
        <v>20</v>
      </c>
      <c r="F671" s="62">
        <v>20</v>
      </c>
      <c r="G671" s="63" t="s">
        <v>55</v>
      </c>
      <c r="H671" s="64" t="s">
        <v>2808</v>
      </c>
      <c r="I671" s="64" t="s">
        <v>2713</v>
      </c>
      <c r="J671" s="63" t="s">
        <v>471</v>
      </c>
      <c r="K671" s="64" t="s">
        <v>1750</v>
      </c>
      <c r="L671" s="63" t="s">
        <v>157</v>
      </c>
      <c r="M671" s="63" t="s">
        <v>5781</v>
      </c>
      <c r="N671" s="65">
        <v>46081</v>
      </c>
    </row>
    <row r="672" spans="1:14" ht="15" customHeight="1" x14ac:dyDescent="0.2">
      <c r="A672" s="59" t="s">
        <v>2396</v>
      </c>
      <c r="B672" s="42" t="s">
        <v>1647</v>
      </c>
      <c r="C672" s="42" t="s">
        <v>1665</v>
      </c>
      <c r="D672" s="40">
        <v>43609</v>
      </c>
      <c r="E672" s="41">
        <v>4</v>
      </c>
      <c r="F672" s="46">
        <v>4</v>
      </c>
      <c r="G672" s="44" t="s">
        <v>615</v>
      </c>
      <c r="H672" s="43" t="s">
        <v>2808</v>
      </c>
      <c r="I672" s="43" t="s">
        <v>2713</v>
      </c>
      <c r="J672" s="44" t="s">
        <v>471</v>
      </c>
      <c r="K672" s="48" t="s">
        <v>1686</v>
      </c>
      <c r="L672" s="52" t="s">
        <v>157</v>
      </c>
      <c r="M672" s="44">
        <v>0</v>
      </c>
      <c r="N672" s="45">
        <v>43742</v>
      </c>
    </row>
    <row r="673" spans="1:21" ht="15" customHeight="1" x14ac:dyDescent="0.2">
      <c r="A673" s="59" t="s">
        <v>5864</v>
      </c>
      <c r="B673" s="60" t="s">
        <v>1428</v>
      </c>
      <c r="C673" s="60" t="s">
        <v>1666</v>
      </c>
      <c r="D673" s="40">
        <v>43613</v>
      </c>
      <c r="E673" s="61" t="s">
        <v>5805</v>
      </c>
      <c r="F673" s="62" t="s">
        <v>5805</v>
      </c>
      <c r="G673" s="63" t="s">
        <v>55</v>
      </c>
      <c r="H673" s="64" t="s">
        <v>2737</v>
      </c>
      <c r="I673" s="64" t="s">
        <v>2713</v>
      </c>
      <c r="J673" s="63" t="s">
        <v>530</v>
      </c>
      <c r="K673" s="64" t="s">
        <v>766</v>
      </c>
      <c r="L673" s="63" t="s">
        <v>41</v>
      </c>
      <c r="M673" s="63" t="s">
        <v>5781</v>
      </c>
      <c r="N673" s="65">
        <v>45443</v>
      </c>
      <c r="O673"/>
      <c r="P673"/>
      <c r="Q673"/>
      <c r="R673"/>
      <c r="S673"/>
      <c r="T673"/>
    </row>
    <row r="674" spans="1:21" customFormat="1" ht="14.45" customHeight="1" x14ac:dyDescent="0.2">
      <c r="A674" s="59" t="s">
        <v>5217</v>
      </c>
      <c r="B674" s="60" t="s">
        <v>1428</v>
      </c>
      <c r="C674" s="60" t="s">
        <v>1667</v>
      </c>
      <c r="D674" s="40">
        <v>43613</v>
      </c>
      <c r="E674" s="61">
        <v>250</v>
      </c>
      <c r="F674" s="62">
        <v>250</v>
      </c>
      <c r="G674" s="63" t="s">
        <v>55</v>
      </c>
      <c r="H674" s="64" t="s">
        <v>2775</v>
      </c>
      <c r="I674" s="64" t="s">
        <v>2713</v>
      </c>
      <c r="J674" s="63" t="s">
        <v>531</v>
      </c>
      <c r="K674" s="64" t="s">
        <v>1400</v>
      </c>
      <c r="L674" s="63" t="s">
        <v>34</v>
      </c>
      <c r="M674" s="63" t="s">
        <v>5781</v>
      </c>
      <c r="N674" s="65">
        <v>45657</v>
      </c>
    </row>
    <row r="675" spans="1:21" customFormat="1" ht="14.45" customHeight="1" x14ac:dyDescent="0.2">
      <c r="A675" s="59" t="s">
        <v>5218</v>
      </c>
      <c r="B675" s="60" t="s">
        <v>1428</v>
      </c>
      <c r="C675" s="60" t="s">
        <v>1668</v>
      </c>
      <c r="D675" s="40">
        <v>43613</v>
      </c>
      <c r="E675" s="61">
        <v>350</v>
      </c>
      <c r="F675" s="62">
        <v>350</v>
      </c>
      <c r="G675" s="63" t="s">
        <v>55</v>
      </c>
      <c r="H675" s="64" t="s">
        <v>2722</v>
      </c>
      <c r="I675" s="64" t="s">
        <v>2713</v>
      </c>
      <c r="J675" s="63" t="s">
        <v>531</v>
      </c>
      <c r="K675" s="64" t="s">
        <v>4105</v>
      </c>
      <c r="L675" s="63" t="s">
        <v>34</v>
      </c>
      <c r="M675" s="63" t="s">
        <v>5781</v>
      </c>
      <c r="N675" s="65">
        <v>45657</v>
      </c>
    </row>
    <row r="676" spans="1:21" ht="15" customHeight="1" x14ac:dyDescent="0.2">
      <c r="A676" s="59" t="s">
        <v>5219</v>
      </c>
      <c r="B676" s="60" t="s">
        <v>1428</v>
      </c>
      <c r="C676" s="60" t="s">
        <v>1669</v>
      </c>
      <c r="D676" s="40">
        <v>43613</v>
      </c>
      <c r="E676" s="61" t="s">
        <v>5796</v>
      </c>
      <c r="F676" s="62" t="s">
        <v>5796</v>
      </c>
      <c r="G676" s="63" t="s">
        <v>55</v>
      </c>
      <c r="H676" s="64" t="s">
        <v>2732</v>
      </c>
      <c r="I676" s="64" t="s">
        <v>2713</v>
      </c>
      <c r="J676" s="63" t="s">
        <v>540</v>
      </c>
      <c r="K676" s="64" t="s">
        <v>4106</v>
      </c>
      <c r="L676" s="63" t="s">
        <v>41</v>
      </c>
      <c r="M676" s="63" t="s">
        <v>5781</v>
      </c>
      <c r="N676" s="65">
        <v>45504</v>
      </c>
      <c r="O676"/>
      <c r="P676"/>
      <c r="Q676"/>
      <c r="R676"/>
      <c r="S676"/>
      <c r="T676"/>
      <c r="U676"/>
    </row>
    <row r="677" spans="1:21" ht="15" customHeight="1" x14ac:dyDescent="0.2">
      <c r="A677" s="59" t="s">
        <v>2547</v>
      </c>
      <c r="B677" s="42" t="s">
        <v>1646</v>
      </c>
      <c r="C677" s="42" t="s">
        <v>1670</v>
      </c>
      <c r="D677" s="40">
        <v>43614</v>
      </c>
      <c r="E677" s="41">
        <v>20</v>
      </c>
      <c r="F677" s="46">
        <v>20</v>
      </c>
      <c r="G677" s="44" t="s">
        <v>55</v>
      </c>
      <c r="H677" s="43" t="s">
        <v>2722</v>
      </c>
      <c r="I677" s="43" t="s">
        <v>2713</v>
      </c>
      <c r="J677" s="44" t="s">
        <v>540</v>
      </c>
      <c r="K677" s="48" t="s">
        <v>1333</v>
      </c>
      <c r="L677" s="52" t="s">
        <v>157</v>
      </c>
      <c r="M677" s="44">
        <v>0</v>
      </c>
      <c r="N677" s="45">
        <v>44196</v>
      </c>
    </row>
    <row r="678" spans="1:21" ht="15" customHeight="1" x14ac:dyDescent="0.2">
      <c r="A678" s="59" t="s">
        <v>2548</v>
      </c>
      <c r="B678" s="42" t="s">
        <v>1646</v>
      </c>
      <c r="C678" s="42" t="s">
        <v>1671</v>
      </c>
      <c r="D678" s="40">
        <v>43614</v>
      </c>
      <c r="E678" s="41">
        <v>20</v>
      </c>
      <c r="F678" s="46">
        <v>20</v>
      </c>
      <c r="G678" s="44" t="s">
        <v>55</v>
      </c>
      <c r="H678" s="43" t="s">
        <v>2754</v>
      </c>
      <c r="I678" s="43" t="s">
        <v>2713</v>
      </c>
      <c r="J678" s="44" t="s">
        <v>540</v>
      </c>
      <c r="K678" s="48" t="s">
        <v>1404</v>
      </c>
      <c r="L678" s="52" t="s">
        <v>157</v>
      </c>
      <c r="M678" s="44">
        <v>0</v>
      </c>
      <c r="N678" s="45">
        <v>44255</v>
      </c>
    </row>
    <row r="679" spans="1:21" customFormat="1" ht="14.45" customHeight="1" x14ac:dyDescent="0.2">
      <c r="A679" s="59" t="s">
        <v>5223</v>
      </c>
      <c r="B679" s="60" t="s">
        <v>4109</v>
      </c>
      <c r="C679" s="60" t="s">
        <v>1692</v>
      </c>
      <c r="D679" s="40">
        <v>43619</v>
      </c>
      <c r="E679" s="61">
        <v>298.2</v>
      </c>
      <c r="F679" s="62">
        <v>298.2</v>
      </c>
      <c r="G679" s="63" t="s">
        <v>124</v>
      </c>
      <c r="H679" s="64" t="s">
        <v>2738</v>
      </c>
      <c r="I679" s="64" t="s">
        <v>2713</v>
      </c>
      <c r="J679" s="63" t="s">
        <v>420</v>
      </c>
      <c r="K679" s="64" t="s">
        <v>4804</v>
      </c>
      <c r="L679" s="63" t="s">
        <v>41</v>
      </c>
      <c r="M679" s="63" t="s">
        <v>5781</v>
      </c>
      <c r="N679" s="65">
        <v>45657</v>
      </c>
    </row>
    <row r="680" spans="1:21" ht="15" customHeight="1" x14ac:dyDescent="0.2">
      <c r="A680" s="59" t="s">
        <v>2549</v>
      </c>
      <c r="B680" s="42" t="s">
        <v>1421</v>
      </c>
      <c r="C680" s="42" t="s">
        <v>1421</v>
      </c>
      <c r="D680" s="40">
        <v>43619</v>
      </c>
      <c r="E680" s="41">
        <v>20</v>
      </c>
      <c r="F680" s="46">
        <v>20</v>
      </c>
      <c r="G680" s="44" t="s">
        <v>55</v>
      </c>
      <c r="H680" s="43" t="s">
        <v>2722</v>
      </c>
      <c r="I680" s="43" t="s">
        <v>2713</v>
      </c>
      <c r="J680" s="44" t="s">
        <v>531</v>
      </c>
      <c r="K680" s="48" t="s">
        <v>1687</v>
      </c>
      <c r="L680" s="52" t="s">
        <v>34</v>
      </c>
      <c r="M680" s="44">
        <v>0</v>
      </c>
      <c r="N680" s="45">
        <v>43861</v>
      </c>
    </row>
    <row r="681" spans="1:21" ht="15" customHeight="1" x14ac:dyDescent="0.2">
      <c r="A681" s="59" t="s">
        <v>2550</v>
      </c>
      <c r="B681" s="42" t="s">
        <v>1420</v>
      </c>
      <c r="C681" s="42" t="s">
        <v>1420</v>
      </c>
      <c r="D681" s="40">
        <v>43619</v>
      </c>
      <c r="E681" s="41">
        <v>19.899999999999999</v>
      </c>
      <c r="F681" s="46">
        <v>19.899999999999999</v>
      </c>
      <c r="G681" s="44" t="s">
        <v>55</v>
      </c>
      <c r="H681" s="43" t="s">
        <v>2766</v>
      </c>
      <c r="I681" s="43" t="s">
        <v>2713</v>
      </c>
      <c r="J681" s="44" t="s">
        <v>393</v>
      </c>
      <c r="K681" s="48" t="s">
        <v>1688</v>
      </c>
      <c r="L681" s="52" t="s">
        <v>34</v>
      </c>
      <c r="M681" s="44">
        <v>0</v>
      </c>
      <c r="N681" s="45">
        <v>43861</v>
      </c>
    </row>
    <row r="682" spans="1:21" customFormat="1" ht="14.45" customHeight="1" x14ac:dyDescent="0.2">
      <c r="A682" s="59" t="s">
        <v>5224</v>
      </c>
      <c r="B682" s="60" t="s">
        <v>3482</v>
      </c>
      <c r="C682" s="60" t="s">
        <v>1693</v>
      </c>
      <c r="D682" s="40">
        <v>43620</v>
      </c>
      <c r="E682" s="61">
        <v>80</v>
      </c>
      <c r="F682" s="62">
        <v>80</v>
      </c>
      <c r="G682" s="63" t="s">
        <v>55</v>
      </c>
      <c r="H682" s="64" t="s">
        <v>2736</v>
      </c>
      <c r="I682" s="64" t="s">
        <v>2713</v>
      </c>
      <c r="J682" s="63" t="s">
        <v>471</v>
      </c>
      <c r="K682" s="64" t="s">
        <v>4110</v>
      </c>
      <c r="L682" s="63" t="s">
        <v>157</v>
      </c>
      <c r="M682" s="63" t="s">
        <v>5781</v>
      </c>
      <c r="N682" s="65">
        <v>45657</v>
      </c>
    </row>
    <row r="683" spans="1:21" ht="15" customHeight="1" x14ac:dyDescent="0.2">
      <c r="A683" s="59" t="s">
        <v>5225</v>
      </c>
      <c r="B683" s="42" t="s">
        <v>1694</v>
      </c>
      <c r="C683" s="42" t="s">
        <v>1695</v>
      </c>
      <c r="D683" s="40">
        <v>43621</v>
      </c>
      <c r="E683" s="41">
        <v>250</v>
      </c>
      <c r="F683" s="46">
        <v>250</v>
      </c>
      <c r="G683" s="44" t="s">
        <v>55</v>
      </c>
      <c r="H683" s="43" t="s">
        <v>2788</v>
      </c>
      <c r="I683" s="43" t="s">
        <v>2713</v>
      </c>
      <c r="J683" s="44" t="s">
        <v>393</v>
      </c>
      <c r="K683" s="48" t="s">
        <v>1746</v>
      </c>
      <c r="L683" s="52" t="s">
        <v>41</v>
      </c>
      <c r="M683" s="44" t="s">
        <v>5781</v>
      </c>
      <c r="N683" s="45">
        <v>45473</v>
      </c>
    </row>
    <row r="684" spans="1:21" ht="15" customHeight="1" x14ac:dyDescent="0.2">
      <c r="A684" s="59" t="s">
        <v>2397</v>
      </c>
      <c r="B684" s="42" t="s">
        <v>1694</v>
      </c>
      <c r="C684" s="42" t="s">
        <v>1696</v>
      </c>
      <c r="D684" s="40">
        <v>43621</v>
      </c>
      <c r="E684" s="41">
        <v>300</v>
      </c>
      <c r="F684" s="46">
        <v>300</v>
      </c>
      <c r="G684" s="44" t="s">
        <v>55</v>
      </c>
      <c r="H684" s="43" t="s">
        <v>2736</v>
      </c>
      <c r="I684" s="43" t="s">
        <v>2713</v>
      </c>
      <c r="J684" s="44" t="s">
        <v>530</v>
      </c>
      <c r="K684" s="48" t="s">
        <v>1747</v>
      </c>
      <c r="L684" s="52" t="s">
        <v>157</v>
      </c>
      <c r="M684" s="44">
        <v>0</v>
      </c>
      <c r="N684" s="45">
        <v>43830</v>
      </c>
    </row>
    <row r="685" spans="1:21" ht="15" customHeight="1" x14ac:dyDescent="0.2">
      <c r="A685" s="59" t="s">
        <v>5865</v>
      </c>
      <c r="B685" s="60" t="s">
        <v>1694</v>
      </c>
      <c r="C685" s="60" t="s">
        <v>1697</v>
      </c>
      <c r="D685" s="40">
        <v>43621</v>
      </c>
      <c r="E685" s="61" t="s">
        <v>5807</v>
      </c>
      <c r="F685" s="62" t="s">
        <v>5807</v>
      </c>
      <c r="G685" s="63" t="s">
        <v>55</v>
      </c>
      <c r="H685" s="64" t="s">
        <v>2788</v>
      </c>
      <c r="I685" s="64" t="s">
        <v>2713</v>
      </c>
      <c r="J685" s="63" t="s">
        <v>393</v>
      </c>
      <c r="K685" s="64" t="s">
        <v>1746</v>
      </c>
      <c r="L685" s="63" t="s">
        <v>41</v>
      </c>
      <c r="M685" s="63" t="s">
        <v>5781</v>
      </c>
      <c r="N685" s="65">
        <v>45443</v>
      </c>
      <c r="O685"/>
      <c r="P685"/>
      <c r="Q685"/>
      <c r="R685"/>
      <c r="S685"/>
      <c r="T685"/>
    </row>
    <row r="686" spans="1:21" ht="15" customHeight="1" x14ac:dyDescent="0.2">
      <c r="A686" s="59" t="s">
        <v>2551</v>
      </c>
      <c r="B686" s="42" t="s">
        <v>1698</v>
      </c>
      <c r="C686" s="42" t="s">
        <v>1699</v>
      </c>
      <c r="D686" s="40">
        <v>43622</v>
      </c>
      <c r="E686" s="41">
        <v>19.899999999999999</v>
      </c>
      <c r="F686" s="46">
        <v>19.899999999999999</v>
      </c>
      <c r="G686" s="44" t="s">
        <v>55</v>
      </c>
      <c r="H686" s="43" t="s">
        <v>2728</v>
      </c>
      <c r="I686" s="43" t="s">
        <v>2713</v>
      </c>
      <c r="J686" s="44" t="s">
        <v>531</v>
      </c>
      <c r="K686" s="48" t="s">
        <v>2552</v>
      </c>
      <c r="L686" s="52" t="s">
        <v>157</v>
      </c>
      <c r="M686" s="44">
        <v>0</v>
      </c>
      <c r="N686" s="45">
        <v>43951</v>
      </c>
    </row>
    <row r="687" spans="1:21" ht="15" customHeight="1" x14ac:dyDescent="0.2">
      <c r="A687" s="59" t="s">
        <v>2398</v>
      </c>
      <c r="B687" s="42" t="s">
        <v>1700</v>
      </c>
      <c r="C687" s="42" t="s">
        <v>1701</v>
      </c>
      <c r="D687" s="40">
        <v>43622</v>
      </c>
      <c r="E687" s="41">
        <v>19.899999999999999</v>
      </c>
      <c r="F687" s="46">
        <v>19.899999999999999</v>
      </c>
      <c r="G687" s="44" t="s">
        <v>55</v>
      </c>
      <c r="H687" s="43" t="s">
        <v>2759</v>
      </c>
      <c r="I687" s="43" t="s">
        <v>2713</v>
      </c>
      <c r="J687" s="44" t="s">
        <v>471</v>
      </c>
      <c r="K687" s="48" t="s">
        <v>1748</v>
      </c>
      <c r="L687" s="52" t="s">
        <v>157</v>
      </c>
      <c r="M687" s="44">
        <v>0</v>
      </c>
      <c r="N687" s="45">
        <v>43769</v>
      </c>
    </row>
    <row r="688" spans="1:21" ht="15" customHeight="1" x14ac:dyDescent="0.2">
      <c r="A688" s="59" t="s">
        <v>2553</v>
      </c>
      <c r="B688" s="42" t="s">
        <v>1702</v>
      </c>
      <c r="C688" s="42" t="s">
        <v>1703</v>
      </c>
      <c r="D688" s="40">
        <v>43622</v>
      </c>
      <c r="E688" s="41">
        <v>19.899999999999999</v>
      </c>
      <c r="F688" s="46">
        <v>19.899999999999999</v>
      </c>
      <c r="G688" s="44" t="s">
        <v>55</v>
      </c>
      <c r="H688" s="43" t="s">
        <v>2731</v>
      </c>
      <c r="I688" s="43" t="s">
        <v>2713</v>
      </c>
      <c r="J688" s="44" t="s">
        <v>540</v>
      </c>
      <c r="K688" s="43" t="s">
        <v>1749</v>
      </c>
      <c r="L688" s="44" t="s">
        <v>157</v>
      </c>
      <c r="M688" s="44">
        <v>0</v>
      </c>
      <c r="N688" s="45">
        <v>43951</v>
      </c>
    </row>
    <row r="689" spans="1:21" ht="15" customHeight="1" x14ac:dyDescent="0.2">
      <c r="A689" s="59" t="s">
        <v>5226</v>
      </c>
      <c r="B689" s="60" t="s">
        <v>1479</v>
      </c>
      <c r="C689" s="60" t="s">
        <v>1704</v>
      </c>
      <c r="D689" s="40">
        <v>43626</v>
      </c>
      <c r="E689" s="61">
        <v>100</v>
      </c>
      <c r="F689" s="62">
        <v>100</v>
      </c>
      <c r="G689" s="63" t="s">
        <v>615</v>
      </c>
      <c r="H689" s="64" t="s">
        <v>2775</v>
      </c>
      <c r="I689" s="64" t="s">
        <v>2713</v>
      </c>
      <c r="J689" s="63" t="s">
        <v>531</v>
      </c>
      <c r="K689" s="64" t="s">
        <v>3377</v>
      </c>
      <c r="L689" s="63" t="s">
        <v>157</v>
      </c>
      <c r="M689" s="63">
        <v>0</v>
      </c>
      <c r="N689" s="65">
        <v>45565</v>
      </c>
      <c r="O689"/>
      <c r="P689"/>
      <c r="Q689"/>
      <c r="R689"/>
      <c r="S689"/>
      <c r="T689"/>
      <c r="U689"/>
    </row>
    <row r="690" spans="1:21" ht="15" customHeight="1" x14ac:dyDescent="0.2">
      <c r="A690" s="59" t="s">
        <v>2554</v>
      </c>
      <c r="B690" s="42" t="s">
        <v>1705</v>
      </c>
      <c r="C690" s="42" t="s">
        <v>1706</v>
      </c>
      <c r="D690" s="40">
        <v>43626</v>
      </c>
      <c r="E690" s="41">
        <v>19.899999999999999</v>
      </c>
      <c r="F690" s="46">
        <v>19.899999999999999</v>
      </c>
      <c r="G690" s="44" t="s">
        <v>55</v>
      </c>
      <c r="H690" s="43" t="s">
        <v>2754</v>
      </c>
      <c r="I690" s="43" t="s">
        <v>2713</v>
      </c>
      <c r="J690" s="44" t="s">
        <v>540</v>
      </c>
      <c r="K690" s="48" t="s">
        <v>1404</v>
      </c>
      <c r="L690" s="44" t="s">
        <v>157</v>
      </c>
      <c r="M690" s="56">
        <v>0</v>
      </c>
      <c r="N690" s="55" t="s">
        <v>4045</v>
      </c>
    </row>
    <row r="691" spans="1:21" ht="15" customHeight="1" x14ac:dyDescent="0.2">
      <c r="A691" s="59" t="s">
        <v>5228</v>
      </c>
      <c r="B691" s="60" t="s">
        <v>1709</v>
      </c>
      <c r="C691" s="60" t="s">
        <v>1710</v>
      </c>
      <c r="D691" s="40">
        <v>43626</v>
      </c>
      <c r="E691" s="61">
        <v>100</v>
      </c>
      <c r="F691" s="62">
        <v>100</v>
      </c>
      <c r="G691" s="63" t="s">
        <v>55</v>
      </c>
      <c r="H691" s="64" t="s">
        <v>2744</v>
      </c>
      <c r="I691" s="64" t="s">
        <v>2713</v>
      </c>
      <c r="J691" s="63" t="s">
        <v>530</v>
      </c>
      <c r="K691" s="64" t="s">
        <v>1740</v>
      </c>
      <c r="L691" s="63" t="s">
        <v>157</v>
      </c>
      <c r="M691" s="63">
        <v>0</v>
      </c>
      <c r="N691" s="65">
        <v>45291</v>
      </c>
      <c r="O691"/>
      <c r="P691"/>
      <c r="Q691"/>
      <c r="R691"/>
      <c r="S691"/>
      <c r="T691"/>
    </row>
    <row r="692" spans="1:21" ht="15" customHeight="1" x14ac:dyDescent="0.2">
      <c r="A692" s="59" t="s">
        <v>2399</v>
      </c>
      <c r="B692" s="42" t="s">
        <v>1602</v>
      </c>
      <c r="C692" s="42" t="s">
        <v>1714</v>
      </c>
      <c r="D692" s="40">
        <v>43628</v>
      </c>
      <c r="E692" s="41">
        <v>10.199999999999999</v>
      </c>
      <c r="F692" s="46">
        <v>10.199999999999999</v>
      </c>
      <c r="G692" s="44" t="s">
        <v>615</v>
      </c>
      <c r="H692" s="43" t="s">
        <v>2717</v>
      </c>
      <c r="I692" s="43" t="s">
        <v>2713</v>
      </c>
      <c r="J692" s="44" t="s">
        <v>539</v>
      </c>
      <c r="K692" s="48" t="s">
        <v>1741</v>
      </c>
      <c r="L692" s="52" t="s">
        <v>1162</v>
      </c>
      <c r="M692" s="44">
        <v>0</v>
      </c>
      <c r="N692" s="45">
        <v>43742</v>
      </c>
    </row>
    <row r="693" spans="1:21" ht="15" customHeight="1" x14ac:dyDescent="0.2">
      <c r="A693" s="59" t="s">
        <v>2375</v>
      </c>
      <c r="B693" s="42" t="s">
        <v>1716</v>
      </c>
      <c r="C693" s="42" t="s">
        <v>1717</v>
      </c>
      <c r="D693" s="40">
        <v>43628</v>
      </c>
      <c r="E693" s="41">
        <v>20</v>
      </c>
      <c r="F693" s="46">
        <v>20</v>
      </c>
      <c r="G693" s="44" t="s">
        <v>55</v>
      </c>
      <c r="H693" s="43" t="s">
        <v>2788</v>
      </c>
      <c r="I693" s="43" t="s">
        <v>2713</v>
      </c>
      <c r="J693" s="44" t="s">
        <v>530</v>
      </c>
      <c r="K693" s="48" t="s">
        <v>1407</v>
      </c>
      <c r="L693" s="52" t="s">
        <v>157</v>
      </c>
      <c r="M693" s="44">
        <v>0</v>
      </c>
      <c r="N693" s="45">
        <v>43677</v>
      </c>
    </row>
    <row r="694" spans="1:21" ht="15" customHeight="1" x14ac:dyDescent="0.2">
      <c r="A694" s="59" t="s">
        <v>2400</v>
      </c>
      <c r="B694" s="42" t="s">
        <v>1719</v>
      </c>
      <c r="C694" s="42" t="s">
        <v>1720</v>
      </c>
      <c r="D694" s="40">
        <v>43629</v>
      </c>
      <c r="E694" s="41">
        <v>17.600000000000001</v>
      </c>
      <c r="F694" s="46">
        <v>17.600000000000001</v>
      </c>
      <c r="G694" s="44" t="s">
        <v>55</v>
      </c>
      <c r="H694" s="43" t="s">
        <v>2838</v>
      </c>
      <c r="I694" s="43" t="s">
        <v>2713</v>
      </c>
      <c r="J694" s="44" t="s">
        <v>393</v>
      </c>
      <c r="K694" s="48" t="s">
        <v>1461</v>
      </c>
      <c r="L694" s="52" t="s">
        <v>34</v>
      </c>
      <c r="M694" s="44">
        <v>0</v>
      </c>
      <c r="N694" s="45">
        <v>43769</v>
      </c>
    </row>
    <row r="695" spans="1:21" ht="15" customHeight="1" x14ac:dyDescent="0.2">
      <c r="A695" s="59" t="s">
        <v>2401</v>
      </c>
      <c r="B695" s="42" t="s">
        <v>1479</v>
      </c>
      <c r="C695" s="42" t="s">
        <v>1721</v>
      </c>
      <c r="D695" s="40">
        <v>43636</v>
      </c>
      <c r="E695" s="41">
        <v>19.2</v>
      </c>
      <c r="F695" s="46">
        <v>19.2</v>
      </c>
      <c r="G695" s="44" t="s">
        <v>615</v>
      </c>
      <c r="H695" s="43" t="s">
        <v>2716</v>
      </c>
      <c r="I695" s="43" t="s">
        <v>2713</v>
      </c>
      <c r="J695" s="44" t="s">
        <v>532</v>
      </c>
      <c r="K695" s="48" t="s">
        <v>2402</v>
      </c>
      <c r="L695" s="52" t="s">
        <v>87</v>
      </c>
      <c r="M695" s="44">
        <v>0</v>
      </c>
      <c r="N695" s="45">
        <v>43708</v>
      </c>
    </row>
    <row r="696" spans="1:21" ht="15" customHeight="1" x14ac:dyDescent="0.2">
      <c r="A696" s="59" t="s">
        <v>2403</v>
      </c>
      <c r="B696" s="42" t="s">
        <v>1479</v>
      </c>
      <c r="C696" s="42" t="s">
        <v>1722</v>
      </c>
      <c r="D696" s="40">
        <v>43636</v>
      </c>
      <c r="E696" s="41">
        <v>19.2</v>
      </c>
      <c r="F696" s="46">
        <v>19.2</v>
      </c>
      <c r="G696" s="44" t="s">
        <v>615</v>
      </c>
      <c r="H696" s="43" t="s">
        <v>2773</v>
      </c>
      <c r="I696" s="43" t="s">
        <v>2713</v>
      </c>
      <c r="J696" s="44" t="s">
        <v>532</v>
      </c>
      <c r="K696" s="48" t="s">
        <v>2404</v>
      </c>
      <c r="L696" s="52" t="s">
        <v>673</v>
      </c>
      <c r="M696" s="44">
        <v>0</v>
      </c>
      <c r="N696" s="45">
        <v>43742</v>
      </c>
    </row>
    <row r="697" spans="1:21" ht="15" customHeight="1" x14ac:dyDescent="0.2">
      <c r="A697" s="59" t="s">
        <v>2405</v>
      </c>
      <c r="B697" s="42" t="s">
        <v>1479</v>
      </c>
      <c r="C697" s="42" t="s">
        <v>1723</v>
      </c>
      <c r="D697" s="40">
        <v>43640</v>
      </c>
      <c r="E697" s="41">
        <v>19.2</v>
      </c>
      <c r="F697" s="46">
        <v>19.2</v>
      </c>
      <c r="G697" s="44" t="s">
        <v>615</v>
      </c>
      <c r="H697" s="43" t="s">
        <v>2713</v>
      </c>
      <c r="I697" s="43" t="s">
        <v>2713</v>
      </c>
      <c r="J697" s="44" t="s">
        <v>533</v>
      </c>
      <c r="K697" s="48" t="s">
        <v>2406</v>
      </c>
      <c r="L697" s="52" t="s">
        <v>403</v>
      </c>
      <c r="M697" s="44">
        <v>0</v>
      </c>
      <c r="N697" s="45">
        <v>43742</v>
      </c>
    </row>
    <row r="698" spans="1:21" ht="15" customHeight="1" x14ac:dyDescent="0.2">
      <c r="A698" s="59" t="s">
        <v>2555</v>
      </c>
      <c r="B698" s="42" t="s">
        <v>1733</v>
      </c>
      <c r="C698" s="42" t="s">
        <v>1734</v>
      </c>
      <c r="D698" s="40">
        <v>43661</v>
      </c>
      <c r="E698" s="41">
        <v>20</v>
      </c>
      <c r="F698" s="46">
        <v>20</v>
      </c>
      <c r="G698" s="44" t="s">
        <v>1038</v>
      </c>
      <c r="H698" s="43" t="s">
        <v>2716</v>
      </c>
      <c r="I698" s="43" t="s">
        <v>2713</v>
      </c>
      <c r="J698" s="44" t="s">
        <v>532</v>
      </c>
      <c r="K698" s="48" t="s">
        <v>1765</v>
      </c>
      <c r="L698" s="52" t="s">
        <v>87</v>
      </c>
      <c r="M698" s="44">
        <v>0</v>
      </c>
      <c r="N698" s="45">
        <v>44043</v>
      </c>
    </row>
    <row r="699" spans="1:21" ht="15" customHeight="1" x14ac:dyDescent="0.2">
      <c r="A699" s="59" t="s">
        <v>2556</v>
      </c>
      <c r="B699" s="42" t="s">
        <v>1733</v>
      </c>
      <c r="C699" s="42" t="s">
        <v>1735</v>
      </c>
      <c r="D699" s="40">
        <v>43661</v>
      </c>
      <c r="E699" s="41">
        <v>20</v>
      </c>
      <c r="F699" s="46">
        <v>20</v>
      </c>
      <c r="G699" s="44" t="s">
        <v>1038</v>
      </c>
      <c r="H699" s="43" t="s">
        <v>2716</v>
      </c>
      <c r="I699" s="43" t="s">
        <v>2713</v>
      </c>
      <c r="J699" s="44" t="s">
        <v>532</v>
      </c>
      <c r="K699" s="48" t="s">
        <v>992</v>
      </c>
      <c r="L699" s="52" t="s">
        <v>87</v>
      </c>
      <c r="M699" s="44">
        <v>0</v>
      </c>
      <c r="N699" s="45">
        <v>44043</v>
      </c>
    </row>
    <row r="700" spans="1:21" ht="15" customHeight="1" x14ac:dyDescent="0.2">
      <c r="A700" s="59" t="s">
        <v>2557</v>
      </c>
      <c r="B700" s="42" t="s">
        <v>1736</v>
      </c>
      <c r="C700" s="42" t="s">
        <v>1737</v>
      </c>
      <c r="D700" s="40">
        <v>43661</v>
      </c>
      <c r="E700" s="41">
        <v>20</v>
      </c>
      <c r="F700" s="46">
        <v>20</v>
      </c>
      <c r="G700" s="44" t="s">
        <v>615</v>
      </c>
      <c r="H700" s="43" t="s">
        <v>2717</v>
      </c>
      <c r="I700" s="43" t="s">
        <v>2713</v>
      </c>
      <c r="J700" s="44" t="s">
        <v>539</v>
      </c>
      <c r="K700" s="48" t="s">
        <v>1779</v>
      </c>
      <c r="L700" s="52" t="s">
        <v>2558</v>
      </c>
      <c r="M700" s="44">
        <v>0</v>
      </c>
      <c r="N700" s="45">
        <v>43982</v>
      </c>
    </row>
    <row r="701" spans="1:21" ht="15" customHeight="1" x14ac:dyDescent="0.2">
      <c r="A701" s="59" t="s">
        <v>2559</v>
      </c>
      <c r="B701" s="42" t="s">
        <v>1602</v>
      </c>
      <c r="C701" s="42" t="s">
        <v>1738</v>
      </c>
      <c r="D701" s="40">
        <v>43661</v>
      </c>
      <c r="E701" s="41">
        <v>19.899999999999999</v>
      </c>
      <c r="F701" s="46">
        <v>19.899999999999999</v>
      </c>
      <c r="G701" s="44" t="s">
        <v>615</v>
      </c>
      <c r="H701" s="43" t="s">
        <v>2716</v>
      </c>
      <c r="I701" s="43" t="s">
        <v>2713</v>
      </c>
      <c r="J701" s="44" t="s">
        <v>532</v>
      </c>
      <c r="K701" s="48" t="s">
        <v>1781</v>
      </c>
      <c r="L701" s="52" t="s">
        <v>87</v>
      </c>
      <c r="M701" s="44">
        <v>0</v>
      </c>
      <c r="N701" s="45">
        <v>43861</v>
      </c>
    </row>
    <row r="702" spans="1:21" ht="15" customHeight="1" x14ac:dyDescent="0.2">
      <c r="A702" s="59" t="s">
        <v>2407</v>
      </c>
      <c r="B702" s="42" t="s">
        <v>1719</v>
      </c>
      <c r="C702" s="42" t="s">
        <v>1739</v>
      </c>
      <c r="D702" s="40">
        <v>43664</v>
      </c>
      <c r="E702" s="41">
        <v>8</v>
      </c>
      <c r="F702" s="46">
        <v>8</v>
      </c>
      <c r="G702" s="44" t="s">
        <v>615</v>
      </c>
      <c r="H702" s="43" t="s">
        <v>2838</v>
      </c>
      <c r="I702" s="43" t="s">
        <v>2713</v>
      </c>
      <c r="J702" s="44" t="s">
        <v>393</v>
      </c>
      <c r="K702" s="48" t="s">
        <v>1461</v>
      </c>
      <c r="L702" s="52" t="s">
        <v>34</v>
      </c>
      <c r="M702" s="44">
        <v>0</v>
      </c>
      <c r="N702" s="45">
        <v>43769</v>
      </c>
    </row>
    <row r="703" spans="1:21" ht="15" customHeight="1" x14ac:dyDescent="0.2">
      <c r="A703" s="59" t="s">
        <v>2408</v>
      </c>
      <c r="B703" s="42" t="s">
        <v>1646</v>
      </c>
      <c r="C703" s="42" t="s">
        <v>1754</v>
      </c>
      <c r="D703" s="40">
        <v>43678</v>
      </c>
      <c r="E703" s="41">
        <v>5</v>
      </c>
      <c r="F703" s="46">
        <v>5</v>
      </c>
      <c r="G703" s="44" t="s">
        <v>55</v>
      </c>
      <c r="H703" s="43" t="s">
        <v>2838</v>
      </c>
      <c r="I703" s="43" t="s">
        <v>2713</v>
      </c>
      <c r="J703" s="44"/>
      <c r="K703" s="48"/>
      <c r="L703" s="52" t="s">
        <v>191</v>
      </c>
      <c r="M703" s="44">
        <v>0</v>
      </c>
      <c r="N703" s="45">
        <v>43769</v>
      </c>
    </row>
    <row r="704" spans="1:21" ht="15" customHeight="1" x14ac:dyDescent="0.2">
      <c r="A704" s="59" t="s">
        <v>2409</v>
      </c>
      <c r="B704" s="42" t="s">
        <v>1646</v>
      </c>
      <c r="C704" s="42" t="s">
        <v>1755</v>
      </c>
      <c r="D704" s="40">
        <v>43678</v>
      </c>
      <c r="E704" s="41">
        <v>5</v>
      </c>
      <c r="F704" s="46">
        <v>5</v>
      </c>
      <c r="G704" s="44" t="s">
        <v>55</v>
      </c>
      <c r="H704" s="43" t="s">
        <v>2754</v>
      </c>
      <c r="I704" s="43" t="s">
        <v>2713</v>
      </c>
      <c r="J704" s="44" t="s">
        <v>2410</v>
      </c>
      <c r="K704" s="48" t="s">
        <v>2411</v>
      </c>
      <c r="L704" s="52" t="s">
        <v>157</v>
      </c>
      <c r="M704" s="44">
        <v>0</v>
      </c>
      <c r="N704" s="45">
        <v>43830</v>
      </c>
    </row>
    <row r="705" spans="1:21" ht="15" customHeight="1" x14ac:dyDescent="0.2">
      <c r="A705" s="59" t="s">
        <v>2561</v>
      </c>
      <c r="B705" s="42" t="s">
        <v>1264</v>
      </c>
      <c r="C705" s="42" t="s">
        <v>1758</v>
      </c>
      <c r="D705" s="40">
        <v>43686</v>
      </c>
      <c r="E705" s="41">
        <v>20</v>
      </c>
      <c r="F705" s="46">
        <v>20</v>
      </c>
      <c r="G705" s="44" t="s">
        <v>55</v>
      </c>
      <c r="H705" s="43" t="s">
        <v>2729</v>
      </c>
      <c r="I705" s="43" t="s">
        <v>2713</v>
      </c>
      <c r="J705" s="44" t="s">
        <v>530</v>
      </c>
      <c r="K705" s="48" t="s">
        <v>1745</v>
      </c>
      <c r="L705" s="52" t="s">
        <v>157</v>
      </c>
      <c r="M705" s="44">
        <v>0</v>
      </c>
      <c r="N705" s="45">
        <v>43890</v>
      </c>
    </row>
    <row r="706" spans="1:21" ht="15" customHeight="1" x14ac:dyDescent="0.2">
      <c r="A706" s="59" t="s">
        <v>2562</v>
      </c>
      <c r="B706" s="42" t="s">
        <v>1645</v>
      </c>
      <c r="C706" s="42" t="s">
        <v>1759</v>
      </c>
      <c r="D706" s="40">
        <v>43693</v>
      </c>
      <c r="E706" s="41">
        <v>20</v>
      </c>
      <c r="F706" s="46">
        <v>20</v>
      </c>
      <c r="G706" s="44" t="s">
        <v>55</v>
      </c>
      <c r="H706" s="43" t="s">
        <v>590</v>
      </c>
      <c r="I706" s="43" t="s">
        <v>2713</v>
      </c>
      <c r="J706" s="44" t="s">
        <v>530</v>
      </c>
      <c r="K706" s="48" t="s">
        <v>2917</v>
      </c>
      <c r="L706" s="52" t="s">
        <v>157</v>
      </c>
      <c r="M706" s="44">
        <v>0</v>
      </c>
      <c r="N706" s="45">
        <v>44561</v>
      </c>
    </row>
    <row r="707" spans="1:21" ht="15" customHeight="1" x14ac:dyDescent="0.2">
      <c r="A707" s="59" t="s">
        <v>2563</v>
      </c>
      <c r="B707" s="42" t="s">
        <v>1273</v>
      </c>
      <c r="C707" s="42" t="s">
        <v>1760</v>
      </c>
      <c r="D707" s="40">
        <v>43693</v>
      </c>
      <c r="E707" s="41">
        <v>300</v>
      </c>
      <c r="F707" s="46">
        <v>300</v>
      </c>
      <c r="G707" s="44" t="s">
        <v>615</v>
      </c>
      <c r="H707" s="43" t="s">
        <v>2713</v>
      </c>
      <c r="I707" s="43" t="s">
        <v>2713</v>
      </c>
      <c r="J707" s="44" t="s">
        <v>533</v>
      </c>
      <c r="K707" s="48" t="s">
        <v>1780</v>
      </c>
      <c r="L707" s="52" t="s">
        <v>403</v>
      </c>
      <c r="M707" s="44">
        <v>0</v>
      </c>
      <c r="N707" s="45">
        <v>44316</v>
      </c>
    </row>
    <row r="708" spans="1:21" ht="15" customHeight="1" x14ac:dyDescent="0.2">
      <c r="A708" s="59" t="s">
        <v>2564</v>
      </c>
      <c r="B708" s="42" t="s">
        <v>1273</v>
      </c>
      <c r="C708" s="42" t="s">
        <v>1761</v>
      </c>
      <c r="D708" s="40">
        <v>43693</v>
      </c>
      <c r="E708" s="41">
        <v>300</v>
      </c>
      <c r="F708" s="46">
        <v>300</v>
      </c>
      <c r="G708" s="44" t="s">
        <v>615</v>
      </c>
      <c r="H708" s="43" t="s">
        <v>2713</v>
      </c>
      <c r="I708" s="43" t="s">
        <v>2713</v>
      </c>
      <c r="J708" s="44" t="s">
        <v>533</v>
      </c>
      <c r="K708" s="48" t="s">
        <v>266</v>
      </c>
      <c r="L708" s="52" t="s">
        <v>403</v>
      </c>
      <c r="M708" s="44">
        <v>0</v>
      </c>
      <c r="N708" s="45">
        <v>44316</v>
      </c>
    </row>
    <row r="709" spans="1:21" ht="15" customHeight="1" x14ac:dyDescent="0.2">
      <c r="A709" s="59" t="s">
        <v>2822</v>
      </c>
      <c r="B709" s="42" t="s">
        <v>1762</v>
      </c>
      <c r="C709" s="42" t="s">
        <v>1763</v>
      </c>
      <c r="D709" s="40">
        <v>43697</v>
      </c>
      <c r="E709" s="41">
        <v>10</v>
      </c>
      <c r="F709" s="46">
        <v>10</v>
      </c>
      <c r="G709" s="44" t="s">
        <v>615</v>
      </c>
      <c r="H709" s="43" t="s">
        <v>2713</v>
      </c>
      <c r="I709" s="43" t="s">
        <v>2713</v>
      </c>
      <c r="J709" s="44" t="s">
        <v>533</v>
      </c>
      <c r="K709" s="48" t="s">
        <v>2565</v>
      </c>
      <c r="L709" s="52" t="s">
        <v>403</v>
      </c>
      <c r="M709" s="44">
        <v>0</v>
      </c>
      <c r="N709" s="45">
        <v>43769</v>
      </c>
    </row>
    <row r="710" spans="1:21" ht="15" customHeight="1" x14ac:dyDescent="0.2">
      <c r="A710" s="59" t="s">
        <v>2823</v>
      </c>
      <c r="B710" s="42" t="s">
        <v>1762</v>
      </c>
      <c r="C710" s="42" t="s">
        <v>1764</v>
      </c>
      <c r="D710" s="40">
        <v>43697</v>
      </c>
      <c r="E710" s="41">
        <v>10</v>
      </c>
      <c r="F710" s="46">
        <v>10</v>
      </c>
      <c r="G710" s="44" t="s">
        <v>615</v>
      </c>
      <c r="H710" s="43" t="s">
        <v>2713</v>
      </c>
      <c r="I710" s="43" t="s">
        <v>2713</v>
      </c>
      <c r="J710" s="44" t="s">
        <v>533</v>
      </c>
      <c r="K710" s="48" t="s">
        <v>2566</v>
      </c>
      <c r="L710" s="52" t="s">
        <v>403</v>
      </c>
      <c r="M710" s="44">
        <v>0</v>
      </c>
      <c r="N710" s="45">
        <v>43769</v>
      </c>
    </row>
    <row r="711" spans="1:21" ht="15" customHeight="1" x14ac:dyDescent="0.2">
      <c r="A711" s="59" t="s">
        <v>2567</v>
      </c>
      <c r="B711" s="42" t="s">
        <v>1624</v>
      </c>
      <c r="C711" s="42" t="s">
        <v>1627</v>
      </c>
      <c r="D711" s="40">
        <v>43705</v>
      </c>
      <c r="E711" s="41">
        <v>20</v>
      </c>
      <c r="F711" s="46">
        <v>20</v>
      </c>
      <c r="G711" s="44" t="s">
        <v>615</v>
      </c>
      <c r="H711" s="43" t="s">
        <v>2713</v>
      </c>
      <c r="I711" s="43" t="s">
        <v>2713</v>
      </c>
      <c r="J711" s="44" t="s">
        <v>533</v>
      </c>
      <c r="K711" s="48" t="s">
        <v>2568</v>
      </c>
      <c r="L711" s="52" t="s">
        <v>403</v>
      </c>
      <c r="M711" s="44">
        <v>0</v>
      </c>
      <c r="N711" s="45">
        <v>43890</v>
      </c>
    </row>
    <row r="712" spans="1:21" ht="15" customHeight="1" x14ac:dyDescent="0.2">
      <c r="A712" s="59" t="s">
        <v>2570</v>
      </c>
      <c r="B712" s="42" t="s">
        <v>1608</v>
      </c>
      <c r="C712" s="42" t="s">
        <v>1768</v>
      </c>
      <c r="D712" s="40">
        <v>43720</v>
      </c>
      <c r="E712" s="41">
        <v>20</v>
      </c>
      <c r="F712" s="46">
        <v>20</v>
      </c>
      <c r="G712" s="44" t="s">
        <v>615</v>
      </c>
      <c r="H712" s="43" t="s">
        <v>2719</v>
      </c>
      <c r="I712" s="43" t="s">
        <v>2713</v>
      </c>
      <c r="J712" s="44" t="s">
        <v>533</v>
      </c>
      <c r="K712" s="48" t="s">
        <v>2850</v>
      </c>
      <c r="L712" s="52" t="s">
        <v>403</v>
      </c>
      <c r="M712" s="44">
        <v>0</v>
      </c>
      <c r="N712" s="45">
        <v>43890</v>
      </c>
    </row>
    <row r="713" spans="1:21" ht="15" customHeight="1" x14ac:dyDescent="0.2">
      <c r="A713" s="59" t="s">
        <v>2820</v>
      </c>
      <c r="B713" s="42" t="s">
        <v>1770</v>
      </c>
      <c r="C713" s="42" t="s">
        <v>1771</v>
      </c>
      <c r="D713" s="40">
        <v>43732</v>
      </c>
      <c r="E713" s="41">
        <v>10</v>
      </c>
      <c r="F713" s="46">
        <v>10</v>
      </c>
      <c r="G713" s="44" t="s">
        <v>615</v>
      </c>
      <c r="H713" s="43" t="s">
        <v>2717</v>
      </c>
      <c r="I713" s="43" t="s">
        <v>2713</v>
      </c>
      <c r="J713" s="44" t="s">
        <v>539</v>
      </c>
      <c r="K713" s="48" t="s">
        <v>2574</v>
      </c>
      <c r="L713" s="52" t="s">
        <v>1162</v>
      </c>
      <c r="M713" s="44">
        <v>0</v>
      </c>
      <c r="N713" s="45">
        <v>43890</v>
      </c>
    </row>
    <row r="714" spans="1:21" ht="15" customHeight="1" x14ac:dyDescent="0.2">
      <c r="A714" s="59" t="s">
        <v>2575</v>
      </c>
      <c r="B714" s="42" t="s">
        <v>1602</v>
      </c>
      <c r="C714" s="42" t="s">
        <v>3127</v>
      </c>
      <c r="D714" s="40">
        <v>43739</v>
      </c>
      <c r="E714" s="41">
        <v>20</v>
      </c>
      <c r="F714" s="46">
        <v>20</v>
      </c>
      <c r="G714" s="44" t="s">
        <v>615</v>
      </c>
      <c r="H714" s="43" t="s">
        <v>2716</v>
      </c>
      <c r="I714" s="43" t="s">
        <v>2713</v>
      </c>
      <c r="J714" s="44" t="s">
        <v>532</v>
      </c>
      <c r="K714" s="48" t="s">
        <v>2851</v>
      </c>
      <c r="L714" s="52" t="s">
        <v>87</v>
      </c>
      <c r="M714" s="44">
        <v>0</v>
      </c>
      <c r="N714" s="45">
        <v>44681</v>
      </c>
    </row>
    <row r="715" spans="1:21" ht="15" customHeight="1" x14ac:dyDescent="0.2">
      <c r="A715" s="59" t="s">
        <v>5235</v>
      </c>
      <c r="B715" s="60" t="s">
        <v>1772</v>
      </c>
      <c r="C715" s="60" t="s">
        <v>1773</v>
      </c>
      <c r="D715" s="40">
        <v>43740</v>
      </c>
      <c r="E715" s="61" t="s">
        <v>5794</v>
      </c>
      <c r="F715" s="62" t="s">
        <v>5794</v>
      </c>
      <c r="G715" s="63" t="s">
        <v>615</v>
      </c>
      <c r="H715" s="64" t="s">
        <v>2746</v>
      </c>
      <c r="I715" s="64" t="s">
        <v>2713</v>
      </c>
      <c r="J715" s="63" t="s">
        <v>532</v>
      </c>
      <c r="K715" s="64" t="s">
        <v>4875</v>
      </c>
      <c r="L715" s="63" t="s">
        <v>87</v>
      </c>
      <c r="M715" s="63" t="s">
        <v>5781</v>
      </c>
      <c r="N715" s="65">
        <v>45504</v>
      </c>
      <c r="O715"/>
      <c r="P715"/>
      <c r="Q715"/>
      <c r="R715"/>
      <c r="S715"/>
      <c r="T715"/>
      <c r="U715"/>
    </row>
    <row r="716" spans="1:21" ht="15" customHeight="1" x14ac:dyDescent="0.2">
      <c r="A716" s="59" t="s">
        <v>5236</v>
      </c>
      <c r="B716" s="60" t="s">
        <v>1423</v>
      </c>
      <c r="C716" s="60" t="s">
        <v>1774</v>
      </c>
      <c r="D716" s="40">
        <v>43742</v>
      </c>
      <c r="E716" s="61">
        <v>20</v>
      </c>
      <c r="F716" s="62">
        <v>20</v>
      </c>
      <c r="G716" s="63" t="s">
        <v>55</v>
      </c>
      <c r="H716" s="64" t="s">
        <v>2640</v>
      </c>
      <c r="I716" s="64" t="s">
        <v>2713</v>
      </c>
      <c r="J716" s="63" t="s">
        <v>393</v>
      </c>
      <c r="K716" s="64" t="s">
        <v>5009</v>
      </c>
      <c r="L716" s="63" t="s">
        <v>157</v>
      </c>
      <c r="M716" s="63">
        <v>0</v>
      </c>
      <c r="N716" s="65">
        <v>45565</v>
      </c>
      <c r="O716"/>
      <c r="P716"/>
      <c r="Q716"/>
      <c r="R716"/>
      <c r="S716"/>
      <c r="T716"/>
      <c r="U716"/>
    </row>
    <row r="717" spans="1:21" ht="15" customHeight="1" x14ac:dyDescent="0.2">
      <c r="A717" s="59" t="s">
        <v>2576</v>
      </c>
      <c r="B717" s="42" t="s">
        <v>1273</v>
      </c>
      <c r="C717" s="42" t="s">
        <v>1775</v>
      </c>
      <c r="D717" s="40">
        <v>43745</v>
      </c>
      <c r="E717" s="41">
        <v>100</v>
      </c>
      <c r="F717" s="46">
        <v>100</v>
      </c>
      <c r="G717" s="44" t="s">
        <v>55</v>
      </c>
      <c r="H717" s="43" t="s">
        <v>2769</v>
      </c>
      <c r="I717" s="43" t="s">
        <v>2713</v>
      </c>
      <c r="J717" s="44" t="s">
        <v>471</v>
      </c>
      <c r="K717" s="48" t="s">
        <v>2852</v>
      </c>
      <c r="L717" s="52" t="s">
        <v>34</v>
      </c>
      <c r="M717" s="44">
        <v>0</v>
      </c>
      <c r="N717" s="45">
        <v>43951</v>
      </c>
    </row>
    <row r="718" spans="1:21" ht="15" customHeight="1" x14ac:dyDescent="0.2">
      <c r="A718" s="59" t="s">
        <v>2577</v>
      </c>
      <c r="B718" s="42" t="s">
        <v>1428</v>
      </c>
      <c r="C718" s="42" t="s">
        <v>1776</v>
      </c>
      <c r="D718" s="40">
        <v>43745</v>
      </c>
      <c r="E718" s="41">
        <v>20</v>
      </c>
      <c r="F718" s="46">
        <v>20</v>
      </c>
      <c r="G718" s="44" t="s">
        <v>615</v>
      </c>
      <c r="H718" s="43" t="s">
        <v>2714</v>
      </c>
      <c r="I718" s="43" t="s">
        <v>2713</v>
      </c>
      <c r="J718" s="44" t="s">
        <v>533</v>
      </c>
      <c r="K718" s="48" t="s">
        <v>2858</v>
      </c>
      <c r="L718" s="52" t="s">
        <v>403</v>
      </c>
      <c r="M718" s="44">
        <v>0</v>
      </c>
      <c r="N718" s="45">
        <v>44104</v>
      </c>
    </row>
    <row r="719" spans="1:21" ht="15" customHeight="1" x14ac:dyDescent="0.2">
      <c r="A719" s="59" t="s">
        <v>2578</v>
      </c>
      <c r="B719" s="42" t="s">
        <v>1428</v>
      </c>
      <c r="C719" s="42" t="s">
        <v>1777</v>
      </c>
      <c r="D719" s="40">
        <v>43745</v>
      </c>
      <c r="E719" s="41">
        <v>20</v>
      </c>
      <c r="F719" s="46">
        <v>20</v>
      </c>
      <c r="G719" s="44" t="s">
        <v>615</v>
      </c>
      <c r="H719" s="43" t="s">
        <v>2717</v>
      </c>
      <c r="I719" s="43" t="s">
        <v>2713</v>
      </c>
      <c r="J719" s="44" t="s">
        <v>539</v>
      </c>
      <c r="K719" s="48" t="s">
        <v>2853</v>
      </c>
      <c r="L719" s="52" t="s">
        <v>1162</v>
      </c>
      <c r="M719" s="44">
        <v>0</v>
      </c>
      <c r="N719" s="45">
        <v>43921</v>
      </c>
    </row>
    <row r="720" spans="1:21" ht="15" customHeight="1" x14ac:dyDescent="0.2">
      <c r="A720" s="59" t="s">
        <v>2579</v>
      </c>
      <c r="B720" s="42" t="s">
        <v>1273</v>
      </c>
      <c r="C720" s="42" t="s">
        <v>1778</v>
      </c>
      <c r="D720" s="40">
        <v>43745</v>
      </c>
      <c r="E720" s="41">
        <v>50</v>
      </c>
      <c r="F720" s="46">
        <v>50</v>
      </c>
      <c r="G720" s="44" t="s">
        <v>615</v>
      </c>
      <c r="H720" s="43" t="s">
        <v>2769</v>
      </c>
      <c r="I720" s="43" t="s">
        <v>2713</v>
      </c>
      <c r="J720" s="44" t="s">
        <v>471</v>
      </c>
      <c r="K720" s="48" t="s">
        <v>2852</v>
      </c>
      <c r="L720" s="52" t="s">
        <v>34</v>
      </c>
      <c r="M720" s="44">
        <v>0</v>
      </c>
      <c r="N720" s="45">
        <v>43951</v>
      </c>
    </row>
    <row r="721" spans="1:21" ht="15" customHeight="1" x14ac:dyDescent="0.2">
      <c r="A721" s="59" t="s">
        <v>5237</v>
      </c>
      <c r="B721" s="60" t="s">
        <v>1772</v>
      </c>
      <c r="C721" s="60" t="s">
        <v>1795</v>
      </c>
      <c r="D721" s="40">
        <v>43747</v>
      </c>
      <c r="E721" s="61" t="s">
        <v>5806</v>
      </c>
      <c r="F721" s="62" t="s">
        <v>5806</v>
      </c>
      <c r="G721" s="63" t="s">
        <v>615</v>
      </c>
      <c r="H721" s="64" t="s">
        <v>2746</v>
      </c>
      <c r="I721" s="64" t="s">
        <v>2713</v>
      </c>
      <c r="J721" s="63" t="s">
        <v>532</v>
      </c>
      <c r="K721" s="64" t="s">
        <v>4876</v>
      </c>
      <c r="L721" s="63" t="s">
        <v>87</v>
      </c>
      <c r="M721" s="63" t="s">
        <v>5781</v>
      </c>
      <c r="N721" s="65">
        <v>45504</v>
      </c>
      <c r="O721"/>
      <c r="P721"/>
      <c r="Q721"/>
      <c r="R721"/>
      <c r="S721"/>
      <c r="T721"/>
      <c r="U721"/>
    </row>
    <row r="722" spans="1:21" ht="15" customHeight="1" x14ac:dyDescent="0.2">
      <c r="A722" s="59" t="s">
        <v>2580</v>
      </c>
      <c r="B722" s="42" t="s">
        <v>1273</v>
      </c>
      <c r="C722" s="42" t="s">
        <v>1796</v>
      </c>
      <c r="D722" s="40">
        <v>43748</v>
      </c>
      <c r="E722" s="41">
        <v>100</v>
      </c>
      <c r="F722" s="46">
        <v>100</v>
      </c>
      <c r="G722" s="44" t="s">
        <v>615</v>
      </c>
      <c r="H722" s="43" t="s">
        <v>2640</v>
      </c>
      <c r="I722" s="43" t="s">
        <v>2713</v>
      </c>
      <c r="J722" s="44" t="s">
        <v>393</v>
      </c>
      <c r="K722" s="48" t="s">
        <v>2854</v>
      </c>
      <c r="L722" s="52" t="s">
        <v>34</v>
      </c>
      <c r="M722" s="44">
        <v>0</v>
      </c>
      <c r="N722" s="45">
        <v>44377</v>
      </c>
    </row>
    <row r="723" spans="1:21" ht="15" customHeight="1" x14ac:dyDescent="0.2">
      <c r="A723" s="59" t="s">
        <v>2581</v>
      </c>
      <c r="B723" s="42" t="s">
        <v>1273</v>
      </c>
      <c r="C723" s="42" t="s">
        <v>1797</v>
      </c>
      <c r="D723" s="40">
        <v>43748</v>
      </c>
      <c r="E723" s="41">
        <v>200</v>
      </c>
      <c r="F723" s="46">
        <v>200</v>
      </c>
      <c r="G723" s="44" t="s">
        <v>55</v>
      </c>
      <c r="H723" s="43" t="s">
        <v>2640</v>
      </c>
      <c r="I723" s="43" t="s">
        <v>2713</v>
      </c>
      <c r="J723" s="44" t="s">
        <v>393</v>
      </c>
      <c r="K723" s="48" t="s">
        <v>2854</v>
      </c>
      <c r="L723" s="52" t="s">
        <v>34</v>
      </c>
      <c r="M723" s="44">
        <v>0</v>
      </c>
      <c r="N723" s="45">
        <v>44377</v>
      </c>
    </row>
    <row r="724" spans="1:21" ht="15" customHeight="1" x14ac:dyDescent="0.2">
      <c r="A724" s="59" t="s">
        <v>2582</v>
      </c>
      <c r="B724" s="42" t="s">
        <v>1273</v>
      </c>
      <c r="C724" s="42" t="s">
        <v>1798</v>
      </c>
      <c r="D724" s="40">
        <v>43748</v>
      </c>
      <c r="E724" s="41">
        <v>30</v>
      </c>
      <c r="F724" s="46">
        <v>30</v>
      </c>
      <c r="G724" s="44" t="s">
        <v>615</v>
      </c>
      <c r="H724" s="43" t="s">
        <v>2798</v>
      </c>
      <c r="I724" s="43" t="s">
        <v>2713</v>
      </c>
      <c r="J724" s="44" t="s">
        <v>471</v>
      </c>
      <c r="K724" s="48" t="s">
        <v>2583</v>
      </c>
      <c r="L724" s="52" t="s">
        <v>157</v>
      </c>
      <c r="M724" s="44">
        <v>0</v>
      </c>
      <c r="N724" s="45">
        <v>43951</v>
      </c>
    </row>
    <row r="725" spans="1:21" ht="15" customHeight="1" x14ac:dyDescent="0.2">
      <c r="A725" s="59" t="s">
        <v>2584</v>
      </c>
      <c r="B725" s="42" t="s">
        <v>1273</v>
      </c>
      <c r="C725" s="42" t="s">
        <v>1799</v>
      </c>
      <c r="D725" s="40">
        <v>43748</v>
      </c>
      <c r="E725" s="41">
        <v>50</v>
      </c>
      <c r="F725" s="46">
        <v>50</v>
      </c>
      <c r="G725" s="44" t="s">
        <v>55</v>
      </c>
      <c r="H725" s="43" t="s">
        <v>2798</v>
      </c>
      <c r="I725" s="43" t="s">
        <v>2713</v>
      </c>
      <c r="J725" s="44" t="s">
        <v>471</v>
      </c>
      <c r="K725" s="48" t="s">
        <v>2583</v>
      </c>
      <c r="L725" s="52" t="s">
        <v>157</v>
      </c>
      <c r="M725" s="44">
        <v>0</v>
      </c>
      <c r="N725" s="45">
        <v>43951</v>
      </c>
    </row>
    <row r="726" spans="1:21" ht="15" customHeight="1" x14ac:dyDescent="0.2">
      <c r="A726" s="59" t="s">
        <v>2585</v>
      </c>
      <c r="B726" s="42" t="s">
        <v>1273</v>
      </c>
      <c r="C726" s="42" t="s">
        <v>1800</v>
      </c>
      <c r="D726" s="40">
        <v>43749</v>
      </c>
      <c r="E726" s="41">
        <v>150</v>
      </c>
      <c r="F726" s="46">
        <v>150</v>
      </c>
      <c r="G726" s="44" t="s">
        <v>615</v>
      </c>
      <c r="H726" s="43" t="s">
        <v>2719</v>
      </c>
      <c r="I726" s="43" t="s">
        <v>2713</v>
      </c>
      <c r="J726" s="44" t="s">
        <v>532</v>
      </c>
      <c r="K726" s="48" t="s">
        <v>2855</v>
      </c>
      <c r="L726" s="52" t="s">
        <v>87</v>
      </c>
      <c r="M726" s="44">
        <v>0</v>
      </c>
      <c r="N726" s="45">
        <v>43982</v>
      </c>
    </row>
    <row r="727" spans="1:21" ht="15" customHeight="1" x14ac:dyDescent="0.2">
      <c r="A727" s="59" t="s">
        <v>2586</v>
      </c>
      <c r="B727" s="42" t="s">
        <v>1801</v>
      </c>
      <c r="C727" s="42" t="s">
        <v>1802</v>
      </c>
      <c r="D727" s="40">
        <v>43753</v>
      </c>
      <c r="E727" s="41">
        <v>115</v>
      </c>
      <c r="F727" s="46">
        <v>115</v>
      </c>
      <c r="G727" s="44" t="s">
        <v>615</v>
      </c>
      <c r="H727" s="43" t="s">
        <v>2773</v>
      </c>
      <c r="I727" s="43" t="s">
        <v>2713</v>
      </c>
      <c r="J727" s="44" t="s">
        <v>539</v>
      </c>
      <c r="K727" s="48" t="s">
        <v>2856</v>
      </c>
      <c r="L727" s="52" t="s">
        <v>673</v>
      </c>
      <c r="M727" s="44">
        <v>0</v>
      </c>
      <c r="N727" s="45">
        <v>44012</v>
      </c>
    </row>
    <row r="728" spans="1:21" ht="15" customHeight="1" x14ac:dyDescent="0.2">
      <c r="A728" s="59" t="s">
        <v>4821</v>
      </c>
      <c r="B728" s="60" t="s">
        <v>4825</v>
      </c>
      <c r="C728" s="60" t="s">
        <v>4826</v>
      </c>
      <c r="D728" s="40">
        <v>43755</v>
      </c>
      <c r="E728" s="61">
        <v>100</v>
      </c>
      <c r="F728" s="62">
        <v>100</v>
      </c>
      <c r="G728" s="63" t="s">
        <v>615</v>
      </c>
      <c r="H728" s="64" t="s">
        <v>2716</v>
      </c>
      <c r="I728" s="64" t="s">
        <v>2713</v>
      </c>
      <c r="J728" s="63" t="s">
        <v>532</v>
      </c>
      <c r="K728" s="64" t="s">
        <v>4512</v>
      </c>
      <c r="L728" s="63" t="s">
        <v>87</v>
      </c>
      <c r="M728" s="63">
        <v>0</v>
      </c>
      <c r="N728" s="65">
        <v>45077</v>
      </c>
      <c r="O728"/>
      <c r="P728"/>
      <c r="Q728"/>
      <c r="R728"/>
      <c r="S728"/>
      <c r="T728"/>
      <c r="U728"/>
    </row>
    <row r="729" spans="1:21" ht="15" customHeight="1" x14ac:dyDescent="0.2">
      <c r="A729" s="59" t="s">
        <v>2587</v>
      </c>
      <c r="B729" s="42" t="s">
        <v>1803</v>
      </c>
      <c r="C729" s="42" t="s">
        <v>1804</v>
      </c>
      <c r="D729" s="40">
        <v>43756</v>
      </c>
      <c r="E729" s="41">
        <v>100</v>
      </c>
      <c r="F729" s="46">
        <v>100</v>
      </c>
      <c r="G729" s="44" t="s">
        <v>615</v>
      </c>
      <c r="H729" s="43" t="s">
        <v>2719</v>
      </c>
      <c r="I729" s="43" t="s">
        <v>2713</v>
      </c>
      <c r="J729" s="44" t="s">
        <v>533</v>
      </c>
      <c r="K729" s="48" t="s">
        <v>2588</v>
      </c>
      <c r="L729" s="52" t="s">
        <v>403</v>
      </c>
      <c r="M729" s="44">
        <v>0</v>
      </c>
      <c r="N729" s="55" t="s">
        <v>2918</v>
      </c>
    </row>
    <row r="730" spans="1:21" ht="15" customHeight="1" x14ac:dyDescent="0.2">
      <c r="A730" s="59" t="s">
        <v>2589</v>
      </c>
      <c r="B730" s="42" t="s">
        <v>1805</v>
      </c>
      <c r="C730" s="42" t="s">
        <v>1806</v>
      </c>
      <c r="D730" s="40">
        <v>43759</v>
      </c>
      <c r="E730" s="41">
        <v>100</v>
      </c>
      <c r="F730" s="46">
        <v>100</v>
      </c>
      <c r="G730" s="44" t="s">
        <v>615</v>
      </c>
      <c r="H730" s="43" t="s">
        <v>2807</v>
      </c>
      <c r="I730" s="43" t="s">
        <v>2781</v>
      </c>
      <c r="J730" s="44" t="s">
        <v>533</v>
      </c>
      <c r="K730" s="48" t="s">
        <v>2857</v>
      </c>
      <c r="L730" s="52" t="s">
        <v>403</v>
      </c>
      <c r="M730" s="44">
        <v>0</v>
      </c>
      <c r="N730" s="55" t="s">
        <v>2918</v>
      </c>
    </row>
    <row r="731" spans="1:21" ht="15" customHeight="1" x14ac:dyDescent="0.2">
      <c r="A731" s="59" t="s">
        <v>2590</v>
      </c>
      <c r="B731" s="42" t="s">
        <v>1805</v>
      </c>
      <c r="C731" s="42" t="s">
        <v>1807</v>
      </c>
      <c r="D731" s="40">
        <v>43759</v>
      </c>
      <c r="E731" s="41">
        <v>40</v>
      </c>
      <c r="F731" s="46">
        <v>40</v>
      </c>
      <c r="G731" s="44" t="s">
        <v>615</v>
      </c>
      <c r="H731" s="43" t="s">
        <v>2714</v>
      </c>
      <c r="I731" s="43" t="s">
        <v>2713</v>
      </c>
      <c r="J731" s="44" t="s">
        <v>533</v>
      </c>
      <c r="K731" s="48" t="s">
        <v>2858</v>
      </c>
      <c r="L731" s="52" t="s">
        <v>403</v>
      </c>
      <c r="M731" s="44">
        <v>0</v>
      </c>
      <c r="N731" s="45">
        <v>43921</v>
      </c>
    </row>
    <row r="732" spans="1:21" ht="15" customHeight="1" x14ac:dyDescent="0.2">
      <c r="A732" s="59" t="s">
        <v>5866</v>
      </c>
      <c r="B732" s="60" t="s">
        <v>1428</v>
      </c>
      <c r="C732" s="60" t="s">
        <v>5867</v>
      </c>
      <c r="D732" s="40">
        <v>43760</v>
      </c>
      <c r="E732" s="61" t="s">
        <v>5932</v>
      </c>
      <c r="F732" s="62" t="s">
        <v>5932</v>
      </c>
      <c r="G732" s="63" t="s">
        <v>615</v>
      </c>
      <c r="H732" s="64" t="s">
        <v>2731</v>
      </c>
      <c r="I732" s="64" t="s">
        <v>2713</v>
      </c>
      <c r="J732" s="63" t="s">
        <v>393</v>
      </c>
      <c r="K732" s="64" t="s">
        <v>2859</v>
      </c>
      <c r="L732" s="63" t="s">
        <v>34</v>
      </c>
      <c r="M732" s="63" t="s">
        <v>5781</v>
      </c>
      <c r="N732" s="65">
        <v>45443</v>
      </c>
      <c r="O732"/>
      <c r="P732"/>
      <c r="Q732"/>
      <c r="R732"/>
      <c r="S732"/>
      <c r="T732"/>
    </row>
    <row r="733" spans="1:21" ht="15" customHeight="1" x14ac:dyDescent="0.2">
      <c r="A733" s="59" t="s">
        <v>2591</v>
      </c>
      <c r="B733" s="42" t="s">
        <v>1601</v>
      </c>
      <c r="C733" s="42" t="s">
        <v>2592</v>
      </c>
      <c r="D733" s="40">
        <v>43769</v>
      </c>
      <c r="E733" s="41">
        <v>290</v>
      </c>
      <c r="F733" s="46">
        <v>290</v>
      </c>
      <c r="G733" s="44" t="s">
        <v>615</v>
      </c>
      <c r="H733" s="43" t="s">
        <v>2774</v>
      </c>
      <c r="I733" s="43" t="s">
        <v>2749</v>
      </c>
      <c r="J733" s="44" t="s">
        <v>531</v>
      </c>
      <c r="K733" s="48" t="s">
        <v>2861</v>
      </c>
      <c r="L733" s="52" t="s">
        <v>34</v>
      </c>
      <c r="M733" s="44">
        <v>0</v>
      </c>
      <c r="N733" s="45">
        <v>44316</v>
      </c>
    </row>
    <row r="734" spans="1:21" ht="15" customHeight="1" x14ac:dyDescent="0.2">
      <c r="A734" s="59" t="s">
        <v>2593</v>
      </c>
      <c r="B734" s="42" t="s">
        <v>1810</v>
      </c>
      <c r="C734" s="42" t="s">
        <v>1811</v>
      </c>
      <c r="D734" s="40">
        <v>43769</v>
      </c>
      <c r="E734" s="41">
        <v>70</v>
      </c>
      <c r="F734" s="46">
        <v>68.599999999999994</v>
      </c>
      <c r="G734" s="44" t="s">
        <v>615</v>
      </c>
      <c r="H734" s="43" t="s">
        <v>2719</v>
      </c>
      <c r="I734" s="43" t="s">
        <v>2713</v>
      </c>
      <c r="J734" s="44" t="s">
        <v>533</v>
      </c>
      <c r="K734" s="48" t="s">
        <v>1163</v>
      </c>
      <c r="L734" s="52" t="s">
        <v>403</v>
      </c>
      <c r="M734" s="44">
        <v>0</v>
      </c>
      <c r="N734" s="45">
        <v>43951</v>
      </c>
    </row>
    <row r="735" spans="1:21" customFormat="1" ht="14.45" customHeight="1" x14ac:dyDescent="0.2">
      <c r="A735" s="59" t="s">
        <v>7129</v>
      </c>
      <c r="B735" s="60" t="s">
        <v>1423</v>
      </c>
      <c r="C735" s="60" t="s">
        <v>7128</v>
      </c>
      <c r="D735" s="40">
        <v>43770</v>
      </c>
      <c r="E735" s="61">
        <v>20</v>
      </c>
      <c r="F735" s="62">
        <v>20</v>
      </c>
      <c r="G735" s="63" t="s">
        <v>55</v>
      </c>
      <c r="H735" s="64" t="s">
        <v>2788</v>
      </c>
      <c r="I735" s="64" t="s">
        <v>2713</v>
      </c>
      <c r="J735" s="63" t="s">
        <v>530</v>
      </c>
      <c r="K735" s="64" t="s">
        <v>7127</v>
      </c>
      <c r="L735" s="63" t="s">
        <v>34</v>
      </c>
      <c r="M735" s="63" t="s">
        <v>5781</v>
      </c>
      <c r="N735" s="65">
        <v>45626</v>
      </c>
    </row>
    <row r="736" spans="1:21" ht="15" customHeight="1" x14ac:dyDescent="0.2">
      <c r="A736" s="59" t="s">
        <v>2818</v>
      </c>
      <c r="B736" s="42" t="s">
        <v>1812</v>
      </c>
      <c r="C736" s="42" t="s">
        <v>1813</v>
      </c>
      <c r="D736" s="40">
        <v>43770</v>
      </c>
      <c r="E736" s="41">
        <v>10</v>
      </c>
      <c r="F736" s="46">
        <v>10</v>
      </c>
      <c r="G736" s="44" t="s">
        <v>615</v>
      </c>
      <c r="H736" s="43" t="s">
        <v>2719</v>
      </c>
      <c r="I736" s="43" t="s">
        <v>2713</v>
      </c>
      <c r="J736" s="44" t="s">
        <v>533</v>
      </c>
      <c r="K736" s="48" t="s">
        <v>3149</v>
      </c>
      <c r="L736" s="52" t="s">
        <v>403</v>
      </c>
      <c r="M736" s="44">
        <v>0</v>
      </c>
      <c r="N736" s="45">
        <v>43982</v>
      </c>
    </row>
    <row r="737" spans="1:21" ht="15" customHeight="1" x14ac:dyDescent="0.2">
      <c r="A737" s="59" t="s">
        <v>2594</v>
      </c>
      <c r="B737" s="42" t="s">
        <v>1647</v>
      </c>
      <c r="C737" s="42" t="s">
        <v>1814</v>
      </c>
      <c r="D737" s="40">
        <v>43773</v>
      </c>
      <c r="E737" s="41">
        <v>5.5</v>
      </c>
      <c r="F737" s="46">
        <v>5.5</v>
      </c>
      <c r="G737" s="44" t="s">
        <v>615</v>
      </c>
      <c r="H737" s="43" t="s">
        <v>2723</v>
      </c>
      <c r="I737" s="43" t="s">
        <v>2713</v>
      </c>
      <c r="J737" s="44" t="s">
        <v>471</v>
      </c>
      <c r="K737" s="48" t="s">
        <v>2624</v>
      </c>
      <c r="L737" s="52" t="s">
        <v>157</v>
      </c>
      <c r="M737" s="44">
        <v>0</v>
      </c>
      <c r="N737" s="45">
        <v>43921</v>
      </c>
    </row>
    <row r="738" spans="1:21" ht="15" customHeight="1" x14ac:dyDescent="0.2">
      <c r="A738" s="59" t="s">
        <v>2595</v>
      </c>
      <c r="B738" s="42" t="s">
        <v>1815</v>
      </c>
      <c r="C738" s="42" t="s">
        <v>1816</v>
      </c>
      <c r="D738" s="40">
        <v>43773</v>
      </c>
      <c r="E738" s="41">
        <v>100</v>
      </c>
      <c r="F738" s="46">
        <v>100</v>
      </c>
      <c r="G738" s="44" t="s">
        <v>615</v>
      </c>
      <c r="H738" s="43" t="s">
        <v>2716</v>
      </c>
      <c r="I738" s="43" t="s">
        <v>2713</v>
      </c>
      <c r="J738" s="44" t="s">
        <v>532</v>
      </c>
      <c r="K738" s="48" t="s">
        <v>2862</v>
      </c>
      <c r="L738" s="52" t="s">
        <v>87</v>
      </c>
      <c r="M738" s="44">
        <v>0</v>
      </c>
      <c r="N738" s="45">
        <v>43921</v>
      </c>
    </row>
    <row r="739" spans="1:21" ht="15" customHeight="1" x14ac:dyDescent="0.2">
      <c r="A739" s="59" t="s">
        <v>5868</v>
      </c>
      <c r="B739" s="60" t="s">
        <v>1817</v>
      </c>
      <c r="C739" s="60" t="s">
        <v>1818</v>
      </c>
      <c r="D739" s="40">
        <v>43774</v>
      </c>
      <c r="E739" s="61" t="s">
        <v>5808</v>
      </c>
      <c r="F739" s="62" t="s">
        <v>5808</v>
      </c>
      <c r="G739" s="63" t="s">
        <v>615</v>
      </c>
      <c r="H739" s="64" t="s">
        <v>2719</v>
      </c>
      <c r="I739" s="64" t="s">
        <v>2713</v>
      </c>
      <c r="J739" s="63" t="s">
        <v>532</v>
      </c>
      <c r="K739" s="64" t="s">
        <v>630</v>
      </c>
      <c r="L739" s="63" t="s">
        <v>87</v>
      </c>
      <c r="M739" s="63" t="s">
        <v>5781</v>
      </c>
      <c r="N739" s="65">
        <v>45443</v>
      </c>
      <c r="O739"/>
      <c r="P739"/>
      <c r="Q739"/>
      <c r="R739"/>
      <c r="S739"/>
      <c r="T739"/>
    </row>
    <row r="740" spans="1:21" ht="15" customHeight="1" x14ac:dyDescent="0.2">
      <c r="A740" s="59" t="s">
        <v>2596</v>
      </c>
      <c r="B740" s="60" t="s">
        <v>1817</v>
      </c>
      <c r="C740" s="60" t="s">
        <v>1819</v>
      </c>
      <c r="D740" s="40" t="s">
        <v>4114</v>
      </c>
      <c r="E740" s="61">
        <v>50</v>
      </c>
      <c r="F740" s="62">
        <v>50</v>
      </c>
      <c r="G740" s="63" t="s">
        <v>615</v>
      </c>
      <c r="H740" s="64" t="s">
        <v>2746</v>
      </c>
      <c r="I740" s="64" t="s">
        <v>2713</v>
      </c>
      <c r="J740" s="63" t="s">
        <v>532</v>
      </c>
      <c r="K740" s="64" t="s">
        <v>4514</v>
      </c>
      <c r="L740" s="63" t="s">
        <v>87</v>
      </c>
      <c r="M740" s="63">
        <v>0</v>
      </c>
      <c r="N740" s="65">
        <v>45016</v>
      </c>
    </row>
    <row r="741" spans="1:21" ht="15" customHeight="1" x14ac:dyDescent="0.2">
      <c r="A741" s="59" t="s">
        <v>5869</v>
      </c>
      <c r="B741" s="60" t="s">
        <v>1817</v>
      </c>
      <c r="C741" s="60" t="s">
        <v>1820</v>
      </c>
      <c r="D741" s="40">
        <v>43777</v>
      </c>
      <c r="E741" s="61" t="s">
        <v>5808</v>
      </c>
      <c r="F741" s="62" t="s">
        <v>5808</v>
      </c>
      <c r="G741" s="63" t="s">
        <v>615</v>
      </c>
      <c r="H741" s="64" t="s">
        <v>2716</v>
      </c>
      <c r="I741" s="64" t="s">
        <v>2713</v>
      </c>
      <c r="J741" s="63" t="s">
        <v>532</v>
      </c>
      <c r="K741" s="64" t="s">
        <v>982</v>
      </c>
      <c r="L741" s="63" t="s">
        <v>87</v>
      </c>
      <c r="M741" s="63" t="s">
        <v>5781</v>
      </c>
      <c r="N741" s="65">
        <v>45443</v>
      </c>
      <c r="O741"/>
      <c r="P741"/>
      <c r="Q741"/>
      <c r="R741"/>
      <c r="S741"/>
      <c r="T741"/>
    </row>
    <row r="742" spans="1:21" ht="15" customHeight="1" x14ac:dyDescent="0.2">
      <c r="A742" s="59" t="s">
        <v>5870</v>
      </c>
      <c r="B742" s="60" t="s">
        <v>1821</v>
      </c>
      <c r="C742" s="60" t="s">
        <v>1822</v>
      </c>
      <c r="D742" s="40">
        <v>43777</v>
      </c>
      <c r="E742" s="61" t="s">
        <v>5800</v>
      </c>
      <c r="F742" s="62" t="s">
        <v>5800</v>
      </c>
      <c r="G742" s="63" t="s">
        <v>615</v>
      </c>
      <c r="H742" s="64" t="s">
        <v>2716</v>
      </c>
      <c r="I742" s="64" t="s">
        <v>2713</v>
      </c>
      <c r="J742" s="63" t="s">
        <v>532</v>
      </c>
      <c r="K742" s="64" t="s">
        <v>4877</v>
      </c>
      <c r="L742" s="63" t="s">
        <v>87</v>
      </c>
      <c r="M742" s="63" t="s">
        <v>5781</v>
      </c>
      <c r="N742" s="65">
        <v>45443</v>
      </c>
      <c r="O742"/>
      <c r="P742"/>
      <c r="Q742"/>
      <c r="R742"/>
      <c r="S742"/>
      <c r="T742"/>
    </row>
    <row r="743" spans="1:21" ht="15" customHeight="1" x14ac:dyDescent="0.2">
      <c r="A743" s="59" t="s">
        <v>2819</v>
      </c>
      <c r="B743" s="42" t="s">
        <v>1823</v>
      </c>
      <c r="C743" s="42" t="s">
        <v>1824</v>
      </c>
      <c r="D743" s="40">
        <v>43777</v>
      </c>
      <c r="E743" s="41">
        <v>20</v>
      </c>
      <c r="F743" s="46">
        <v>20</v>
      </c>
      <c r="G743" s="44" t="s">
        <v>615</v>
      </c>
      <c r="H743" s="43" t="s">
        <v>590</v>
      </c>
      <c r="I743" s="43" t="s">
        <v>2713</v>
      </c>
      <c r="J743" s="44" t="s">
        <v>393</v>
      </c>
      <c r="K743" s="48" t="s">
        <v>3104</v>
      </c>
      <c r="L743" s="52" t="s">
        <v>157</v>
      </c>
      <c r="M743" s="44">
        <v>0</v>
      </c>
      <c r="N743" s="45">
        <v>43921</v>
      </c>
    </row>
    <row r="744" spans="1:21" ht="15" customHeight="1" x14ac:dyDescent="0.2">
      <c r="A744" s="59" t="s">
        <v>2821</v>
      </c>
      <c r="B744" s="42" t="s">
        <v>1825</v>
      </c>
      <c r="C744" s="42" t="s">
        <v>1826</v>
      </c>
      <c r="D744" s="40">
        <v>43781</v>
      </c>
      <c r="E744" s="41">
        <v>100</v>
      </c>
      <c r="F744" s="46">
        <v>100</v>
      </c>
      <c r="G744" s="44" t="s">
        <v>615</v>
      </c>
      <c r="H744" s="43" t="s">
        <v>2788</v>
      </c>
      <c r="I744" s="43" t="s">
        <v>2713</v>
      </c>
      <c r="J744" s="44" t="s">
        <v>393</v>
      </c>
      <c r="K744" s="48" t="s">
        <v>2597</v>
      </c>
      <c r="L744" s="52" t="s">
        <v>41</v>
      </c>
      <c r="M744" s="44">
        <v>0</v>
      </c>
      <c r="N744" s="45">
        <v>43982</v>
      </c>
    </row>
    <row r="745" spans="1:21" ht="15" customHeight="1" x14ac:dyDescent="0.2">
      <c r="A745" s="59" t="s">
        <v>6061</v>
      </c>
      <c r="B745" s="60" t="s">
        <v>6062</v>
      </c>
      <c r="C745" s="60" t="s">
        <v>6063</v>
      </c>
      <c r="D745" s="40">
        <v>43782</v>
      </c>
      <c r="E745" s="61">
        <v>20</v>
      </c>
      <c r="F745" s="62">
        <v>20</v>
      </c>
      <c r="G745" s="63" t="s">
        <v>615</v>
      </c>
      <c r="H745" s="64" t="s">
        <v>2775</v>
      </c>
      <c r="I745" s="64" t="s">
        <v>2713</v>
      </c>
      <c r="J745" s="63" t="s">
        <v>531</v>
      </c>
      <c r="K745" s="64" t="s">
        <v>6064</v>
      </c>
      <c r="L745" s="63" t="s">
        <v>157</v>
      </c>
      <c r="M745" s="63" t="s">
        <v>5781</v>
      </c>
      <c r="N745" s="65">
        <v>45473</v>
      </c>
      <c r="O745"/>
      <c r="P745"/>
      <c r="Q745"/>
      <c r="R745"/>
      <c r="S745"/>
      <c r="T745"/>
      <c r="U745"/>
    </row>
    <row r="746" spans="1:21" ht="15" customHeight="1" x14ac:dyDescent="0.2">
      <c r="A746" s="59" t="s">
        <v>2598</v>
      </c>
      <c r="B746" s="42" t="s">
        <v>1602</v>
      </c>
      <c r="C746" s="42" t="s">
        <v>1827</v>
      </c>
      <c r="D746" s="40">
        <v>43783</v>
      </c>
      <c r="E746" s="41">
        <v>21.3</v>
      </c>
      <c r="F746" s="46">
        <v>21.3</v>
      </c>
      <c r="G746" s="44" t="s">
        <v>615</v>
      </c>
      <c r="H746" s="43" t="s">
        <v>2737</v>
      </c>
      <c r="I746" s="43" t="s">
        <v>2713</v>
      </c>
      <c r="J746" s="44" t="s">
        <v>530</v>
      </c>
      <c r="K746" s="48" t="s">
        <v>2863</v>
      </c>
      <c r="L746" s="52" t="s">
        <v>157</v>
      </c>
      <c r="M746" s="44">
        <v>0</v>
      </c>
      <c r="N746" s="45">
        <v>43861</v>
      </c>
    </row>
    <row r="747" spans="1:21" ht="15" customHeight="1" x14ac:dyDescent="0.2">
      <c r="A747" s="59" t="s">
        <v>2599</v>
      </c>
      <c r="B747" s="42" t="s">
        <v>1602</v>
      </c>
      <c r="C747" s="42" t="s">
        <v>3125</v>
      </c>
      <c r="D747" s="40">
        <v>43785</v>
      </c>
      <c r="E747" s="41">
        <v>11.3</v>
      </c>
      <c r="F747" s="46">
        <v>11.3</v>
      </c>
      <c r="G747" s="44" t="s">
        <v>615</v>
      </c>
      <c r="H747" s="43" t="s">
        <v>2731</v>
      </c>
      <c r="I747" s="43" t="s">
        <v>2713</v>
      </c>
      <c r="J747" s="44" t="s">
        <v>540</v>
      </c>
      <c r="K747" s="48" t="s">
        <v>3672</v>
      </c>
      <c r="L747" s="52" t="s">
        <v>157</v>
      </c>
      <c r="M747" s="44">
        <v>0</v>
      </c>
      <c r="N747" s="45">
        <v>44865</v>
      </c>
    </row>
    <row r="748" spans="1:21" ht="15" customHeight="1" x14ac:dyDescent="0.2">
      <c r="A748" s="59" t="s">
        <v>2825</v>
      </c>
      <c r="B748" s="42" t="s">
        <v>1602</v>
      </c>
      <c r="C748" s="42" t="s">
        <v>3123</v>
      </c>
      <c r="D748" s="40">
        <v>43787</v>
      </c>
      <c r="E748" s="41">
        <v>8.8000000000000007</v>
      </c>
      <c r="F748" s="46">
        <v>8.8000000000000007</v>
      </c>
      <c r="G748" s="44" t="s">
        <v>615</v>
      </c>
      <c r="H748" s="43" t="s">
        <v>2758</v>
      </c>
      <c r="I748" s="43" t="s">
        <v>2713</v>
      </c>
      <c r="J748" s="44" t="s">
        <v>540</v>
      </c>
      <c r="K748" s="48" t="s">
        <v>3096</v>
      </c>
      <c r="L748" s="52" t="s">
        <v>191</v>
      </c>
      <c r="M748" s="44">
        <v>0</v>
      </c>
      <c r="N748" s="45">
        <v>43982</v>
      </c>
    </row>
    <row r="749" spans="1:21" ht="15" customHeight="1" x14ac:dyDescent="0.2">
      <c r="A749" s="59" t="s">
        <v>5871</v>
      </c>
      <c r="B749" s="60" t="s">
        <v>1817</v>
      </c>
      <c r="C749" s="60" t="s">
        <v>1828</v>
      </c>
      <c r="D749" s="40">
        <v>43788</v>
      </c>
      <c r="E749" s="61" t="s">
        <v>5793</v>
      </c>
      <c r="F749" s="62" t="s">
        <v>5793</v>
      </c>
      <c r="G749" s="63" t="s">
        <v>615</v>
      </c>
      <c r="H749" s="64" t="s">
        <v>2716</v>
      </c>
      <c r="I749" s="64" t="s">
        <v>2713</v>
      </c>
      <c r="J749" s="63" t="s">
        <v>532</v>
      </c>
      <c r="K749" s="64" t="s">
        <v>4878</v>
      </c>
      <c r="L749" s="63" t="s">
        <v>87</v>
      </c>
      <c r="M749" s="63" t="s">
        <v>5781</v>
      </c>
      <c r="N749" s="65">
        <v>45443</v>
      </c>
      <c r="O749"/>
      <c r="P749"/>
      <c r="Q749"/>
      <c r="R749"/>
      <c r="S749"/>
      <c r="T749"/>
    </row>
    <row r="750" spans="1:21" customFormat="1" ht="15" customHeight="1" x14ac:dyDescent="0.2">
      <c r="A750" s="59" t="s">
        <v>5242</v>
      </c>
      <c r="B750" s="60" t="s">
        <v>2600</v>
      </c>
      <c r="C750" s="60" t="s">
        <v>2600</v>
      </c>
      <c r="D750" s="40">
        <v>43803</v>
      </c>
      <c r="E750" s="61">
        <v>100</v>
      </c>
      <c r="F750" s="62">
        <v>100</v>
      </c>
      <c r="G750" s="63" t="s">
        <v>615</v>
      </c>
      <c r="H750" s="64" t="s">
        <v>2775</v>
      </c>
      <c r="I750" s="64" t="s">
        <v>2713</v>
      </c>
      <c r="J750" s="63" t="s">
        <v>531</v>
      </c>
      <c r="K750" s="64" t="s">
        <v>4515</v>
      </c>
      <c r="L750" s="63" t="s">
        <v>34</v>
      </c>
      <c r="M750" s="63" t="s">
        <v>5781</v>
      </c>
      <c r="N750" s="65">
        <v>45046</v>
      </c>
    </row>
    <row r="751" spans="1:21" customFormat="1" ht="14.45" customHeight="1" x14ac:dyDescent="0.2">
      <c r="A751" s="59" t="s">
        <v>5243</v>
      </c>
      <c r="B751" s="60" t="s">
        <v>2601</v>
      </c>
      <c r="C751" s="60" t="s">
        <v>2601</v>
      </c>
      <c r="D751" s="40">
        <v>43803</v>
      </c>
      <c r="E751" s="61">
        <v>100</v>
      </c>
      <c r="F751" s="62">
        <v>100</v>
      </c>
      <c r="G751" s="63" t="s">
        <v>615</v>
      </c>
      <c r="H751" s="64" t="s">
        <v>2777</v>
      </c>
      <c r="I751" s="64" t="s">
        <v>2713</v>
      </c>
      <c r="J751" s="63" t="s">
        <v>539</v>
      </c>
      <c r="K751" s="64" t="s">
        <v>4879</v>
      </c>
      <c r="L751" s="63" t="s">
        <v>2558</v>
      </c>
      <c r="M751" s="63" t="s">
        <v>5781</v>
      </c>
      <c r="N751" s="65">
        <v>45657</v>
      </c>
    </row>
    <row r="752" spans="1:21" ht="15" customHeight="1" x14ac:dyDescent="0.2">
      <c r="A752" s="59" t="s">
        <v>5872</v>
      </c>
      <c r="B752" s="60" t="s">
        <v>2603</v>
      </c>
      <c r="C752" s="60" t="s">
        <v>2604</v>
      </c>
      <c r="D752" s="40">
        <v>43804</v>
      </c>
      <c r="E752" s="61" t="s">
        <v>5809</v>
      </c>
      <c r="F752" s="62" t="s">
        <v>5783</v>
      </c>
      <c r="G752" s="63" t="s">
        <v>55</v>
      </c>
      <c r="H752" s="64" t="s">
        <v>2812</v>
      </c>
      <c r="I752" s="64" t="s">
        <v>2713</v>
      </c>
      <c r="J752" s="63" t="s">
        <v>531</v>
      </c>
      <c r="K752" s="64" t="s">
        <v>2864</v>
      </c>
      <c r="L752" s="63" t="s">
        <v>157</v>
      </c>
      <c r="M752" s="63" t="s">
        <v>5781</v>
      </c>
      <c r="N752" s="65">
        <v>45443</v>
      </c>
      <c r="O752"/>
      <c r="P752"/>
      <c r="Q752"/>
      <c r="R752"/>
      <c r="S752"/>
      <c r="T752"/>
    </row>
    <row r="753" spans="1:20" ht="15" customHeight="1" x14ac:dyDescent="0.2">
      <c r="A753" s="59" t="s">
        <v>2817</v>
      </c>
      <c r="B753" s="42" t="s">
        <v>2605</v>
      </c>
      <c r="C753" s="42" t="s">
        <v>2606</v>
      </c>
      <c r="D753" s="40">
        <v>43805</v>
      </c>
      <c r="E753" s="41">
        <v>20</v>
      </c>
      <c r="F753" s="46">
        <v>20</v>
      </c>
      <c r="G753" s="44" t="s">
        <v>615</v>
      </c>
      <c r="H753" s="43" t="s">
        <v>2796</v>
      </c>
      <c r="I753" s="43" t="s">
        <v>2713</v>
      </c>
      <c r="J753" s="44" t="s">
        <v>471</v>
      </c>
      <c r="K753" s="48" t="s">
        <v>2607</v>
      </c>
      <c r="L753" s="52" t="s">
        <v>157</v>
      </c>
      <c r="M753" s="44">
        <v>0</v>
      </c>
      <c r="N753" s="45">
        <v>43890</v>
      </c>
      <c r="O753"/>
      <c r="P753"/>
      <c r="Q753"/>
      <c r="R753"/>
      <c r="S753"/>
      <c r="T753"/>
    </row>
    <row r="754" spans="1:20" customFormat="1" ht="14.45" customHeight="1" x14ac:dyDescent="0.2">
      <c r="A754" s="59" t="s">
        <v>5246</v>
      </c>
      <c r="B754" s="60" t="s">
        <v>5605</v>
      </c>
      <c r="C754" s="60" t="s">
        <v>4784</v>
      </c>
      <c r="D754" s="40">
        <v>43809</v>
      </c>
      <c r="E754" s="61">
        <v>76.8</v>
      </c>
      <c r="F754" s="62">
        <v>76.8</v>
      </c>
      <c r="G754" s="63" t="s">
        <v>615</v>
      </c>
      <c r="H754" s="64" t="s">
        <v>2716</v>
      </c>
      <c r="I754" s="64" t="s">
        <v>2713</v>
      </c>
      <c r="J754" s="63" t="s">
        <v>532</v>
      </c>
      <c r="K754" s="64" t="s">
        <v>4118</v>
      </c>
      <c r="L754" s="63" t="s">
        <v>87</v>
      </c>
      <c r="M754" s="63" t="s">
        <v>5781</v>
      </c>
      <c r="N754" s="65">
        <v>45688</v>
      </c>
    </row>
    <row r="755" spans="1:20" ht="15" customHeight="1" x14ac:dyDescent="0.2">
      <c r="A755" s="59" t="s">
        <v>2824</v>
      </c>
      <c r="B755" s="60" t="s">
        <v>3459</v>
      </c>
      <c r="C755" s="60" t="s">
        <v>3129</v>
      </c>
      <c r="D755" s="40">
        <v>43809</v>
      </c>
      <c r="E755" s="61">
        <v>96</v>
      </c>
      <c r="F755" s="62">
        <v>96</v>
      </c>
      <c r="G755" s="63" t="s">
        <v>124</v>
      </c>
      <c r="H755" s="64" t="s">
        <v>2746</v>
      </c>
      <c r="I755" s="64" t="s">
        <v>2713</v>
      </c>
      <c r="J755" s="63" t="s">
        <v>532</v>
      </c>
      <c r="K755" s="64" t="s">
        <v>4112</v>
      </c>
      <c r="L755" s="63" t="s">
        <v>87</v>
      </c>
      <c r="M755" s="63">
        <v>0</v>
      </c>
      <c r="N755" s="65">
        <v>44985</v>
      </c>
    </row>
    <row r="756" spans="1:20" ht="15" customHeight="1" x14ac:dyDescent="0.2">
      <c r="A756" s="59" t="s">
        <v>5247</v>
      </c>
      <c r="B756" s="60" t="s">
        <v>3459</v>
      </c>
      <c r="C756" s="60" t="s">
        <v>3128</v>
      </c>
      <c r="D756" s="40">
        <v>43810</v>
      </c>
      <c r="E756" s="61" t="s">
        <v>5248</v>
      </c>
      <c r="F756" s="62" t="s">
        <v>5248</v>
      </c>
      <c r="G756" s="63" t="s">
        <v>124</v>
      </c>
      <c r="H756" s="64" t="s">
        <v>2746</v>
      </c>
      <c r="I756" s="64" t="s">
        <v>2713</v>
      </c>
      <c r="J756" s="63" t="s">
        <v>532</v>
      </c>
      <c r="K756" s="64" t="s">
        <v>4112</v>
      </c>
      <c r="L756" s="63" t="s">
        <v>87</v>
      </c>
      <c r="M756" s="63" t="s">
        <v>5781</v>
      </c>
      <c r="N756" s="65">
        <v>45412</v>
      </c>
      <c r="O756"/>
      <c r="P756"/>
      <c r="Q756"/>
      <c r="R756"/>
      <c r="S756"/>
      <c r="T756"/>
    </row>
    <row r="757" spans="1:20" customFormat="1" ht="14.45" customHeight="1" x14ac:dyDescent="0.2">
      <c r="A757" s="59" t="s">
        <v>5249</v>
      </c>
      <c r="B757" s="60" t="s">
        <v>2609</v>
      </c>
      <c r="C757" s="60" t="s">
        <v>4120</v>
      </c>
      <c r="D757" s="40">
        <v>43811</v>
      </c>
      <c r="E757" s="61">
        <v>20</v>
      </c>
      <c r="F757" s="62">
        <v>20</v>
      </c>
      <c r="G757" s="63" t="s">
        <v>55</v>
      </c>
      <c r="H757" s="64" t="s">
        <v>2798</v>
      </c>
      <c r="I757" s="64" t="s">
        <v>2713</v>
      </c>
      <c r="J757" s="63" t="s">
        <v>471</v>
      </c>
      <c r="K757" s="64" t="s">
        <v>4121</v>
      </c>
      <c r="L757" s="63" t="s">
        <v>157</v>
      </c>
      <c r="M757" s="63" t="s">
        <v>5781</v>
      </c>
      <c r="N757" s="65">
        <v>45230</v>
      </c>
    </row>
    <row r="758" spans="1:20" customFormat="1" ht="14.45" customHeight="1" x14ac:dyDescent="0.2">
      <c r="A758" s="59" t="s">
        <v>5250</v>
      </c>
      <c r="B758" s="60" t="s">
        <v>1492</v>
      </c>
      <c r="C758" s="60" t="s">
        <v>2610</v>
      </c>
      <c r="D758" s="40">
        <v>43817</v>
      </c>
      <c r="E758" s="61">
        <v>20</v>
      </c>
      <c r="F758" s="62">
        <v>20</v>
      </c>
      <c r="G758" s="63" t="s">
        <v>615</v>
      </c>
      <c r="H758" s="64" t="s">
        <v>2746</v>
      </c>
      <c r="I758" s="64" t="s">
        <v>2713</v>
      </c>
      <c r="J758" s="63" t="s">
        <v>532</v>
      </c>
      <c r="K758" s="64" t="s">
        <v>4881</v>
      </c>
      <c r="L758" s="63" t="s">
        <v>87</v>
      </c>
      <c r="M758" s="63" t="s">
        <v>5781</v>
      </c>
      <c r="N758" s="65">
        <v>45596</v>
      </c>
    </row>
    <row r="759" spans="1:20" ht="15" customHeight="1" x14ac:dyDescent="0.2">
      <c r="A759" s="59" t="s">
        <v>2827</v>
      </c>
      <c r="B759" s="42" t="s">
        <v>2611</v>
      </c>
      <c r="C759" s="42" t="s">
        <v>2612</v>
      </c>
      <c r="D759" s="40">
        <v>43818</v>
      </c>
      <c r="E759" s="41">
        <v>20</v>
      </c>
      <c r="F759" s="46">
        <v>20</v>
      </c>
      <c r="G759" s="44" t="s">
        <v>55</v>
      </c>
      <c r="H759" s="43" t="s">
        <v>2737</v>
      </c>
      <c r="I759" s="43" t="s">
        <v>2713</v>
      </c>
      <c r="J759" s="44" t="s">
        <v>530</v>
      </c>
      <c r="K759" s="48" t="s">
        <v>1142</v>
      </c>
      <c r="L759" s="52" t="s">
        <v>157</v>
      </c>
      <c r="M759" s="44">
        <v>0</v>
      </c>
      <c r="N759" s="55" t="s">
        <v>4054</v>
      </c>
    </row>
    <row r="760" spans="1:20" ht="15" customHeight="1" x14ac:dyDescent="0.2">
      <c r="A760" s="59" t="s">
        <v>2816</v>
      </c>
      <c r="B760" s="42" t="s">
        <v>2504</v>
      </c>
      <c r="C760" s="42" t="s">
        <v>2613</v>
      </c>
      <c r="D760" s="40">
        <v>43818</v>
      </c>
      <c r="E760" s="41">
        <v>7</v>
      </c>
      <c r="F760" s="46">
        <v>7</v>
      </c>
      <c r="G760" s="44" t="s">
        <v>615</v>
      </c>
      <c r="H760" s="43" t="s">
        <v>2814</v>
      </c>
      <c r="I760" s="43" t="s">
        <v>2713</v>
      </c>
      <c r="J760" s="44" t="s">
        <v>318</v>
      </c>
      <c r="K760" s="48" t="s">
        <v>2614</v>
      </c>
      <c r="L760" s="52" t="s">
        <v>34</v>
      </c>
      <c r="M760" s="44">
        <v>0</v>
      </c>
      <c r="N760" s="45">
        <v>43951</v>
      </c>
    </row>
    <row r="761" spans="1:20" ht="15" customHeight="1" x14ac:dyDescent="0.2">
      <c r="A761" s="59" t="s">
        <v>2826</v>
      </c>
      <c r="B761" s="42" t="s">
        <v>2504</v>
      </c>
      <c r="C761" s="42" t="s">
        <v>2615</v>
      </c>
      <c r="D761" s="40">
        <v>43819</v>
      </c>
      <c r="E761" s="41">
        <v>10</v>
      </c>
      <c r="F761" s="46">
        <v>10</v>
      </c>
      <c r="G761" s="44" t="s">
        <v>615</v>
      </c>
      <c r="H761" s="43" t="s">
        <v>2731</v>
      </c>
      <c r="I761" s="43" t="s">
        <v>2713</v>
      </c>
      <c r="J761" s="44" t="s">
        <v>531</v>
      </c>
      <c r="K761" s="48" t="s">
        <v>2616</v>
      </c>
      <c r="L761" s="52" t="s">
        <v>157</v>
      </c>
      <c r="M761" s="44">
        <v>0</v>
      </c>
      <c r="N761" s="45">
        <v>43861</v>
      </c>
    </row>
    <row r="762" spans="1:20" customFormat="1" ht="14.45" customHeight="1" x14ac:dyDescent="0.2">
      <c r="A762" s="59" t="s">
        <v>5251</v>
      </c>
      <c r="B762" s="60" t="s">
        <v>2617</v>
      </c>
      <c r="C762" s="60" t="s">
        <v>2618</v>
      </c>
      <c r="D762" s="40">
        <v>43820</v>
      </c>
      <c r="E762" s="61">
        <v>76.8</v>
      </c>
      <c r="F762" s="62">
        <v>77.599999999999994</v>
      </c>
      <c r="G762" s="63" t="s">
        <v>615</v>
      </c>
      <c r="H762" s="64" t="s">
        <v>2716</v>
      </c>
      <c r="I762" s="64" t="s">
        <v>2713</v>
      </c>
      <c r="J762" s="63" t="s">
        <v>532</v>
      </c>
      <c r="K762" s="64" t="s">
        <v>2919</v>
      </c>
      <c r="L762" s="63" t="s">
        <v>87</v>
      </c>
      <c r="M762" s="63" t="s">
        <v>5781</v>
      </c>
      <c r="N762" s="65">
        <v>45716</v>
      </c>
    </row>
    <row r="763" spans="1:20" ht="15" customHeight="1" x14ac:dyDescent="0.2">
      <c r="A763" s="59" t="s">
        <v>5873</v>
      </c>
      <c r="B763" s="60" t="s">
        <v>3975</v>
      </c>
      <c r="C763" s="60" t="s">
        <v>4850</v>
      </c>
      <c r="D763" s="40">
        <v>43820</v>
      </c>
      <c r="E763" s="61" t="s">
        <v>5811</v>
      </c>
      <c r="F763" s="62" t="s">
        <v>5811</v>
      </c>
      <c r="G763" s="63" t="s">
        <v>615</v>
      </c>
      <c r="H763" s="64" t="s">
        <v>2716</v>
      </c>
      <c r="I763" s="64" t="s">
        <v>2713</v>
      </c>
      <c r="J763" s="63" t="s">
        <v>532</v>
      </c>
      <c r="K763" s="64" t="s">
        <v>3186</v>
      </c>
      <c r="L763" s="63" t="s">
        <v>87</v>
      </c>
      <c r="M763" s="63" t="s">
        <v>5781</v>
      </c>
      <c r="N763" s="65">
        <v>45443</v>
      </c>
      <c r="O763"/>
      <c r="P763"/>
      <c r="Q763"/>
      <c r="R763"/>
      <c r="S763"/>
      <c r="T763"/>
    </row>
    <row r="764" spans="1:20" ht="15" customHeight="1" x14ac:dyDescent="0.2">
      <c r="A764" s="59" t="s">
        <v>2865</v>
      </c>
      <c r="B764" s="42" t="s">
        <v>1423</v>
      </c>
      <c r="C764" s="42" t="s">
        <v>2866</v>
      </c>
      <c r="D764" s="40">
        <v>43839</v>
      </c>
      <c r="E764" s="41">
        <v>20</v>
      </c>
      <c r="F764" s="46">
        <v>20</v>
      </c>
      <c r="G764" s="44" t="s">
        <v>55</v>
      </c>
      <c r="H764" s="43" t="s">
        <v>2800</v>
      </c>
      <c r="I764" s="43" t="s">
        <v>2713</v>
      </c>
      <c r="J764" s="44" t="s">
        <v>530</v>
      </c>
      <c r="K764" s="48" t="s">
        <v>2920</v>
      </c>
      <c r="L764" s="52" t="s">
        <v>157</v>
      </c>
      <c r="M764" s="44">
        <v>0</v>
      </c>
      <c r="N764" s="45">
        <v>43982</v>
      </c>
    </row>
    <row r="765" spans="1:20" ht="15" customHeight="1" x14ac:dyDescent="0.2">
      <c r="A765" s="59" t="s">
        <v>2867</v>
      </c>
      <c r="B765" s="42" t="s">
        <v>1576</v>
      </c>
      <c r="C765" s="42" t="s">
        <v>2868</v>
      </c>
      <c r="D765" s="40">
        <v>43839</v>
      </c>
      <c r="E765" s="41">
        <v>6</v>
      </c>
      <c r="F765" s="46">
        <v>6</v>
      </c>
      <c r="G765" s="44" t="s">
        <v>615</v>
      </c>
      <c r="H765" s="43" t="s">
        <v>2806</v>
      </c>
      <c r="I765" s="43" t="s">
        <v>2713</v>
      </c>
      <c r="J765" s="44" t="s">
        <v>539</v>
      </c>
      <c r="K765" s="48" t="s">
        <v>2921</v>
      </c>
      <c r="L765" s="52" t="s">
        <v>673</v>
      </c>
      <c r="M765" s="44">
        <v>0</v>
      </c>
      <c r="N765" s="45">
        <v>43890</v>
      </c>
    </row>
    <row r="766" spans="1:20" ht="15" customHeight="1" x14ac:dyDescent="0.2">
      <c r="A766" s="59" t="s">
        <v>2869</v>
      </c>
      <c r="B766" s="42" t="s">
        <v>1576</v>
      </c>
      <c r="C766" s="42" t="s">
        <v>2870</v>
      </c>
      <c r="D766" s="40">
        <v>43839</v>
      </c>
      <c r="E766" s="41">
        <v>6</v>
      </c>
      <c r="F766" s="46">
        <v>6</v>
      </c>
      <c r="G766" s="44" t="s">
        <v>615</v>
      </c>
      <c r="H766" s="43" t="s">
        <v>2806</v>
      </c>
      <c r="I766" s="43" t="s">
        <v>2713</v>
      </c>
      <c r="J766" s="44" t="s">
        <v>539</v>
      </c>
      <c r="K766" s="48" t="s">
        <v>2921</v>
      </c>
      <c r="L766" s="52" t="s">
        <v>673</v>
      </c>
      <c r="M766" s="44">
        <v>0</v>
      </c>
      <c r="N766" s="45">
        <v>43890</v>
      </c>
    </row>
    <row r="767" spans="1:20" customFormat="1" ht="14.45" customHeight="1" x14ac:dyDescent="0.2">
      <c r="A767" s="59" t="s">
        <v>5254</v>
      </c>
      <c r="B767" s="60" t="s">
        <v>2609</v>
      </c>
      <c r="C767" s="60" t="s">
        <v>4123</v>
      </c>
      <c r="D767" s="40">
        <v>43840</v>
      </c>
      <c r="E767" s="61">
        <v>20</v>
      </c>
      <c r="F767" s="62">
        <v>20</v>
      </c>
      <c r="G767" s="63" t="s">
        <v>55</v>
      </c>
      <c r="H767" s="64" t="s">
        <v>2798</v>
      </c>
      <c r="I767" s="64" t="s">
        <v>2713</v>
      </c>
      <c r="J767" s="63" t="s">
        <v>471</v>
      </c>
      <c r="K767" s="64" t="s">
        <v>2922</v>
      </c>
      <c r="L767" s="63" t="s">
        <v>157</v>
      </c>
      <c r="M767" s="63" t="s">
        <v>5781</v>
      </c>
      <c r="N767" s="65">
        <v>45199</v>
      </c>
    </row>
    <row r="768" spans="1:20" ht="15" customHeight="1" x14ac:dyDescent="0.2">
      <c r="A768" s="59" t="s">
        <v>2872</v>
      </c>
      <c r="B768" s="42" t="s">
        <v>1607</v>
      </c>
      <c r="C768" s="42" t="s">
        <v>2873</v>
      </c>
      <c r="D768" s="40">
        <v>43843</v>
      </c>
      <c r="E768" s="41">
        <v>293.5</v>
      </c>
      <c r="F768" s="46">
        <v>297.89999999999998</v>
      </c>
      <c r="G768" s="44" t="s">
        <v>615</v>
      </c>
      <c r="H768" s="43" t="s">
        <v>2716</v>
      </c>
      <c r="I768" s="43" t="s">
        <v>2713</v>
      </c>
      <c r="J768" s="44" t="s">
        <v>532</v>
      </c>
      <c r="K768" s="48" t="s">
        <v>2923</v>
      </c>
      <c r="L768" s="52" t="s">
        <v>87</v>
      </c>
      <c r="M768" s="56">
        <v>0</v>
      </c>
      <c r="N768" s="45">
        <v>44438</v>
      </c>
    </row>
    <row r="769" spans="1:20" customFormat="1" ht="14.45" customHeight="1" x14ac:dyDescent="0.2">
      <c r="A769" s="59" t="s">
        <v>5255</v>
      </c>
      <c r="B769" s="60" t="s">
        <v>2874</v>
      </c>
      <c r="C769" s="60" t="s">
        <v>2875</v>
      </c>
      <c r="D769" s="40">
        <v>43844</v>
      </c>
      <c r="E769" s="61">
        <v>80</v>
      </c>
      <c r="F769" s="62">
        <v>80</v>
      </c>
      <c r="G769" s="63" t="s">
        <v>615</v>
      </c>
      <c r="H769" s="64" t="s">
        <v>2717</v>
      </c>
      <c r="I769" s="64" t="s">
        <v>2713</v>
      </c>
      <c r="J769" s="63" t="s">
        <v>539</v>
      </c>
      <c r="K769" s="64" t="s">
        <v>1392</v>
      </c>
      <c r="L769" s="63" t="s">
        <v>1162</v>
      </c>
      <c r="M769" s="63" t="s">
        <v>5781</v>
      </c>
      <c r="N769" s="65">
        <v>45657</v>
      </c>
    </row>
    <row r="770" spans="1:20" ht="15" customHeight="1" x14ac:dyDescent="0.2">
      <c r="A770" s="59" t="s">
        <v>2876</v>
      </c>
      <c r="B770" s="42" t="s">
        <v>1602</v>
      </c>
      <c r="C770" s="42" t="s">
        <v>3126</v>
      </c>
      <c r="D770" s="40">
        <v>43845</v>
      </c>
      <c r="E770" s="41">
        <v>20</v>
      </c>
      <c r="F770" s="46">
        <v>20</v>
      </c>
      <c r="G770" s="44" t="s">
        <v>615</v>
      </c>
      <c r="H770" s="43" t="s">
        <v>2737</v>
      </c>
      <c r="I770" s="43" t="s">
        <v>2713</v>
      </c>
      <c r="J770" s="44" t="s">
        <v>530</v>
      </c>
      <c r="K770" s="48" t="s">
        <v>3115</v>
      </c>
      <c r="L770" s="52" t="s">
        <v>157</v>
      </c>
      <c r="M770" s="44">
        <v>0</v>
      </c>
      <c r="N770" s="45">
        <v>44012</v>
      </c>
    </row>
    <row r="771" spans="1:20" ht="15" customHeight="1" x14ac:dyDescent="0.2">
      <c r="A771" s="59" t="s">
        <v>2877</v>
      </c>
      <c r="B771" s="42" t="s">
        <v>2504</v>
      </c>
      <c r="C771" s="42" t="s">
        <v>2878</v>
      </c>
      <c r="D771" s="40">
        <v>43846</v>
      </c>
      <c r="E771" s="41">
        <v>10</v>
      </c>
      <c r="F771" s="46">
        <v>10</v>
      </c>
      <c r="G771" s="44" t="s">
        <v>615</v>
      </c>
      <c r="H771" s="43" t="s">
        <v>2806</v>
      </c>
      <c r="I771" s="43" t="s">
        <v>2713</v>
      </c>
      <c r="J771" s="44" t="s">
        <v>539</v>
      </c>
      <c r="K771" s="48" t="s">
        <v>2879</v>
      </c>
      <c r="L771" s="52" t="s">
        <v>673</v>
      </c>
      <c r="M771" s="44">
        <v>0</v>
      </c>
      <c r="N771" s="45">
        <v>43951</v>
      </c>
    </row>
    <row r="772" spans="1:20" ht="15" customHeight="1" x14ac:dyDescent="0.2">
      <c r="A772" s="59" t="s">
        <v>2880</v>
      </c>
      <c r="B772" s="42" t="s">
        <v>1602</v>
      </c>
      <c r="C772" s="42" t="s">
        <v>3122</v>
      </c>
      <c r="D772" s="40">
        <v>43846</v>
      </c>
      <c r="E772" s="41">
        <v>6.6</v>
      </c>
      <c r="F772" s="46">
        <v>6.6</v>
      </c>
      <c r="G772" s="44" t="s">
        <v>615</v>
      </c>
      <c r="H772" s="43" t="s">
        <v>2773</v>
      </c>
      <c r="I772" s="43" t="s">
        <v>2713</v>
      </c>
      <c r="J772" s="44" t="s">
        <v>539</v>
      </c>
      <c r="K772" s="48" t="s">
        <v>2924</v>
      </c>
      <c r="L772" s="52" t="s">
        <v>34</v>
      </c>
      <c r="M772" s="44">
        <v>0</v>
      </c>
      <c r="N772" s="45">
        <v>43982</v>
      </c>
    </row>
    <row r="773" spans="1:20" ht="15" customHeight="1" x14ac:dyDescent="0.2">
      <c r="A773" s="59" t="s">
        <v>2881</v>
      </c>
      <c r="B773" s="42" t="s">
        <v>2882</v>
      </c>
      <c r="C773" s="42" t="s">
        <v>5981</v>
      </c>
      <c r="D773" s="40">
        <v>43848</v>
      </c>
      <c r="E773" s="41">
        <v>550</v>
      </c>
      <c r="F773" s="46">
        <v>480</v>
      </c>
      <c r="G773" s="44" t="s">
        <v>318</v>
      </c>
      <c r="H773" s="43" t="s">
        <v>2715</v>
      </c>
      <c r="I773" s="43" t="s">
        <v>2713</v>
      </c>
      <c r="J773" s="44"/>
      <c r="K773" s="48" t="s">
        <v>3114</v>
      </c>
      <c r="L773" s="52"/>
      <c r="M773" s="44">
        <v>0</v>
      </c>
      <c r="N773" s="45">
        <v>43921</v>
      </c>
    </row>
    <row r="774" spans="1:20" ht="15" customHeight="1" x14ac:dyDescent="0.2">
      <c r="A774" s="59" t="s">
        <v>2884</v>
      </c>
      <c r="B774" s="42" t="s">
        <v>2504</v>
      </c>
      <c r="C774" s="42" t="s">
        <v>2885</v>
      </c>
      <c r="D774" s="40">
        <v>43852</v>
      </c>
      <c r="E774" s="54">
        <v>8</v>
      </c>
      <c r="F774" s="51">
        <v>8</v>
      </c>
      <c r="G774" s="44" t="s">
        <v>615</v>
      </c>
      <c r="H774" s="43" t="s">
        <v>2775</v>
      </c>
      <c r="I774" s="43" t="s">
        <v>2713</v>
      </c>
      <c r="J774" s="44" t="s">
        <v>531</v>
      </c>
      <c r="K774" s="48" t="s">
        <v>2886</v>
      </c>
      <c r="L774" s="52" t="s">
        <v>34</v>
      </c>
      <c r="M774" s="44">
        <v>0</v>
      </c>
      <c r="N774" s="45">
        <v>44074</v>
      </c>
    </row>
    <row r="775" spans="1:20" ht="15" customHeight="1" x14ac:dyDescent="0.2">
      <c r="A775" s="59" t="s">
        <v>2887</v>
      </c>
      <c r="B775" s="42" t="s">
        <v>2504</v>
      </c>
      <c r="C775" s="42" t="s">
        <v>2888</v>
      </c>
      <c r="D775" s="40">
        <v>43852</v>
      </c>
      <c r="E775" s="41">
        <v>6</v>
      </c>
      <c r="F775" s="46">
        <v>6</v>
      </c>
      <c r="G775" s="44" t="s">
        <v>615</v>
      </c>
      <c r="H775" s="43" t="s">
        <v>2773</v>
      </c>
      <c r="I775" s="43" t="s">
        <v>2713</v>
      </c>
      <c r="J775" s="44" t="s">
        <v>539</v>
      </c>
      <c r="K775" s="48" t="s">
        <v>2889</v>
      </c>
      <c r="L775" s="52" t="s">
        <v>34</v>
      </c>
      <c r="M775" s="44">
        <v>0</v>
      </c>
      <c r="N775" s="55" t="s">
        <v>3314</v>
      </c>
    </row>
    <row r="776" spans="1:20" ht="15" customHeight="1" x14ac:dyDescent="0.2">
      <c r="A776" s="59" t="s">
        <v>5874</v>
      </c>
      <c r="B776" s="60" t="s">
        <v>1817</v>
      </c>
      <c r="C776" s="60" t="s">
        <v>2890</v>
      </c>
      <c r="D776" s="40">
        <v>43852</v>
      </c>
      <c r="E776" s="61" t="s">
        <v>5794</v>
      </c>
      <c r="F776" s="62" t="s">
        <v>5794</v>
      </c>
      <c r="G776" s="63" t="s">
        <v>615</v>
      </c>
      <c r="H776" s="64" t="s">
        <v>2716</v>
      </c>
      <c r="I776" s="64" t="s">
        <v>2713</v>
      </c>
      <c r="J776" s="63" t="s">
        <v>532</v>
      </c>
      <c r="K776" s="64" t="s">
        <v>4883</v>
      </c>
      <c r="L776" s="63" t="s">
        <v>87</v>
      </c>
      <c r="M776" s="63" t="s">
        <v>5781</v>
      </c>
      <c r="N776" s="65">
        <v>45443</v>
      </c>
      <c r="O776"/>
      <c r="P776"/>
      <c r="Q776"/>
      <c r="R776"/>
      <c r="S776"/>
      <c r="T776"/>
    </row>
    <row r="777" spans="1:20" ht="15" customHeight="1" x14ac:dyDescent="0.2">
      <c r="A777" s="59" t="s">
        <v>2891</v>
      </c>
      <c r="B777" s="42" t="s">
        <v>1805</v>
      </c>
      <c r="C777" s="42" t="s">
        <v>2892</v>
      </c>
      <c r="D777" s="40">
        <v>43858</v>
      </c>
      <c r="E777" s="54">
        <v>8</v>
      </c>
      <c r="F777" s="51">
        <v>8</v>
      </c>
      <c r="G777" s="44" t="s">
        <v>615</v>
      </c>
      <c r="H777" s="43" t="s">
        <v>2893</v>
      </c>
      <c r="I777" s="43" t="s">
        <v>2713</v>
      </c>
      <c r="J777" s="44" t="s">
        <v>531</v>
      </c>
      <c r="K777" s="48" t="s">
        <v>2894</v>
      </c>
      <c r="L777" s="52" t="s">
        <v>34</v>
      </c>
      <c r="M777" s="44">
        <v>0</v>
      </c>
      <c r="N777" s="45">
        <v>43982</v>
      </c>
    </row>
    <row r="778" spans="1:20" ht="15" customHeight="1" x14ac:dyDescent="0.2">
      <c r="A778" s="59" t="s">
        <v>2895</v>
      </c>
      <c r="B778" s="42" t="s">
        <v>1805</v>
      </c>
      <c r="C778" s="42" t="s">
        <v>2896</v>
      </c>
      <c r="D778" s="40">
        <v>43858</v>
      </c>
      <c r="E778" s="41">
        <v>8</v>
      </c>
      <c r="F778" s="46">
        <v>8</v>
      </c>
      <c r="G778" s="44" t="s">
        <v>615</v>
      </c>
      <c r="H778" s="43" t="s">
        <v>2758</v>
      </c>
      <c r="I778" s="43" t="s">
        <v>2713</v>
      </c>
      <c r="J778" s="44" t="s">
        <v>540</v>
      </c>
      <c r="K778" s="48" t="s">
        <v>3116</v>
      </c>
      <c r="L778" s="52" t="s">
        <v>191</v>
      </c>
      <c r="M778" s="44">
        <v>0</v>
      </c>
      <c r="N778" s="45">
        <v>43982</v>
      </c>
    </row>
    <row r="779" spans="1:20" ht="15" customHeight="1" x14ac:dyDescent="0.2">
      <c r="A779" s="59" t="s">
        <v>2897</v>
      </c>
      <c r="B779" s="42" t="s">
        <v>1805</v>
      </c>
      <c r="C779" s="42" t="s">
        <v>2898</v>
      </c>
      <c r="D779" s="40">
        <v>43858</v>
      </c>
      <c r="E779" s="41">
        <v>6</v>
      </c>
      <c r="F779" s="46">
        <v>6</v>
      </c>
      <c r="G779" s="44" t="s">
        <v>615</v>
      </c>
      <c r="H779" s="43" t="s">
        <v>2640</v>
      </c>
      <c r="I779" s="43" t="s">
        <v>2713</v>
      </c>
      <c r="J779" s="44" t="s">
        <v>540</v>
      </c>
      <c r="K779" s="48" t="s">
        <v>3117</v>
      </c>
      <c r="L779" s="52" t="s">
        <v>191</v>
      </c>
      <c r="M779" s="44">
        <v>0</v>
      </c>
      <c r="N779" s="45">
        <v>43982</v>
      </c>
    </row>
    <row r="780" spans="1:20" ht="15" customHeight="1" x14ac:dyDescent="0.2">
      <c r="A780" s="59" t="s">
        <v>2899</v>
      </c>
      <c r="B780" s="42" t="s">
        <v>1805</v>
      </c>
      <c r="C780" s="42" t="s">
        <v>2900</v>
      </c>
      <c r="D780" s="40">
        <v>43859</v>
      </c>
      <c r="E780" s="41">
        <v>6</v>
      </c>
      <c r="F780" s="46">
        <v>6</v>
      </c>
      <c r="G780" s="44" t="s">
        <v>615</v>
      </c>
      <c r="H780" s="43" t="s">
        <v>2794</v>
      </c>
      <c r="I780" s="43" t="s">
        <v>2713</v>
      </c>
      <c r="J780" s="44" t="s">
        <v>539</v>
      </c>
      <c r="K780" s="48" t="s">
        <v>3118</v>
      </c>
      <c r="L780" s="52" t="s">
        <v>34</v>
      </c>
      <c r="M780" s="44">
        <v>0</v>
      </c>
      <c r="N780" s="45">
        <v>43982</v>
      </c>
    </row>
    <row r="781" spans="1:20" ht="15" customHeight="1" x14ac:dyDescent="0.2">
      <c r="A781" s="59" t="s">
        <v>2902</v>
      </c>
      <c r="B781" s="42" t="s">
        <v>1810</v>
      </c>
      <c r="C781" s="42" t="s">
        <v>2903</v>
      </c>
      <c r="D781" s="40">
        <v>43860</v>
      </c>
      <c r="E781" s="41">
        <v>8</v>
      </c>
      <c r="F781" s="46">
        <v>8</v>
      </c>
      <c r="G781" s="44" t="s">
        <v>615</v>
      </c>
      <c r="H781" s="43" t="s">
        <v>2775</v>
      </c>
      <c r="I781" s="43" t="s">
        <v>2713</v>
      </c>
      <c r="J781" s="44" t="s">
        <v>531</v>
      </c>
      <c r="K781" s="48" t="s">
        <v>3119</v>
      </c>
      <c r="L781" s="52" t="s">
        <v>34</v>
      </c>
      <c r="M781" s="44">
        <v>0</v>
      </c>
      <c r="N781" s="45">
        <v>44043</v>
      </c>
    </row>
    <row r="782" spans="1:20" ht="15" customHeight="1" x14ac:dyDescent="0.2">
      <c r="A782" s="59" t="s">
        <v>2904</v>
      </c>
      <c r="B782" s="42" t="s">
        <v>1810</v>
      </c>
      <c r="C782" s="42" t="s">
        <v>2905</v>
      </c>
      <c r="D782" s="40">
        <v>43860</v>
      </c>
      <c r="E782" s="41">
        <v>6</v>
      </c>
      <c r="F782" s="46">
        <v>6</v>
      </c>
      <c r="G782" s="44" t="s">
        <v>615</v>
      </c>
      <c r="H782" s="43" t="s">
        <v>2773</v>
      </c>
      <c r="I782" s="43" t="s">
        <v>2713</v>
      </c>
      <c r="J782" s="44" t="s">
        <v>318</v>
      </c>
      <c r="K782" s="48" t="s">
        <v>3121</v>
      </c>
      <c r="L782" s="52" t="s">
        <v>34</v>
      </c>
      <c r="M782" s="44">
        <v>0</v>
      </c>
      <c r="N782" s="45">
        <v>44043</v>
      </c>
    </row>
    <row r="783" spans="1:20" ht="15" customHeight="1" x14ac:dyDescent="0.2">
      <c r="A783" s="59" t="s">
        <v>2906</v>
      </c>
      <c r="B783" s="42" t="s">
        <v>1810</v>
      </c>
      <c r="C783" s="42" t="s">
        <v>2907</v>
      </c>
      <c r="D783" s="40">
        <v>43860</v>
      </c>
      <c r="E783" s="41">
        <v>7</v>
      </c>
      <c r="F783" s="46">
        <v>7</v>
      </c>
      <c r="G783" s="44" t="s">
        <v>615</v>
      </c>
      <c r="H783" s="43" t="s">
        <v>2908</v>
      </c>
      <c r="I783" s="43" t="s">
        <v>2713</v>
      </c>
      <c r="J783" s="44" t="s">
        <v>318</v>
      </c>
      <c r="K783" s="48" t="s">
        <v>2909</v>
      </c>
      <c r="L783" s="52" t="s">
        <v>34</v>
      </c>
      <c r="M783" s="44">
        <v>0</v>
      </c>
      <c r="N783" s="45">
        <v>43921</v>
      </c>
    </row>
    <row r="784" spans="1:20" ht="15" customHeight="1" x14ac:dyDescent="0.2">
      <c r="A784" s="59" t="s">
        <v>2910</v>
      </c>
      <c r="B784" s="42" t="s">
        <v>1810</v>
      </c>
      <c r="C784" s="42" t="s">
        <v>2911</v>
      </c>
      <c r="D784" s="40">
        <v>43860</v>
      </c>
      <c r="E784" s="41">
        <v>6</v>
      </c>
      <c r="F784" s="46">
        <v>6</v>
      </c>
      <c r="G784" s="44" t="s">
        <v>615</v>
      </c>
      <c r="H784" s="43" t="s">
        <v>2640</v>
      </c>
      <c r="I784" s="43" t="s">
        <v>2713</v>
      </c>
      <c r="J784" s="44" t="s">
        <v>540</v>
      </c>
      <c r="K784" s="48" t="s">
        <v>3120</v>
      </c>
      <c r="L784" s="52" t="s">
        <v>191</v>
      </c>
      <c r="M784" s="44">
        <v>0</v>
      </c>
      <c r="N784" s="45">
        <v>44043</v>
      </c>
    </row>
    <row r="785" spans="1:20" ht="15" customHeight="1" x14ac:dyDescent="0.2">
      <c r="A785" s="59" t="s">
        <v>2912</v>
      </c>
      <c r="B785" s="42" t="s">
        <v>2913</v>
      </c>
      <c r="C785" s="42" t="s">
        <v>2914</v>
      </c>
      <c r="D785" s="40">
        <v>43861</v>
      </c>
      <c r="E785" s="41">
        <v>6</v>
      </c>
      <c r="F785" s="46">
        <v>6</v>
      </c>
      <c r="G785" s="44" t="s">
        <v>615</v>
      </c>
      <c r="H785" s="43" t="s">
        <v>2640</v>
      </c>
      <c r="I785" s="43" t="s">
        <v>2713</v>
      </c>
      <c r="J785" s="44" t="s">
        <v>540</v>
      </c>
      <c r="K785" s="48" t="s">
        <v>3103</v>
      </c>
      <c r="L785" s="52" t="s">
        <v>191</v>
      </c>
      <c r="M785" s="44">
        <v>0</v>
      </c>
      <c r="N785" s="45">
        <v>44012</v>
      </c>
    </row>
    <row r="786" spans="1:20" ht="15" customHeight="1" x14ac:dyDescent="0.2">
      <c r="A786" s="59" t="s">
        <v>2915</v>
      </c>
      <c r="B786" s="42" t="s">
        <v>2916</v>
      </c>
      <c r="C786" s="42" t="s">
        <v>2896</v>
      </c>
      <c r="D786" s="40">
        <v>43861</v>
      </c>
      <c r="E786" s="41">
        <v>10</v>
      </c>
      <c r="F786" s="46">
        <v>10</v>
      </c>
      <c r="G786" s="44" t="s">
        <v>615</v>
      </c>
      <c r="H786" s="43" t="s">
        <v>2758</v>
      </c>
      <c r="I786" s="43" t="s">
        <v>2713</v>
      </c>
      <c r="J786" s="44" t="s">
        <v>540</v>
      </c>
      <c r="K786" s="48" t="s">
        <v>3431</v>
      </c>
      <c r="L786" s="52" t="s">
        <v>191</v>
      </c>
      <c r="M786" s="44">
        <v>0</v>
      </c>
      <c r="N786" s="45">
        <v>44834</v>
      </c>
    </row>
    <row r="787" spans="1:20" ht="15" customHeight="1" x14ac:dyDescent="0.2">
      <c r="A787" s="59" t="s">
        <v>5875</v>
      </c>
      <c r="B787" s="60" t="s">
        <v>3097</v>
      </c>
      <c r="C787" s="60" t="s">
        <v>3098</v>
      </c>
      <c r="D787" s="40">
        <v>43873</v>
      </c>
      <c r="E787" s="61" t="s">
        <v>5795</v>
      </c>
      <c r="F787" s="62" t="s">
        <v>5795</v>
      </c>
      <c r="G787" s="63" t="s">
        <v>615</v>
      </c>
      <c r="H787" s="64" t="s">
        <v>2716</v>
      </c>
      <c r="I787" s="64" t="s">
        <v>2713</v>
      </c>
      <c r="J787" s="63" t="s">
        <v>532</v>
      </c>
      <c r="K787" s="64" t="s">
        <v>4125</v>
      </c>
      <c r="L787" s="63" t="s">
        <v>87</v>
      </c>
      <c r="M787" s="63" t="s">
        <v>5781</v>
      </c>
      <c r="N787" s="65">
        <v>45443</v>
      </c>
      <c r="O787"/>
      <c r="P787"/>
      <c r="Q787"/>
      <c r="R787"/>
      <c r="S787"/>
      <c r="T787"/>
    </row>
    <row r="788" spans="1:20" ht="15" customHeight="1" x14ac:dyDescent="0.2">
      <c r="A788" s="59" t="s">
        <v>3100</v>
      </c>
      <c r="B788" s="42" t="s">
        <v>2609</v>
      </c>
      <c r="C788" s="42" t="s">
        <v>3101</v>
      </c>
      <c r="D788" s="40">
        <v>43889</v>
      </c>
      <c r="E788" s="41">
        <v>20</v>
      </c>
      <c r="F788" s="46">
        <v>20</v>
      </c>
      <c r="G788" s="44" t="s">
        <v>55</v>
      </c>
      <c r="H788" s="43" t="s">
        <v>2741</v>
      </c>
      <c r="I788" s="43" t="s">
        <v>2713</v>
      </c>
      <c r="J788" s="44" t="s">
        <v>531</v>
      </c>
      <c r="K788" s="48" t="s">
        <v>3102</v>
      </c>
      <c r="L788" s="52" t="s">
        <v>157</v>
      </c>
      <c r="M788" s="44">
        <v>0</v>
      </c>
      <c r="N788" s="45">
        <v>44012</v>
      </c>
    </row>
    <row r="789" spans="1:20" ht="15" customHeight="1" x14ac:dyDescent="0.2">
      <c r="A789" s="59" t="s">
        <v>3105</v>
      </c>
      <c r="B789" s="42" t="s">
        <v>3106</v>
      </c>
      <c r="C789" s="42" t="s">
        <v>3107</v>
      </c>
      <c r="D789" s="40">
        <v>43895</v>
      </c>
      <c r="E789" s="41">
        <v>20</v>
      </c>
      <c r="F789" s="46">
        <v>20</v>
      </c>
      <c r="G789" s="44" t="s">
        <v>615</v>
      </c>
      <c r="H789" s="43" t="s">
        <v>2717</v>
      </c>
      <c r="I789" s="43" t="s">
        <v>2713</v>
      </c>
      <c r="J789" s="44" t="s">
        <v>539</v>
      </c>
      <c r="K789" s="48" t="s">
        <v>3150</v>
      </c>
      <c r="L789" s="52" t="s">
        <v>1162</v>
      </c>
      <c r="M789" s="44">
        <v>0</v>
      </c>
      <c r="N789" s="55" t="s">
        <v>3314</v>
      </c>
    </row>
    <row r="790" spans="1:20" ht="15" customHeight="1" x14ac:dyDescent="0.2">
      <c r="A790" s="59" t="s">
        <v>3108</v>
      </c>
      <c r="B790" s="42" t="s">
        <v>3106</v>
      </c>
      <c r="C790" s="42" t="s">
        <v>3109</v>
      </c>
      <c r="D790" s="40">
        <v>43895</v>
      </c>
      <c r="E790" s="41">
        <v>20</v>
      </c>
      <c r="F790" s="46">
        <v>20</v>
      </c>
      <c r="G790" s="44" t="s">
        <v>615</v>
      </c>
      <c r="H790" s="43" t="s">
        <v>2717</v>
      </c>
      <c r="I790" s="43" t="s">
        <v>2713</v>
      </c>
      <c r="J790" s="44" t="s">
        <v>539</v>
      </c>
      <c r="K790" s="48" t="s">
        <v>3150</v>
      </c>
      <c r="L790" s="52" t="s">
        <v>1162</v>
      </c>
      <c r="M790" s="56">
        <v>0</v>
      </c>
      <c r="N790" s="45">
        <v>44135</v>
      </c>
    </row>
    <row r="791" spans="1:20" ht="15" customHeight="1" x14ac:dyDescent="0.2">
      <c r="A791" s="59" t="s">
        <v>3110</v>
      </c>
      <c r="B791" s="42" t="s">
        <v>3267</v>
      </c>
      <c r="C791" s="42" t="s">
        <v>3111</v>
      </c>
      <c r="D791" s="40">
        <v>43896</v>
      </c>
      <c r="E791" s="41">
        <v>79.7</v>
      </c>
      <c r="F791" s="46">
        <v>79.7</v>
      </c>
      <c r="G791" s="44" t="s">
        <v>615</v>
      </c>
      <c r="H791" s="43" t="s">
        <v>2716</v>
      </c>
      <c r="I791" s="43" t="s">
        <v>2713</v>
      </c>
      <c r="J791" s="44" t="s">
        <v>532</v>
      </c>
      <c r="K791" s="48" t="s">
        <v>3187</v>
      </c>
      <c r="L791" s="52" t="s">
        <v>87</v>
      </c>
      <c r="M791" s="44">
        <v>0</v>
      </c>
      <c r="N791" s="45">
        <v>44104</v>
      </c>
    </row>
    <row r="792" spans="1:20" ht="15" customHeight="1" x14ac:dyDescent="0.2">
      <c r="A792" s="59" t="s">
        <v>3112</v>
      </c>
      <c r="B792" s="42" t="s">
        <v>3113</v>
      </c>
      <c r="C792" s="42" t="s">
        <v>1197</v>
      </c>
      <c r="D792" s="40">
        <v>43910</v>
      </c>
      <c r="E792" s="41">
        <v>1250</v>
      </c>
      <c r="F792" s="46">
        <v>1250</v>
      </c>
      <c r="G792" s="44" t="s">
        <v>253</v>
      </c>
      <c r="H792" s="43" t="s">
        <v>5982</v>
      </c>
      <c r="I792" s="43" t="s">
        <v>2713</v>
      </c>
      <c r="J792" s="44" t="s">
        <v>791</v>
      </c>
      <c r="K792" s="48" t="s">
        <v>3333</v>
      </c>
      <c r="L792" s="52" t="s">
        <v>796</v>
      </c>
      <c r="M792" s="44">
        <v>0</v>
      </c>
      <c r="N792" s="45">
        <v>44804</v>
      </c>
    </row>
    <row r="793" spans="1:20" ht="15" customHeight="1" x14ac:dyDescent="0.2">
      <c r="A793" s="59" t="s">
        <v>3130</v>
      </c>
      <c r="B793" s="42" t="s">
        <v>3106</v>
      </c>
      <c r="C793" s="42" t="s">
        <v>3131</v>
      </c>
      <c r="D793" s="40">
        <v>43924</v>
      </c>
      <c r="E793" s="41">
        <v>20</v>
      </c>
      <c r="F793" s="46">
        <v>20</v>
      </c>
      <c r="G793" s="44" t="s">
        <v>615</v>
      </c>
      <c r="H793" s="43" t="s">
        <v>2717</v>
      </c>
      <c r="I793" s="43" t="s">
        <v>2713</v>
      </c>
      <c r="J793" s="44" t="s">
        <v>539</v>
      </c>
      <c r="K793" s="48" t="s">
        <v>3151</v>
      </c>
      <c r="L793" s="52" t="s">
        <v>1162</v>
      </c>
      <c r="M793" s="56">
        <v>0</v>
      </c>
      <c r="N793" s="45">
        <v>44135</v>
      </c>
    </row>
    <row r="794" spans="1:20" ht="15" customHeight="1" x14ac:dyDescent="0.2">
      <c r="A794" s="59" t="s">
        <v>5876</v>
      </c>
      <c r="B794" s="60" t="s">
        <v>3134</v>
      </c>
      <c r="C794" s="60" t="s">
        <v>3135</v>
      </c>
      <c r="D794" s="40">
        <v>43934</v>
      </c>
      <c r="E794" s="61" t="s">
        <v>5812</v>
      </c>
      <c r="F794" s="62" t="s">
        <v>5812</v>
      </c>
      <c r="G794" s="63" t="s">
        <v>3505</v>
      </c>
      <c r="H794" s="64" t="s">
        <v>2718</v>
      </c>
      <c r="I794" s="64" t="s">
        <v>2713</v>
      </c>
      <c r="J794" s="63" t="s">
        <v>530</v>
      </c>
      <c r="K794" s="64" t="s">
        <v>4127</v>
      </c>
      <c r="L794" s="63" t="s">
        <v>34</v>
      </c>
      <c r="M794" s="63" t="s">
        <v>5781</v>
      </c>
      <c r="N794" s="65">
        <v>45443</v>
      </c>
      <c r="O794"/>
      <c r="P794"/>
      <c r="Q794"/>
      <c r="R794"/>
      <c r="S794"/>
      <c r="T794"/>
    </row>
    <row r="795" spans="1:20" ht="15" customHeight="1" x14ac:dyDescent="0.2">
      <c r="A795" s="59" t="s">
        <v>3136</v>
      </c>
      <c r="B795" s="42" t="s">
        <v>1273</v>
      </c>
      <c r="C795" s="42" t="s">
        <v>3137</v>
      </c>
      <c r="D795" s="40">
        <v>43938</v>
      </c>
      <c r="E795" s="41">
        <v>51.5</v>
      </c>
      <c r="F795" s="46">
        <v>51.5</v>
      </c>
      <c r="G795" s="44" t="s">
        <v>615</v>
      </c>
      <c r="H795" s="43" t="s">
        <v>2716</v>
      </c>
      <c r="I795" s="43" t="s">
        <v>2713</v>
      </c>
      <c r="J795" s="44" t="s">
        <v>532</v>
      </c>
      <c r="K795" s="48" t="s">
        <v>3138</v>
      </c>
      <c r="L795" s="52" t="s">
        <v>87</v>
      </c>
      <c r="M795" s="44">
        <v>0</v>
      </c>
      <c r="N795" s="45">
        <v>44104</v>
      </c>
    </row>
    <row r="796" spans="1:20" ht="15" customHeight="1" x14ac:dyDescent="0.2">
      <c r="A796" s="59" t="s">
        <v>3139</v>
      </c>
      <c r="B796" s="42" t="s">
        <v>1062</v>
      </c>
      <c r="C796" s="42" t="s">
        <v>3140</v>
      </c>
      <c r="D796" s="40">
        <v>43941</v>
      </c>
      <c r="E796" s="41">
        <v>79.900000000000006</v>
      </c>
      <c r="F796" s="46">
        <v>79.900000000000006</v>
      </c>
      <c r="G796" s="44" t="s">
        <v>615</v>
      </c>
      <c r="H796" s="43" t="s">
        <v>2715</v>
      </c>
      <c r="I796" s="43" t="s">
        <v>2713</v>
      </c>
      <c r="J796" s="44" t="s">
        <v>533</v>
      </c>
      <c r="K796" s="48" t="s">
        <v>3152</v>
      </c>
      <c r="L796" s="52" t="s">
        <v>403</v>
      </c>
      <c r="M796" s="44">
        <v>0</v>
      </c>
      <c r="N796" s="45">
        <v>44196</v>
      </c>
    </row>
    <row r="797" spans="1:20" ht="15" customHeight="1" x14ac:dyDescent="0.2">
      <c r="A797" s="59" t="s">
        <v>5877</v>
      </c>
      <c r="B797" s="60" t="s">
        <v>3142</v>
      </c>
      <c r="C797" s="60" t="s">
        <v>3143</v>
      </c>
      <c r="D797" s="40">
        <v>43949</v>
      </c>
      <c r="E797" s="61" t="s">
        <v>5800</v>
      </c>
      <c r="F797" s="62" t="s">
        <v>5800</v>
      </c>
      <c r="G797" s="63" t="s">
        <v>615</v>
      </c>
      <c r="H797" s="64" t="s">
        <v>2716</v>
      </c>
      <c r="I797" s="64" t="s">
        <v>2713</v>
      </c>
      <c r="J797" s="63" t="s">
        <v>532</v>
      </c>
      <c r="K797" s="64" t="s">
        <v>3621</v>
      </c>
      <c r="L797" s="63" t="s">
        <v>87</v>
      </c>
      <c r="M797" s="63" t="s">
        <v>5781</v>
      </c>
      <c r="N797" s="65">
        <v>45443</v>
      </c>
      <c r="O797"/>
      <c r="P797"/>
      <c r="Q797"/>
      <c r="R797"/>
      <c r="S797"/>
      <c r="T797"/>
    </row>
    <row r="798" spans="1:20" ht="15" customHeight="1" x14ac:dyDescent="0.2">
      <c r="A798" s="59" t="s">
        <v>5878</v>
      </c>
      <c r="B798" s="60" t="s">
        <v>3874</v>
      </c>
      <c r="C798" s="60" t="s">
        <v>3146</v>
      </c>
      <c r="D798" s="40">
        <v>43951</v>
      </c>
      <c r="E798" s="61" t="s">
        <v>5263</v>
      </c>
      <c r="F798" s="62" t="s">
        <v>5263</v>
      </c>
      <c r="G798" s="63" t="s">
        <v>124</v>
      </c>
      <c r="H798" s="64" t="s">
        <v>2746</v>
      </c>
      <c r="I798" s="64" t="s">
        <v>2713</v>
      </c>
      <c r="J798" s="63" t="s">
        <v>532</v>
      </c>
      <c r="K798" s="64" t="s">
        <v>4886</v>
      </c>
      <c r="L798" s="63" t="s">
        <v>41</v>
      </c>
      <c r="M798" s="63" t="s">
        <v>5781</v>
      </c>
      <c r="N798" s="65">
        <v>45443</v>
      </c>
      <c r="O798"/>
      <c r="P798"/>
      <c r="Q798"/>
      <c r="R798"/>
      <c r="S798"/>
      <c r="T798"/>
    </row>
    <row r="799" spans="1:20" ht="15" customHeight="1" x14ac:dyDescent="0.2">
      <c r="A799" s="59" t="s">
        <v>5879</v>
      </c>
      <c r="B799" s="60" t="s">
        <v>3874</v>
      </c>
      <c r="C799" s="60" t="s">
        <v>3147</v>
      </c>
      <c r="D799" s="40">
        <v>43951</v>
      </c>
      <c r="E799" s="61" t="s">
        <v>5263</v>
      </c>
      <c r="F799" s="62" t="s">
        <v>5263</v>
      </c>
      <c r="G799" s="63" t="s">
        <v>124</v>
      </c>
      <c r="H799" s="64" t="s">
        <v>2716</v>
      </c>
      <c r="I799" s="64" t="s">
        <v>2713</v>
      </c>
      <c r="J799" s="63" t="s">
        <v>532</v>
      </c>
      <c r="K799" s="64" t="s">
        <v>538</v>
      </c>
      <c r="L799" s="63" t="s">
        <v>87</v>
      </c>
      <c r="M799" s="63" t="s">
        <v>5781</v>
      </c>
      <c r="N799" s="65">
        <v>45443</v>
      </c>
      <c r="O799"/>
      <c r="P799"/>
      <c r="Q799"/>
      <c r="R799"/>
      <c r="S799"/>
      <c r="T799"/>
    </row>
    <row r="800" spans="1:20" customFormat="1" ht="14.45" customHeight="1" x14ac:dyDescent="0.2">
      <c r="A800" s="59" t="s">
        <v>5264</v>
      </c>
      <c r="B800" s="60" t="s">
        <v>3168</v>
      </c>
      <c r="C800" s="60" t="s">
        <v>3169</v>
      </c>
      <c r="D800" s="40">
        <v>43955</v>
      </c>
      <c r="E800" s="61">
        <v>76.8</v>
      </c>
      <c r="F800" s="62">
        <v>76.8</v>
      </c>
      <c r="G800" s="63" t="s">
        <v>615</v>
      </c>
      <c r="H800" s="64" t="s">
        <v>2716</v>
      </c>
      <c r="I800" s="64" t="s">
        <v>2713</v>
      </c>
      <c r="J800" s="63" t="s">
        <v>532</v>
      </c>
      <c r="K800" s="64" t="s">
        <v>4887</v>
      </c>
      <c r="L800" s="63" t="s">
        <v>87</v>
      </c>
      <c r="M800" s="63" t="s">
        <v>5781</v>
      </c>
      <c r="N800" s="65">
        <v>45688</v>
      </c>
    </row>
    <row r="801" spans="1:21" ht="15" customHeight="1" x14ac:dyDescent="0.2">
      <c r="A801" s="59" t="s">
        <v>3166</v>
      </c>
      <c r="B801" s="60" t="s">
        <v>1600</v>
      </c>
      <c r="C801" s="60" t="s">
        <v>3170</v>
      </c>
      <c r="D801" s="40" t="s">
        <v>4128</v>
      </c>
      <c r="E801" s="61">
        <v>168</v>
      </c>
      <c r="F801" s="62">
        <v>168</v>
      </c>
      <c r="G801" s="63" t="s">
        <v>256</v>
      </c>
      <c r="H801" s="64" t="s">
        <v>2717</v>
      </c>
      <c r="I801" s="64" t="s">
        <v>2713</v>
      </c>
      <c r="J801" s="63" t="s">
        <v>539</v>
      </c>
      <c r="K801" s="64" t="s">
        <v>3673</v>
      </c>
      <c r="L801" s="63" t="s">
        <v>1162</v>
      </c>
      <c r="M801" s="63">
        <v>0</v>
      </c>
      <c r="N801" s="65">
        <v>45046</v>
      </c>
      <c r="O801"/>
      <c r="P801"/>
      <c r="Q801"/>
      <c r="R801"/>
      <c r="S801"/>
      <c r="T801"/>
    </row>
    <row r="802" spans="1:21" ht="15" customHeight="1" x14ac:dyDescent="0.2">
      <c r="A802" s="59" t="s">
        <v>3167</v>
      </c>
      <c r="B802" s="42" t="s">
        <v>3171</v>
      </c>
      <c r="C802" s="42" t="s">
        <v>3172</v>
      </c>
      <c r="D802" s="40">
        <v>43956</v>
      </c>
      <c r="E802" s="41">
        <v>20</v>
      </c>
      <c r="F802" s="46">
        <v>20</v>
      </c>
      <c r="G802" s="44" t="s">
        <v>615</v>
      </c>
      <c r="H802" s="43" t="s">
        <v>2728</v>
      </c>
      <c r="I802" s="43" t="s">
        <v>2713</v>
      </c>
      <c r="J802" s="44" t="s">
        <v>531</v>
      </c>
      <c r="K802" s="48" t="s">
        <v>3173</v>
      </c>
      <c r="L802" s="52" t="s">
        <v>157</v>
      </c>
      <c r="M802" s="56">
        <v>0</v>
      </c>
      <c r="N802" s="55" t="s">
        <v>3562</v>
      </c>
    </row>
    <row r="803" spans="1:21" ht="15" customHeight="1" x14ac:dyDescent="0.2">
      <c r="A803" s="59" t="s">
        <v>5266</v>
      </c>
      <c r="B803" s="60" t="s">
        <v>3460</v>
      </c>
      <c r="C803" s="60" t="s">
        <v>3175</v>
      </c>
      <c r="D803" s="40">
        <v>43970</v>
      </c>
      <c r="E803" s="61">
        <v>1300</v>
      </c>
      <c r="F803" s="62">
        <v>1300</v>
      </c>
      <c r="G803" s="63" t="s">
        <v>124</v>
      </c>
      <c r="H803" s="64" t="s">
        <v>2719</v>
      </c>
      <c r="I803" s="64" t="s">
        <v>2713</v>
      </c>
      <c r="J803" s="63" t="s">
        <v>533</v>
      </c>
      <c r="K803" s="64" t="s">
        <v>4805</v>
      </c>
      <c r="L803" s="63" t="s">
        <v>403</v>
      </c>
      <c r="M803" s="63">
        <v>0</v>
      </c>
      <c r="N803" s="65">
        <v>45565</v>
      </c>
      <c r="O803"/>
      <c r="P803"/>
      <c r="Q803"/>
      <c r="R803"/>
      <c r="S803"/>
      <c r="T803"/>
      <c r="U803"/>
    </row>
    <row r="804" spans="1:21" ht="15" customHeight="1" x14ac:dyDescent="0.2">
      <c r="A804" s="59" t="s">
        <v>5267</v>
      </c>
      <c r="B804" s="60" t="s">
        <v>3460</v>
      </c>
      <c r="C804" s="60" t="s">
        <v>3176</v>
      </c>
      <c r="D804" s="40">
        <v>43970</v>
      </c>
      <c r="E804" s="61">
        <v>1300</v>
      </c>
      <c r="F804" s="62">
        <v>1300</v>
      </c>
      <c r="G804" s="63" t="s">
        <v>124</v>
      </c>
      <c r="H804" s="64" t="s">
        <v>2719</v>
      </c>
      <c r="I804" s="64" t="s">
        <v>2713</v>
      </c>
      <c r="J804" s="63" t="s">
        <v>533</v>
      </c>
      <c r="K804" s="64" t="s">
        <v>4805</v>
      </c>
      <c r="L804" s="63" t="s">
        <v>403</v>
      </c>
      <c r="M804" s="63">
        <v>0</v>
      </c>
      <c r="N804" s="65">
        <v>45565</v>
      </c>
      <c r="O804"/>
      <c r="P804"/>
      <c r="Q804"/>
      <c r="R804"/>
      <c r="S804"/>
      <c r="T804"/>
      <c r="U804"/>
    </row>
    <row r="805" spans="1:21" ht="15" customHeight="1" x14ac:dyDescent="0.2">
      <c r="A805" s="59" t="s">
        <v>5268</v>
      </c>
      <c r="B805" s="60" t="s">
        <v>3665</v>
      </c>
      <c r="C805" s="60" t="s">
        <v>3178</v>
      </c>
      <c r="D805" s="40">
        <v>43972</v>
      </c>
      <c r="E805" s="61" t="s">
        <v>5782</v>
      </c>
      <c r="F805" s="62" t="s">
        <v>5782</v>
      </c>
      <c r="G805" s="63" t="s">
        <v>3505</v>
      </c>
      <c r="H805" s="64" t="s">
        <v>2769</v>
      </c>
      <c r="I805" s="64" t="s">
        <v>2713</v>
      </c>
      <c r="J805" s="63" t="s">
        <v>471</v>
      </c>
      <c r="K805" s="64" t="s">
        <v>4888</v>
      </c>
      <c r="L805" s="63" t="s">
        <v>4131</v>
      </c>
      <c r="M805" s="63" t="s">
        <v>5781</v>
      </c>
      <c r="N805" s="65">
        <v>45412</v>
      </c>
      <c r="O805"/>
      <c r="P805"/>
      <c r="Q805"/>
      <c r="R805"/>
      <c r="S805"/>
      <c r="T805"/>
    </row>
    <row r="806" spans="1:21" ht="15" customHeight="1" x14ac:dyDescent="0.2">
      <c r="A806" s="59" t="s">
        <v>5080</v>
      </c>
      <c r="B806" s="60" t="s">
        <v>3665</v>
      </c>
      <c r="C806" s="60" t="s">
        <v>3179</v>
      </c>
      <c r="D806" s="40">
        <v>43972</v>
      </c>
      <c r="E806" s="61">
        <v>20</v>
      </c>
      <c r="F806" s="62">
        <v>20</v>
      </c>
      <c r="G806" s="63" t="s">
        <v>3505</v>
      </c>
      <c r="H806" s="64" t="s">
        <v>2736</v>
      </c>
      <c r="I806" s="64" t="s">
        <v>2713</v>
      </c>
      <c r="J806" s="63" t="s">
        <v>471</v>
      </c>
      <c r="K806" s="64" t="s">
        <v>4889</v>
      </c>
      <c r="L806" s="63" t="s">
        <v>157</v>
      </c>
      <c r="M806" s="63">
        <v>0</v>
      </c>
      <c r="N806" s="65">
        <v>45230</v>
      </c>
      <c r="O806"/>
      <c r="P806"/>
      <c r="Q806"/>
      <c r="R806"/>
      <c r="S806"/>
      <c r="T806"/>
    </row>
    <row r="807" spans="1:21" ht="15" customHeight="1" x14ac:dyDescent="0.2">
      <c r="A807" s="59" t="s">
        <v>5880</v>
      </c>
      <c r="B807" s="60" t="s">
        <v>3460</v>
      </c>
      <c r="C807" s="60" t="s">
        <v>3180</v>
      </c>
      <c r="D807" s="40">
        <v>43972</v>
      </c>
      <c r="E807" s="61" t="s">
        <v>3789</v>
      </c>
      <c r="F807" s="62" t="s">
        <v>3789</v>
      </c>
      <c r="G807" s="63" t="s">
        <v>124</v>
      </c>
      <c r="H807" s="64" t="s">
        <v>2716</v>
      </c>
      <c r="I807" s="64" t="s">
        <v>2713</v>
      </c>
      <c r="J807" s="63" t="s">
        <v>532</v>
      </c>
      <c r="K807" s="64" t="s">
        <v>3181</v>
      </c>
      <c r="L807" s="63" t="s">
        <v>87</v>
      </c>
      <c r="M807" s="63" t="s">
        <v>5781</v>
      </c>
      <c r="N807" s="65">
        <v>45443</v>
      </c>
      <c r="O807"/>
      <c r="P807"/>
      <c r="Q807"/>
      <c r="R807"/>
      <c r="S807"/>
      <c r="T807"/>
    </row>
    <row r="808" spans="1:21" ht="15" customHeight="1" x14ac:dyDescent="0.2">
      <c r="A808" s="59" t="s">
        <v>5881</v>
      </c>
      <c r="B808" s="60" t="s">
        <v>3460</v>
      </c>
      <c r="C808" s="60" t="s">
        <v>3182</v>
      </c>
      <c r="D808" s="40">
        <v>43978</v>
      </c>
      <c r="E808" s="61" t="s">
        <v>3789</v>
      </c>
      <c r="F808" s="62" t="s">
        <v>3789</v>
      </c>
      <c r="G808" s="63" t="s">
        <v>124</v>
      </c>
      <c r="H808" s="64" t="s">
        <v>2716</v>
      </c>
      <c r="I808" s="64" t="s">
        <v>2713</v>
      </c>
      <c r="J808" s="63" t="s">
        <v>532</v>
      </c>
      <c r="K808" s="64" t="s">
        <v>3183</v>
      </c>
      <c r="L808" s="63" t="s">
        <v>87</v>
      </c>
      <c r="M808" s="63" t="s">
        <v>5781</v>
      </c>
      <c r="N808" s="65">
        <v>45443</v>
      </c>
      <c r="O808"/>
      <c r="P808"/>
      <c r="Q808"/>
      <c r="R808"/>
      <c r="S808"/>
      <c r="T808"/>
    </row>
    <row r="809" spans="1:21" ht="15" customHeight="1" x14ac:dyDescent="0.2">
      <c r="A809" s="59" t="s">
        <v>5882</v>
      </c>
      <c r="B809" s="60" t="s">
        <v>3460</v>
      </c>
      <c r="C809" s="60" t="s">
        <v>3184</v>
      </c>
      <c r="D809" s="40">
        <v>43978</v>
      </c>
      <c r="E809" s="61" t="s">
        <v>3789</v>
      </c>
      <c r="F809" s="62" t="s">
        <v>3789</v>
      </c>
      <c r="G809" s="63" t="s">
        <v>124</v>
      </c>
      <c r="H809" s="64" t="s">
        <v>2746</v>
      </c>
      <c r="I809" s="64" t="s">
        <v>2713</v>
      </c>
      <c r="J809" s="63" t="s">
        <v>532</v>
      </c>
      <c r="K809" s="64" t="s">
        <v>3185</v>
      </c>
      <c r="L809" s="63" t="s">
        <v>87</v>
      </c>
      <c r="M809" s="63" t="s">
        <v>5781</v>
      </c>
      <c r="N809" s="65">
        <v>45443</v>
      </c>
      <c r="O809"/>
      <c r="P809"/>
      <c r="Q809"/>
      <c r="R809"/>
      <c r="S809"/>
      <c r="T809"/>
      <c r="U809"/>
    </row>
    <row r="810" spans="1:21" ht="15" customHeight="1" x14ac:dyDescent="0.2">
      <c r="A810" s="59" t="s">
        <v>5883</v>
      </c>
      <c r="B810" s="60" t="s">
        <v>3195</v>
      </c>
      <c r="C810" s="60" t="s">
        <v>3194</v>
      </c>
      <c r="D810" s="40">
        <v>43984</v>
      </c>
      <c r="E810" s="61" t="s">
        <v>5794</v>
      </c>
      <c r="F810" s="62" t="s">
        <v>5794</v>
      </c>
      <c r="G810" s="63" t="s">
        <v>615</v>
      </c>
      <c r="H810" s="64" t="s">
        <v>2716</v>
      </c>
      <c r="I810" s="64" t="s">
        <v>2713</v>
      </c>
      <c r="J810" s="63" t="s">
        <v>532</v>
      </c>
      <c r="K810" s="64" t="s">
        <v>3674</v>
      </c>
      <c r="L810" s="63" t="s">
        <v>87</v>
      </c>
      <c r="M810" s="63" t="s">
        <v>5781</v>
      </c>
      <c r="N810" s="65">
        <v>45443</v>
      </c>
      <c r="O810"/>
      <c r="P810"/>
      <c r="Q810"/>
      <c r="R810"/>
      <c r="S810"/>
      <c r="T810"/>
    </row>
    <row r="811" spans="1:21" ht="15" customHeight="1" x14ac:dyDescent="0.2">
      <c r="A811" s="59" t="s">
        <v>3189</v>
      </c>
      <c r="B811" s="42" t="s">
        <v>3134</v>
      </c>
      <c r="C811" s="42" t="s">
        <v>3196</v>
      </c>
      <c r="D811" s="40">
        <v>43985</v>
      </c>
      <c r="E811" s="41">
        <v>300</v>
      </c>
      <c r="F811" s="46">
        <v>300</v>
      </c>
      <c r="G811" s="44" t="s">
        <v>611</v>
      </c>
      <c r="H811" s="43" t="s">
        <v>2811</v>
      </c>
      <c r="I811" s="43" t="s">
        <v>2713</v>
      </c>
      <c r="J811" s="44" t="s">
        <v>318</v>
      </c>
      <c r="K811" s="48" t="s">
        <v>3222</v>
      </c>
      <c r="L811" s="52" t="s">
        <v>403</v>
      </c>
      <c r="M811" s="56">
        <v>0</v>
      </c>
      <c r="N811" s="45">
        <v>44286</v>
      </c>
    </row>
    <row r="812" spans="1:21" ht="15" customHeight="1" x14ac:dyDescent="0.2">
      <c r="A812" s="59" t="s">
        <v>3190</v>
      </c>
      <c r="B812" s="42" t="s">
        <v>3134</v>
      </c>
      <c r="C812" s="42" t="s">
        <v>3197</v>
      </c>
      <c r="D812" s="40">
        <v>43985</v>
      </c>
      <c r="E812" s="41">
        <v>300</v>
      </c>
      <c r="F812" s="46">
        <v>300</v>
      </c>
      <c r="G812" s="44" t="s">
        <v>611</v>
      </c>
      <c r="H812" s="43" t="s">
        <v>2811</v>
      </c>
      <c r="I812" s="43" t="s">
        <v>2713</v>
      </c>
      <c r="J812" s="44" t="s">
        <v>1596</v>
      </c>
      <c r="K812" s="48" t="s">
        <v>3432</v>
      </c>
      <c r="L812" s="52" t="s">
        <v>403</v>
      </c>
      <c r="M812" s="56">
        <v>0</v>
      </c>
      <c r="N812" s="45">
        <v>44286</v>
      </c>
    </row>
    <row r="813" spans="1:21" ht="15" customHeight="1" x14ac:dyDescent="0.2">
      <c r="A813" s="59" t="s">
        <v>3191</v>
      </c>
      <c r="B813" s="42" t="s">
        <v>3132</v>
      </c>
      <c r="C813" s="42" t="s">
        <v>3207</v>
      </c>
      <c r="D813" s="40">
        <v>43987</v>
      </c>
      <c r="E813" s="41">
        <v>20</v>
      </c>
      <c r="F813" s="46">
        <v>20</v>
      </c>
      <c r="G813" s="44" t="s">
        <v>55</v>
      </c>
      <c r="H813" s="43" t="s">
        <v>2732</v>
      </c>
      <c r="I813" s="43" t="s">
        <v>2713</v>
      </c>
      <c r="J813" s="44" t="s">
        <v>393</v>
      </c>
      <c r="K813" s="48" t="s">
        <v>3227</v>
      </c>
      <c r="L813" s="52" t="s">
        <v>34</v>
      </c>
      <c r="M813" s="44">
        <v>0</v>
      </c>
      <c r="N813" s="45">
        <v>44104</v>
      </c>
    </row>
    <row r="814" spans="1:21" ht="15" customHeight="1" x14ac:dyDescent="0.2">
      <c r="A814" s="59" t="s">
        <v>5884</v>
      </c>
      <c r="B814" s="60" t="s">
        <v>3665</v>
      </c>
      <c r="C814" s="60" t="s">
        <v>3198</v>
      </c>
      <c r="D814" s="40">
        <v>43990</v>
      </c>
      <c r="E814" s="61" t="s">
        <v>5782</v>
      </c>
      <c r="F814" s="62" t="s">
        <v>5782</v>
      </c>
      <c r="G814" s="63" t="s">
        <v>3505</v>
      </c>
      <c r="H814" s="64" t="s">
        <v>2796</v>
      </c>
      <c r="I814" s="64" t="s">
        <v>2713</v>
      </c>
      <c r="J814" s="63" t="s">
        <v>471</v>
      </c>
      <c r="K814" s="64" t="s">
        <v>5010</v>
      </c>
      <c r="L814" s="63" t="s">
        <v>157</v>
      </c>
      <c r="M814" s="63" t="s">
        <v>5781</v>
      </c>
      <c r="N814" s="65">
        <v>45443</v>
      </c>
      <c r="O814"/>
      <c r="P814"/>
      <c r="Q814"/>
      <c r="R814"/>
      <c r="S814"/>
      <c r="T814"/>
    </row>
    <row r="815" spans="1:21" ht="15" customHeight="1" x14ac:dyDescent="0.2">
      <c r="A815" s="59" t="s">
        <v>3192</v>
      </c>
      <c r="B815" s="42" t="s">
        <v>3208</v>
      </c>
      <c r="C815" s="42" t="s">
        <v>3199</v>
      </c>
      <c r="D815" s="40">
        <v>43991</v>
      </c>
      <c r="E815" s="41">
        <v>20</v>
      </c>
      <c r="F815" s="46">
        <v>20</v>
      </c>
      <c r="G815" s="44" t="s">
        <v>615</v>
      </c>
      <c r="H815" s="43" t="s">
        <v>3221</v>
      </c>
      <c r="I815" s="43" t="s">
        <v>2713</v>
      </c>
      <c r="J815" s="44" t="s">
        <v>530</v>
      </c>
      <c r="K815" s="48" t="s">
        <v>3868</v>
      </c>
      <c r="L815" s="52" t="s">
        <v>157</v>
      </c>
      <c r="M815" s="56">
        <v>0</v>
      </c>
      <c r="N815" s="45">
        <v>44742</v>
      </c>
    </row>
    <row r="816" spans="1:21" ht="15" customHeight="1" x14ac:dyDescent="0.2">
      <c r="A816" s="59" t="s">
        <v>5885</v>
      </c>
      <c r="B816" s="60" t="s">
        <v>3665</v>
      </c>
      <c r="C816" s="60" t="s">
        <v>3200</v>
      </c>
      <c r="D816" s="40">
        <v>43993</v>
      </c>
      <c r="E816" s="61" t="s">
        <v>5782</v>
      </c>
      <c r="F816" s="62" t="s">
        <v>5782</v>
      </c>
      <c r="G816" s="63" t="s">
        <v>3505</v>
      </c>
      <c r="H816" s="64" t="s">
        <v>2796</v>
      </c>
      <c r="I816" s="64" t="s">
        <v>2713</v>
      </c>
      <c r="J816" s="63" t="s">
        <v>471</v>
      </c>
      <c r="K816" s="64" t="s">
        <v>4517</v>
      </c>
      <c r="L816" s="63" t="s">
        <v>157</v>
      </c>
      <c r="M816" s="63" t="s">
        <v>5781</v>
      </c>
      <c r="N816" s="65">
        <v>45443</v>
      </c>
      <c r="O816"/>
      <c r="P816"/>
      <c r="Q816"/>
      <c r="R816"/>
      <c r="S816"/>
      <c r="T816"/>
    </row>
    <row r="817" spans="1:21" ht="15" customHeight="1" x14ac:dyDescent="0.2">
      <c r="A817" s="59" t="s">
        <v>3193</v>
      </c>
      <c r="B817" s="60" t="s">
        <v>3209</v>
      </c>
      <c r="C817" s="60" t="s">
        <v>3201</v>
      </c>
      <c r="D817" s="40">
        <v>43997</v>
      </c>
      <c r="E817" s="61">
        <v>20</v>
      </c>
      <c r="F817" s="62">
        <v>20</v>
      </c>
      <c r="G817" s="63" t="s">
        <v>55</v>
      </c>
      <c r="H817" s="64" t="s">
        <v>2699</v>
      </c>
      <c r="I817" s="64" t="s">
        <v>2713</v>
      </c>
      <c r="J817" s="63" t="s">
        <v>471</v>
      </c>
      <c r="K817" s="64" t="s">
        <v>1389</v>
      </c>
      <c r="L817" s="63" t="s">
        <v>157</v>
      </c>
      <c r="M817" s="63">
        <v>0</v>
      </c>
      <c r="N817" s="65">
        <v>45107</v>
      </c>
      <c r="O817"/>
      <c r="P817"/>
      <c r="Q817"/>
      <c r="R817"/>
      <c r="S817"/>
      <c r="T817"/>
    </row>
    <row r="818" spans="1:21" ht="15" customHeight="1" x14ac:dyDescent="0.2">
      <c r="A818" s="59" t="s">
        <v>3204</v>
      </c>
      <c r="B818" s="42" t="s">
        <v>3106</v>
      </c>
      <c r="C818" s="42" t="s">
        <v>3212</v>
      </c>
      <c r="D818" s="40">
        <v>44001</v>
      </c>
      <c r="E818" s="41">
        <v>20</v>
      </c>
      <c r="F818" s="46">
        <v>20</v>
      </c>
      <c r="G818" s="44" t="s">
        <v>615</v>
      </c>
      <c r="H818" s="43" t="s">
        <v>2717</v>
      </c>
      <c r="I818" s="43" t="s">
        <v>2713</v>
      </c>
      <c r="J818" s="44" t="s">
        <v>539</v>
      </c>
      <c r="K818" s="48" t="s">
        <v>3224</v>
      </c>
      <c r="L818" s="52" t="s">
        <v>1162</v>
      </c>
      <c r="M818" s="56">
        <v>0</v>
      </c>
      <c r="N818" s="45">
        <v>44135</v>
      </c>
    </row>
    <row r="819" spans="1:21" ht="15" customHeight="1" x14ac:dyDescent="0.2">
      <c r="A819" s="59" t="s">
        <v>3205</v>
      </c>
      <c r="B819" s="42" t="s">
        <v>3106</v>
      </c>
      <c r="C819" s="42" t="s">
        <v>3213</v>
      </c>
      <c r="D819" s="40">
        <v>44001</v>
      </c>
      <c r="E819" s="41">
        <v>20</v>
      </c>
      <c r="F819" s="46">
        <v>20</v>
      </c>
      <c r="G819" s="44" t="s">
        <v>615</v>
      </c>
      <c r="H819" s="43" t="s">
        <v>2806</v>
      </c>
      <c r="I819" s="43" t="s">
        <v>2713</v>
      </c>
      <c r="J819" s="44" t="s">
        <v>539</v>
      </c>
      <c r="K819" s="48" t="s">
        <v>3225</v>
      </c>
      <c r="L819" s="52" t="s">
        <v>1162</v>
      </c>
      <c r="M819" s="56">
        <v>0</v>
      </c>
      <c r="N819" s="45">
        <v>44135</v>
      </c>
    </row>
    <row r="820" spans="1:21" ht="15" customHeight="1" x14ac:dyDescent="0.2">
      <c r="A820" s="59" t="s">
        <v>3206</v>
      </c>
      <c r="B820" s="42" t="s">
        <v>3106</v>
      </c>
      <c r="C820" s="42" t="s">
        <v>3214</v>
      </c>
      <c r="D820" s="40">
        <v>44001</v>
      </c>
      <c r="E820" s="41">
        <v>20</v>
      </c>
      <c r="F820" s="46">
        <v>20</v>
      </c>
      <c r="G820" s="44" t="s">
        <v>615</v>
      </c>
      <c r="H820" s="43" t="s">
        <v>2717</v>
      </c>
      <c r="I820" s="43" t="s">
        <v>2713</v>
      </c>
      <c r="J820" s="44" t="s">
        <v>539</v>
      </c>
      <c r="K820" s="48" t="s">
        <v>3226</v>
      </c>
      <c r="L820" s="52" t="s">
        <v>673</v>
      </c>
      <c r="M820" s="44">
        <v>0</v>
      </c>
      <c r="N820" s="45">
        <v>44074</v>
      </c>
    </row>
    <row r="821" spans="1:21" ht="15" customHeight="1" x14ac:dyDescent="0.2">
      <c r="A821" s="59" t="s">
        <v>5270</v>
      </c>
      <c r="B821" s="60" t="s">
        <v>4992</v>
      </c>
      <c r="C821" s="60" t="s">
        <v>3215</v>
      </c>
      <c r="D821" s="40">
        <v>44004</v>
      </c>
      <c r="E821" s="61">
        <v>20</v>
      </c>
      <c r="F821" s="62">
        <v>20</v>
      </c>
      <c r="G821" s="63" t="s">
        <v>55</v>
      </c>
      <c r="H821" s="64" t="s">
        <v>2808</v>
      </c>
      <c r="I821" s="64" t="s">
        <v>2713</v>
      </c>
      <c r="J821" s="63" t="s">
        <v>471</v>
      </c>
      <c r="K821" s="64" t="s">
        <v>4518</v>
      </c>
      <c r="L821" s="63" t="s">
        <v>157</v>
      </c>
      <c r="M821" s="63" t="s">
        <v>5781</v>
      </c>
      <c r="N821" s="65">
        <v>45322</v>
      </c>
      <c r="O821"/>
      <c r="P821"/>
      <c r="Q821"/>
      <c r="R821"/>
      <c r="S821"/>
      <c r="T821"/>
      <c r="U821"/>
    </row>
    <row r="822" spans="1:21" customFormat="1" ht="14.45" customHeight="1" x14ac:dyDescent="0.2">
      <c r="A822" s="59" t="s">
        <v>5271</v>
      </c>
      <c r="B822" s="60" t="s">
        <v>3216</v>
      </c>
      <c r="C822" s="60" t="s">
        <v>3217</v>
      </c>
      <c r="D822" s="40">
        <v>44004</v>
      </c>
      <c r="E822" s="61">
        <v>130</v>
      </c>
      <c r="F822" s="62">
        <v>130</v>
      </c>
      <c r="G822" s="63" t="s">
        <v>615</v>
      </c>
      <c r="H822" s="64" t="s">
        <v>2748</v>
      </c>
      <c r="I822" s="64" t="s">
        <v>2749</v>
      </c>
      <c r="J822" s="63" t="s">
        <v>393</v>
      </c>
      <c r="K822" s="64" t="s">
        <v>3370</v>
      </c>
      <c r="L822" s="63" t="s">
        <v>34</v>
      </c>
      <c r="M822" s="63" t="s">
        <v>5781</v>
      </c>
      <c r="N822" s="65">
        <v>45596</v>
      </c>
    </row>
    <row r="823" spans="1:21" ht="15" customHeight="1" x14ac:dyDescent="0.2">
      <c r="A823" s="59" t="s">
        <v>5272</v>
      </c>
      <c r="B823" s="60" t="s">
        <v>3218</v>
      </c>
      <c r="C823" s="60" t="s">
        <v>3219</v>
      </c>
      <c r="D823" s="40">
        <v>44005</v>
      </c>
      <c r="E823" s="61">
        <v>20</v>
      </c>
      <c r="F823" s="62">
        <v>20</v>
      </c>
      <c r="G823" s="63" t="s">
        <v>55</v>
      </c>
      <c r="H823" s="64" t="s">
        <v>2721</v>
      </c>
      <c r="I823" s="64" t="s">
        <v>2713</v>
      </c>
      <c r="J823" s="63" t="s">
        <v>471</v>
      </c>
      <c r="K823" s="64" t="s">
        <v>1394</v>
      </c>
      <c r="L823" s="63" t="s">
        <v>157</v>
      </c>
      <c r="M823" s="63" t="s">
        <v>5781</v>
      </c>
      <c r="N823" s="65">
        <v>45382</v>
      </c>
      <c r="O823"/>
      <c r="P823"/>
      <c r="Q823"/>
      <c r="R823"/>
      <c r="S823"/>
      <c r="T823"/>
      <c r="U823"/>
    </row>
    <row r="824" spans="1:21" ht="15" customHeight="1" x14ac:dyDescent="0.2">
      <c r="A824" s="59" t="s">
        <v>5273</v>
      </c>
      <c r="B824" s="60" t="s">
        <v>7409</v>
      </c>
      <c r="C824" s="60" t="s">
        <v>4132</v>
      </c>
      <c r="D824" s="40">
        <v>44202</v>
      </c>
      <c r="E824" s="61">
        <v>20</v>
      </c>
      <c r="F824" s="62">
        <v>20</v>
      </c>
      <c r="G824" s="63" t="s">
        <v>55</v>
      </c>
      <c r="H824" s="64" t="s">
        <v>2800</v>
      </c>
      <c r="I824" s="64" t="s">
        <v>2713</v>
      </c>
      <c r="J824" s="63" t="s">
        <v>530</v>
      </c>
      <c r="K824" s="64" t="s">
        <v>3371</v>
      </c>
      <c r="L824" s="63" t="s">
        <v>157</v>
      </c>
      <c r="M824" s="63" t="s">
        <v>5781</v>
      </c>
      <c r="N824" s="65">
        <v>46203</v>
      </c>
      <c r="O824"/>
      <c r="P824"/>
      <c r="Q824"/>
      <c r="R824"/>
      <c r="S824"/>
      <c r="T824"/>
      <c r="U824"/>
    </row>
    <row r="825" spans="1:21" ht="15" customHeight="1" x14ac:dyDescent="0.2">
      <c r="A825" s="59" t="s">
        <v>5886</v>
      </c>
      <c r="B825" s="60" t="s">
        <v>4780</v>
      </c>
      <c r="C825" s="60" t="s">
        <v>4788</v>
      </c>
      <c r="D825" s="40">
        <v>44006</v>
      </c>
      <c r="E825" s="61" t="s">
        <v>5796</v>
      </c>
      <c r="F825" s="62" t="s">
        <v>5796</v>
      </c>
      <c r="G825" s="63" t="s">
        <v>615</v>
      </c>
      <c r="H825" s="64" t="s">
        <v>2800</v>
      </c>
      <c r="I825" s="64" t="s">
        <v>2713</v>
      </c>
      <c r="J825" s="63" t="s">
        <v>530</v>
      </c>
      <c r="K825" s="64" t="s">
        <v>1524</v>
      </c>
      <c r="L825" s="63" t="s">
        <v>41</v>
      </c>
      <c r="M825" s="63" t="s">
        <v>5781</v>
      </c>
      <c r="N825" s="65">
        <v>45443</v>
      </c>
      <c r="O825"/>
      <c r="P825"/>
      <c r="Q825"/>
      <c r="R825"/>
      <c r="S825"/>
      <c r="T825"/>
    </row>
    <row r="826" spans="1:21" ht="15" customHeight="1" x14ac:dyDescent="0.2">
      <c r="A826" s="59" t="s">
        <v>5887</v>
      </c>
      <c r="B826" s="60" t="s">
        <v>4781</v>
      </c>
      <c r="C826" s="60" t="s">
        <v>4789</v>
      </c>
      <c r="D826" s="40">
        <v>44007</v>
      </c>
      <c r="E826" s="61" t="s">
        <v>5783</v>
      </c>
      <c r="F826" s="62" t="s">
        <v>5783</v>
      </c>
      <c r="G826" s="63" t="s">
        <v>3505</v>
      </c>
      <c r="H826" s="64" t="s">
        <v>3145</v>
      </c>
      <c r="I826" s="64" t="s">
        <v>2713</v>
      </c>
      <c r="J826" s="63" t="s">
        <v>393</v>
      </c>
      <c r="K826" s="64" t="s">
        <v>4334</v>
      </c>
      <c r="L826" s="63" t="s">
        <v>34</v>
      </c>
      <c r="M826" s="63" t="s">
        <v>5781</v>
      </c>
      <c r="N826" s="65">
        <v>45443</v>
      </c>
      <c r="O826"/>
      <c r="P826"/>
      <c r="Q826"/>
      <c r="R826"/>
      <c r="S826"/>
      <c r="T826"/>
    </row>
    <row r="827" spans="1:21" customFormat="1" ht="14.45" customHeight="1" x14ac:dyDescent="0.2">
      <c r="A827" s="59" t="s">
        <v>5274</v>
      </c>
      <c r="B827" s="60" t="s">
        <v>4519</v>
      </c>
      <c r="C827" s="60" t="s">
        <v>3220</v>
      </c>
      <c r="D827" s="40">
        <v>44008</v>
      </c>
      <c r="E827" s="61">
        <v>100</v>
      </c>
      <c r="F827" s="62">
        <v>100</v>
      </c>
      <c r="G827" s="63" t="s">
        <v>55</v>
      </c>
      <c r="H827" s="64" t="s">
        <v>2808</v>
      </c>
      <c r="I827" s="64" t="s">
        <v>2713</v>
      </c>
      <c r="J827" s="63" t="s">
        <v>471</v>
      </c>
      <c r="K827" s="64" t="s">
        <v>4134</v>
      </c>
      <c r="L827" s="63" t="s">
        <v>157</v>
      </c>
      <c r="M827" s="63" t="s">
        <v>5781</v>
      </c>
      <c r="N827" s="65">
        <v>45657</v>
      </c>
    </row>
    <row r="828" spans="1:21" ht="15" customHeight="1" x14ac:dyDescent="0.2">
      <c r="A828" s="59" t="s">
        <v>4330</v>
      </c>
      <c r="B828" s="42" t="s">
        <v>1698</v>
      </c>
      <c r="C828" s="42" t="s">
        <v>1699</v>
      </c>
      <c r="D828" s="40">
        <v>44012</v>
      </c>
      <c r="E828" s="41">
        <v>19.8</v>
      </c>
      <c r="F828" s="46">
        <v>19.8</v>
      </c>
      <c r="G828" s="44" t="s">
        <v>55</v>
      </c>
      <c r="H828" s="43" t="s">
        <v>2728</v>
      </c>
      <c r="I828" s="43" t="s">
        <v>2713</v>
      </c>
      <c r="J828" s="44" t="s">
        <v>531</v>
      </c>
      <c r="K828" s="48" t="s">
        <v>528</v>
      </c>
      <c r="L828" s="52" t="s">
        <v>157</v>
      </c>
      <c r="M828" s="56">
        <v>0</v>
      </c>
      <c r="N828" s="45">
        <v>44926</v>
      </c>
    </row>
    <row r="829" spans="1:21" customFormat="1" ht="15" customHeight="1" x14ac:dyDescent="0.2">
      <c r="A829" s="59" t="s">
        <v>3230</v>
      </c>
      <c r="B829" s="42" t="s">
        <v>3239</v>
      </c>
      <c r="C829" s="42" t="s">
        <v>3240</v>
      </c>
      <c r="D829" s="40">
        <v>44013</v>
      </c>
      <c r="E829" s="41">
        <v>19.899999999999999</v>
      </c>
      <c r="F829" s="46">
        <v>19.899999999999999</v>
      </c>
      <c r="G829" s="44" t="s">
        <v>55</v>
      </c>
      <c r="H829" s="43" t="s">
        <v>2739</v>
      </c>
      <c r="I829" s="43" t="s">
        <v>2713</v>
      </c>
      <c r="J829" s="44" t="s">
        <v>531</v>
      </c>
      <c r="K829" s="48" t="s">
        <v>3341</v>
      </c>
      <c r="L829" s="52" t="s">
        <v>157</v>
      </c>
      <c r="M829" s="56">
        <v>0</v>
      </c>
      <c r="N829" s="45">
        <v>44135</v>
      </c>
      <c r="O829" s="4"/>
      <c r="P829" s="4"/>
      <c r="Q829" s="4"/>
      <c r="R829" s="4"/>
      <c r="S829" s="4"/>
      <c r="T829" s="4"/>
      <c r="U829" s="4"/>
    </row>
    <row r="830" spans="1:21" ht="15" customHeight="1" x14ac:dyDescent="0.2">
      <c r="A830" s="59" t="s">
        <v>5888</v>
      </c>
      <c r="B830" s="60" t="s">
        <v>4135</v>
      </c>
      <c r="C830" s="60" t="s">
        <v>4136</v>
      </c>
      <c r="D830" s="40">
        <v>44015</v>
      </c>
      <c r="E830" s="61" t="s">
        <v>5275</v>
      </c>
      <c r="F830" s="62" t="s">
        <v>5275</v>
      </c>
      <c r="G830" s="63" t="s">
        <v>124</v>
      </c>
      <c r="H830" s="64" t="s">
        <v>2716</v>
      </c>
      <c r="I830" s="64" t="s">
        <v>2713</v>
      </c>
      <c r="J830" s="63" t="s">
        <v>532</v>
      </c>
      <c r="K830" s="64" t="s">
        <v>1527</v>
      </c>
      <c r="L830" s="63" t="s">
        <v>87</v>
      </c>
      <c r="M830" s="63" t="s">
        <v>5781</v>
      </c>
      <c r="N830" s="65">
        <v>45443</v>
      </c>
      <c r="O830"/>
      <c r="P830"/>
      <c r="Q830"/>
      <c r="R830"/>
      <c r="S830"/>
      <c r="T830"/>
    </row>
    <row r="831" spans="1:21" ht="15" customHeight="1" x14ac:dyDescent="0.2">
      <c r="A831" s="59" t="s">
        <v>5889</v>
      </c>
      <c r="B831" s="60" t="s">
        <v>904</v>
      </c>
      <c r="C831" s="60" t="s">
        <v>3241</v>
      </c>
      <c r="D831" s="40">
        <v>44018</v>
      </c>
      <c r="E831" s="61" t="s">
        <v>5815</v>
      </c>
      <c r="F831" s="62" t="s">
        <v>5796</v>
      </c>
      <c r="G831" s="63" t="s">
        <v>615</v>
      </c>
      <c r="H831" s="64" t="s">
        <v>2746</v>
      </c>
      <c r="I831" s="64" t="s">
        <v>2713</v>
      </c>
      <c r="J831" s="63" t="s">
        <v>532</v>
      </c>
      <c r="K831" s="64" t="s">
        <v>3029</v>
      </c>
      <c r="L831" s="63" t="s">
        <v>87</v>
      </c>
      <c r="M831" s="63" t="s">
        <v>5781</v>
      </c>
      <c r="N831" s="65">
        <v>45443</v>
      </c>
      <c r="O831"/>
      <c r="P831"/>
      <c r="Q831"/>
      <c r="R831"/>
      <c r="S831"/>
      <c r="T831"/>
    </row>
    <row r="832" spans="1:21" ht="15" customHeight="1" x14ac:dyDescent="0.2">
      <c r="A832" s="59" t="s">
        <v>5890</v>
      </c>
      <c r="B832" s="60" t="s">
        <v>3243</v>
      </c>
      <c r="C832" s="60" t="s">
        <v>3244</v>
      </c>
      <c r="D832" s="40">
        <v>44026</v>
      </c>
      <c r="E832" s="61" t="s">
        <v>5812</v>
      </c>
      <c r="F832" s="62" t="s">
        <v>5812</v>
      </c>
      <c r="G832" s="63" t="s">
        <v>55</v>
      </c>
      <c r="H832" s="64" t="s">
        <v>401</v>
      </c>
      <c r="I832" s="64" t="s">
        <v>2713</v>
      </c>
      <c r="J832" s="63" t="s">
        <v>393</v>
      </c>
      <c r="K832" s="64" t="s">
        <v>4890</v>
      </c>
      <c r="L832" s="63" t="s">
        <v>34</v>
      </c>
      <c r="M832" s="63" t="s">
        <v>5781</v>
      </c>
      <c r="N832" s="65">
        <v>45443</v>
      </c>
      <c r="O832"/>
      <c r="P832"/>
      <c r="Q832"/>
      <c r="R832"/>
      <c r="S832"/>
      <c r="T832"/>
    </row>
    <row r="833" spans="1:21" ht="15" customHeight="1" x14ac:dyDescent="0.2">
      <c r="A833" s="59" t="s">
        <v>5891</v>
      </c>
      <c r="B833" s="60" t="s">
        <v>3245</v>
      </c>
      <c r="C833" s="60" t="s">
        <v>3246</v>
      </c>
      <c r="D833" s="40">
        <v>44026</v>
      </c>
      <c r="E833" s="61" t="s">
        <v>5783</v>
      </c>
      <c r="F833" s="62" t="s">
        <v>5783</v>
      </c>
      <c r="G833" s="63" t="s">
        <v>615</v>
      </c>
      <c r="H833" s="64" t="s">
        <v>2716</v>
      </c>
      <c r="I833" s="64" t="s">
        <v>2713</v>
      </c>
      <c r="J833" s="63" t="s">
        <v>532</v>
      </c>
      <c r="K833" s="64" t="s">
        <v>4806</v>
      </c>
      <c r="L833" s="63" t="s">
        <v>87</v>
      </c>
      <c r="M833" s="63" t="s">
        <v>5781</v>
      </c>
      <c r="N833" s="65">
        <v>45443</v>
      </c>
      <c r="O833"/>
      <c r="P833"/>
      <c r="Q833"/>
      <c r="R833"/>
      <c r="S833"/>
      <c r="T833"/>
    </row>
    <row r="834" spans="1:21" ht="15" customHeight="1" x14ac:dyDescent="0.2">
      <c r="A834" s="59" t="s">
        <v>5275</v>
      </c>
      <c r="B834" s="60" t="s">
        <v>3245</v>
      </c>
      <c r="C834" s="60" t="s">
        <v>3247</v>
      </c>
      <c r="D834" s="40">
        <v>44026</v>
      </c>
      <c r="E834" s="61" t="s">
        <v>5783</v>
      </c>
      <c r="F834" s="62" t="s">
        <v>5783</v>
      </c>
      <c r="G834" s="63" t="s">
        <v>615</v>
      </c>
      <c r="H834" s="64" t="s">
        <v>2716</v>
      </c>
      <c r="I834" s="64" t="s">
        <v>2713</v>
      </c>
      <c r="J834" s="63" t="s">
        <v>532</v>
      </c>
      <c r="K834" s="64" t="s">
        <v>4880</v>
      </c>
      <c r="L834" s="63" t="s">
        <v>87</v>
      </c>
      <c r="M834" s="63" t="s">
        <v>5781</v>
      </c>
      <c r="N834" s="65">
        <v>45443</v>
      </c>
      <c r="O834"/>
      <c r="P834"/>
      <c r="Q834"/>
      <c r="R834"/>
      <c r="S834"/>
      <c r="T834"/>
      <c r="U834"/>
    </row>
    <row r="835" spans="1:21" customFormat="1" ht="14.45" customHeight="1" x14ac:dyDescent="0.2">
      <c r="A835" s="59" t="s">
        <v>5277</v>
      </c>
      <c r="B835" s="60" t="s">
        <v>3248</v>
      </c>
      <c r="C835" s="60" t="s">
        <v>4139</v>
      </c>
      <c r="D835" s="40">
        <v>44033</v>
      </c>
      <c r="E835" s="61">
        <v>20</v>
      </c>
      <c r="F835" s="62">
        <v>20</v>
      </c>
      <c r="G835" s="63" t="s">
        <v>55</v>
      </c>
      <c r="H835" s="64" t="s">
        <v>2739</v>
      </c>
      <c r="I835" s="64" t="s">
        <v>2713</v>
      </c>
      <c r="J835" s="63" t="s">
        <v>540</v>
      </c>
      <c r="K835" s="64" t="s">
        <v>4140</v>
      </c>
      <c r="L835" s="63" t="s">
        <v>157</v>
      </c>
      <c r="M835" s="63" t="s">
        <v>5781</v>
      </c>
      <c r="N835" s="65">
        <v>45869</v>
      </c>
    </row>
    <row r="836" spans="1:21" ht="15" customHeight="1" x14ac:dyDescent="0.2">
      <c r="A836" s="59" t="s">
        <v>5278</v>
      </c>
      <c r="B836" s="60" t="s">
        <v>3854</v>
      </c>
      <c r="C836" s="60" t="s">
        <v>3249</v>
      </c>
      <c r="D836" s="40">
        <v>44034</v>
      </c>
      <c r="E836" s="61">
        <v>20</v>
      </c>
      <c r="F836" s="62">
        <v>20</v>
      </c>
      <c r="G836" s="63" t="s">
        <v>55</v>
      </c>
      <c r="H836" s="64" t="s">
        <v>2729</v>
      </c>
      <c r="I836" s="64" t="s">
        <v>2713</v>
      </c>
      <c r="J836" s="63" t="s">
        <v>530</v>
      </c>
      <c r="K836" s="64" t="s">
        <v>4891</v>
      </c>
      <c r="L836" s="63" t="s">
        <v>157</v>
      </c>
      <c r="M836" s="63">
        <v>0</v>
      </c>
      <c r="N836" s="65">
        <v>45351</v>
      </c>
      <c r="O836"/>
      <c r="P836"/>
      <c r="Q836"/>
      <c r="R836"/>
      <c r="S836"/>
      <c r="T836"/>
    </row>
    <row r="837" spans="1:21" ht="15" customHeight="1" x14ac:dyDescent="0.2">
      <c r="A837" s="59" t="s">
        <v>3231</v>
      </c>
      <c r="B837" s="42" t="s">
        <v>2882</v>
      </c>
      <c r="C837" s="42" t="s">
        <v>5983</v>
      </c>
      <c r="D837" s="40">
        <v>44034</v>
      </c>
      <c r="E837" s="41">
        <v>141.9</v>
      </c>
      <c r="F837" s="46">
        <v>144</v>
      </c>
      <c r="G837" s="44" t="s">
        <v>318</v>
      </c>
      <c r="H837" s="43" t="s">
        <v>2713</v>
      </c>
      <c r="I837" s="43" t="s">
        <v>2713</v>
      </c>
      <c r="J837" s="44" t="s">
        <v>533</v>
      </c>
      <c r="K837" s="48" t="s">
        <v>3250</v>
      </c>
      <c r="L837" s="52" t="s">
        <v>403</v>
      </c>
      <c r="M837" s="44">
        <v>0</v>
      </c>
      <c r="N837" s="45">
        <v>44074</v>
      </c>
    </row>
    <row r="838" spans="1:21" ht="15" customHeight="1" x14ac:dyDescent="0.2">
      <c r="A838" s="59" t="s">
        <v>3232</v>
      </c>
      <c r="B838" s="42" t="s">
        <v>3251</v>
      </c>
      <c r="C838" s="42" t="s">
        <v>3252</v>
      </c>
      <c r="D838" s="40">
        <v>44035</v>
      </c>
      <c r="E838" s="41">
        <v>83</v>
      </c>
      <c r="F838" s="46">
        <v>83</v>
      </c>
      <c r="G838" s="44" t="s">
        <v>615</v>
      </c>
      <c r="H838" s="43" t="s">
        <v>2811</v>
      </c>
      <c r="I838" s="43" t="s">
        <v>2713</v>
      </c>
      <c r="J838" s="44" t="s">
        <v>1596</v>
      </c>
      <c r="K838" s="48" t="s">
        <v>3253</v>
      </c>
      <c r="L838" s="52" t="s">
        <v>403</v>
      </c>
      <c r="M838" s="44">
        <v>0</v>
      </c>
      <c r="N838" s="45">
        <v>44104</v>
      </c>
    </row>
    <row r="839" spans="1:21" ht="15" customHeight="1" x14ac:dyDescent="0.2">
      <c r="A839" s="59" t="s">
        <v>5892</v>
      </c>
      <c r="B839" s="60" t="s">
        <v>3254</v>
      </c>
      <c r="C839" s="60" t="s">
        <v>4141</v>
      </c>
      <c r="D839" s="40">
        <v>44035</v>
      </c>
      <c r="E839" s="61" t="s">
        <v>5799</v>
      </c>
      <c r="F839" s="62" t="s">
        <v>5799</v>
      </c>
      <c r="G839" s="63" t="s">
        <v>55</v>
      </c>
      <c r="H839" s="64" t="s">
        <v>2732</v>
      </c>
      <c r="I839" s="64" t="s">
        <v>2713</v>
      </c>
      <c r="J839" s="63" t="s">
        <v>393</v>
      </c>
      <c r="K839" s="64" t="s">
        <v>3310</v>
      </c>
      <c r="L839" s="63" t="s">
        <v>34</v>
      </c>
      <c r="M839" s="63" t="s">
        <v>5781</v>
      </c>
      <c r="N839" s="65">
        <v>45443</v>
      </c>
      <c r="O839"/>
      <c r="P839"/>
      <c r="Q839"/>
      <c r="R839"/>
      <c r="S839"/>
      <c r="T839"/>
    </row>
    <row r="840" spans="1:21" ht="15" customHeight="1" x14ac:dyDescent="0.2">
      <c r="A840" s="59" t="s">
        <v>5893</v>
      </c>
      <c r="B840" s="60" t="s">
        <v>2901</v>
      </c>
      <c r="C840" s="60" t="s">
        <v>4142</v>
      </c>
      <c r="D840" s="40">
        <v>44039</v>
      </c>
      <c r="E840" s="61" t="s">
        <v>3752</v>
      </c>
      <c r="F840" s="62" t="s">
        <v>3752</v>
      </c>
      <c r="G840" s="63" t="s">
        <v>124</v>
      </c>
      <c r="H840" s="64" t="s">
        <v>2746</v>
      </c>
      <c r="I840" s="64" t="s">
        <v>2713</v>
      </c>
      <c r="J840" s="63" t="s">
        <v>532</v>
      </c>
      <c r="K840" s="64" t="s">
        <v>3622</v>
      </c>
      <c r="L840" s="63" t="s">
        <v>87</v>
      </c>
      <c r="M840" s="63" t="s">
        <v>5781</v>
      </c>
      <c r="N840" s="65">
        <v>45443</v>
      </c>
      <c r="O840"/>
      <c r="P840"/>
      <c r="Q840"/>
      <c r="R840"/>
      <c r="S840"/>
      <c r="T840"/>
    </row>
    <row r="841" spans="1:21" ht="15" customHeight="1" x14ac:dyDescent="0.2">
      <c r="A841" s="59" t="s">
        <v>3233</v>
      </c>
      <c r="B841" s="42" t="s">
        <v>2901</v>
      </c>
      <c r="C841" s="42" t="s">
        <v>3255</v>
      </c>
      <c r="D841" s="40">
        <v>44039</v>
      </c>
      <c r="E841" s="41">
        <v>1325</v>
      </c>
      <c r="F841" s="46">
        <v>1325</v>
      </c>
      <c r="G841" s="44" t="s">
        <v>124</v>
      </c>
      <c r="H841" s="43" t="s">
        <v>2746</v>
      </c>
      <c r="I841" s="43" t="s">
        <v>2713</v>
      </c>
      <c r="J841" s="44" t="s">
        <v>532</v>
      </c>
      <c r="K841" s="48" t="s">
        <v>3256</v>
      </c>
      <c r="L841" s="52" t="s">
        <v>87</v>
      </c>
      <c r="M841" s="56">
        <v>0</v>
      </c>
      <c r="N841" s="45">
        <v>44135</v>
      </c>
    </row>
    <row r="842" spans="1:21" ht="15" customHeight="1" x14ac:dyDescent="0.2">
      <c r="A842" s="59" t="s">
        <v>5894</v>
      </c>
      <c r="B842" s="60" t="s">
        <v>2901</v>
      </c>
      <c r="C842" s="60" t="s">
        <v>3257</v>
      </c>
      <c r="D842" s="40">
        <v>44039</v>
      </c>
      <c r="E842" s="61" t="s">
        <v>3755</v>
      </c>
      <c r="F842" s="62" t="s">
        <v>3755</v>
      </c>
      <c r="G842" s="63" t="s">
        <v>124</v>
      </c>
      <c r="H842" s="64" t="s">
        <v>2716</v>
      </c>
      <c r="I842" s="64" t="s">
        <v>2713</v>
      </c>
      <c r="J842" s="63" t="s">
        <v>532</v>
      </c>
      <c r="K842" s="64" t="s">
        <v>4520</v>
      </c>
      <c r="L842" s="63" t="s">
        <v>87</v>
      </c>
      <c r="M842" s="63" t="s">
        <v>5781</v>
      </c>
      <c r="N842" s="65">
        <v>45443</v>
      </c>
      <c r="O842"/>
      <c r="P842"/>
      <c r="Q842"/>
      <c r="R842"/>
      <c r="S842"/>
      <c r="T842"/>
    </row>
    <row r="843" spans="1:21" ht="15" customHeight="1" x14ac:dyDescent="0.2">
      <c r="A843" s="59" t="s">
        <v>5279</v>
      </c>
      <c r="B843" s="60" t="s">
        <v>4014</v>
      </c>
      <c r="C843" s="60" t="s">
        <v>3258</v>
      </c>
      <c r="D843" s="40">
        <v>44043</v>
      </c>
      <c r="E843" s="61">
        <v>16.2</v>
      </c>
      <c r="F843" s="62">
        <v>16.2</v>
      </c>
      <c r="G843" s="63" t="s">
        <v>55</v>
      </c>
      <c r="H843" s="64" t="s">
        <v>590</v>
      </c>
      <c r="I843" s="64" t="s">
        <v>2713</v>
      </c>
      <c r="J843" s="63" t="s">
        <v>393</v>
      </c>
      <c r="K843" s="64" t="s">
        <v>3433</v>
      </c>
      <c r="L843" s="63" t="s">
        <v>157</v>
      </c>
      <c r="M843" s="63">
        <v>0</v>
      </c>
      <c r="N843" s="65">
        <v>45351</v>
      </c>
      <c r="O843"/>
      <c r="P843"/>
      <c r="Q843"/>
      <c r="R843"/>
      <c r="S843"/>
      <c r="T843"/>
    </row>
    <row r="844" spans="1:21" ht="15" customHeight="1" x14ac:dyDescent="0.2">
      <c r="A844" s="59" t="s">
        <v>3234</v>
      </c>
      <c r="B844" s="42" t="s">
        <v>3259</v>
      </c>
      <c r="C844" s="42" t="s">
        <v>3260</v>
      </c>
      <c r="D844" s="40">
        <v>44043</v>
      </c>
      <c r="E844" s="41">
        <v>16.8</v>
      </c>
      <c r="F844" s="46">
        <v>16.8</v>
      </c>
      <c r="G844" s="44" t="s">
        <v>55</v>
      </c>
      <c r="H844" s="43" t="s">
        <v>2766</v>
      </c>
      <c r="I844" s="43" t="s">
        <v>2713</v>
      </c>
      <c r="J844" s="44" t="s">
        <v>393</v>
      </c>
      <c r="K844" s="48" t="s">
        <v>3346</v>
      </c>
      <c r="L844" s="52" t="s">
        <v>34</v>
      </c>
      <c r="M844" s="56">
        <v>0</v>
      </c>
      <c r="N844" s="45">
        <v>44651</v>
      </c>
    </row>
    <row r="845" spans="1:21" customFormat="1" ht="14.45" customHeight="1" x14ac:dyDescent="0.2">
      <c r="A845" s="59" t="s">
        <v>5280</v>
      </c>
      <c r="B845" s="60" t="s">
        <v>4014</v>
      </c>
      <c r="C845" s="60" t="s">
        <v>3261</v>
      </c>
      <c r="D845" s="40">
        <v>44043</v>
      </c>
      <c r="E845" s="61">
        <v>19.8</v>
      </c>
      <c r="F845" s="62">
        <v>19.8</v>
      </c>
      <c r="G845" s="63" t="s">
        <v>55</v>
      </c>
      <c r="H845" s="64" t="s">
        <v>2800</v>
      </c>
      <c r="I845" s="64" t="s">
        <v>2713</v>
      </c>
      <c r="J845" s="63" t="s">
        <v>530</v>
      </c>
      <c r="K845" s="64" t="s">
        <v>4226</v>
      </c>
      <c r="L845" s="63" t="s">
        <v>157</v>
      </c>
      <c r="M845" s="63">
        <v>0</v>
      </c>
      <c r="N845" s="65">
        <v>45657</v>
      </c>
    </row>
    <row r="846" spans="1:21" ht="15" customHeight="1" x14ac:dyDescent="0.2">
      <c r="A846" s="59" t="s">
        <v>3235</v>
      </c>
      <c r="B846" s="42" t="s">
        <v>3259</v>
      </c>
      <c r="C846" s="42" t="s">
        <v>4050</v>
      </c>
      <c r="D846" s="40">
        <v>44043</v>
      </c>
      <c r="E846" s="41">
        <v>19.8</v>
      </c>
      <c r="F846" s="46">
        <v>19.8</v>
      </c>
      <c r="G846" s="44" t="s">
        <v>55</v>
      </c>
      <c r="H846" s="43" t="s">
        <v>2740</v>
      </c>
      <c r="I846" s="43" t="s">
        <v>2713</v>
      </c>
      <c r="J846" s="44" t="s">
        <v>530</v>
      </c>
      <c r="K846" s="48" t="s">
        <v>3675</v>
      </c>
      <c r="L846" s="52" t="s">
        <v>157</v>
      </c>
      <c r="M846" s="56">
        <v>0</v>
      </c>
      <c r="N846" s="45">
        <v>44895</v>
      </c>
    </row>
    <row r="847" spans="1:21" ht="15" customHeight="1" x14ac:dyDescent="0.2">
      <c r="A847" s="59" t="s">
        <v>3236</v>
      </c>
      <c r="B847" s="42" t="s">
        <v>4014</v>
      </c>
      <c r="C847" s="42" t="s">
        <v>3262</v>
      </c>
      <c r="D847" s="40">
        <v>44043</v>
      </c>
      <c r="E847" s="41">
        <v>19.8</v>
      </c>
      <c r="F847" s="46">
        <v>19.8</v>
      </c>
      <c r="G847" s="44" t="s">
        <v>55</v>
      </c>
      <c r="H847" s="43" t="s">
        <v>2740</v>
      </c>
      <c r="I847" s="43" t="s">
        <v>2713</v>
      </c>
      <c r="J847" s="44" t="s">
        <v>530</v>
      </c>
      <c r="K847" s="48" t="s">
        <v>3676</v>
      </c>
      <c r="L847" s="52" t="s">
        <v>157</v>
      </c>
      <c r="M847" s="56">
        <v>0</v>
      </c>
      <c r="N847" s="45">
        <v>44834</v>
      </c>
    </row>
    <row r="848" spans="1:21" ht="15" customHeight="1" x14ac:dyDescent="0.2">
      <c r="A848" s="59" t="s">
        <v>3237</v>
      </c>
      <c r="B848" s="60" t="s">
        <v>3259</v>
      </c>
      <c r="C848" s="60" t="s">
        <v>3263</v>
      </c>
      <c r="D848" s="40" t="s">
        <v>4144</v>
      </c>
      <c r="E848" s="61">
        <v>19.8</v>
      </c>
      <c r="F848" s="62">
        <v>19.8</v>
      </c>
      <c r="G848" s="63" t="s">
        <v>55</v>
      </c>
      <c r="H848" s="64" t="s">
        <v>2810</v>
      </c>
      <c r="I848" s="64" t="s">
        <v>2713</v>
      </c>
      <c r="J848" s="63" t="s">
        <v>540</v>
      </c>
      <c r="K848" s="64" t="s">
        <v>3347</v>
      </c>
      <c r="L848" s="63" t="s">
        <v>191</v>
      </c>
      <c r="M848" s="63">
        <v>0</v>
      </c>
      <c r="N848" s="65">
        <v>45046</v>
      </c>
      <c r="O848"/>
      <c r="P848"/>
      <c r="Q848"/>
      <c r="R848"/>
      <c r="S848"/>
      <c r="T848"/>
    </row>
    <row r="849" spans="1:21" ht="15" customHeight="1" x14ac:dyDescent="0.2">
      <c r="A849" s="59" t="s">
        <v>3238</v>
      </c>
      <c r="B849" s="42" t="s">
        <v>3239</v>
      </c>
      <c r="C849" s="42" t="s">
        <v>3264</v>
      </c>
      <c r="D849" s="40">
        <v>44046</v>
      </c>
      <c r="E849" s="41">
        <v>19.899999999999999</v>
      </c>
      <c r="F849" s="46">
        <v>19.899999999999999</v>
      </c>
      <c r="G849" s="44" t="s">
        <v>55</v>
      </c>
      <c r="H849" s="43" t="s">
        <v>2810</v>
      </c>
      <c r="I849" s="43" t="s">
        <v>2713</v>
      </c>
      <c r="J849" s="44" t="s">
        <v>540</v>
      </c>
      <c r="K849" s="48" t="s">
        <v>3373</v>
      </c>
      <c r="L849" s="52" t="s">
        <v>191</v>
      </c>
      <c r="M849" s="56">
        <v>0</v>
      </c>
      <c r="N849" s="45">
        <v>44135</v>
      </c>
    </row>
    <row r="850" spans="1:21" ht="15" customHeight="1" x14ac:dyDescent="0.2">
      <c r="A850" s="59" t="s">
        <v>5895</v>
      </c>
      <c r="B850" s="60" t="s">
        <v>2901</v>
      </c>
      <c r="C850" s="60" t="s">
        <v>3265</v>
      </c>
      <c r="D850" s="40">
        <v>44047</v>
      </c>
      <c r="E850" s="61" t="s">
        <v>3752</v>
      </c>
      <c r="F850" s="62" t="s">
        <v>3752</v>
      </c>
      <c r="G850" s="63" t="s">
        <v>124</v>
      </c>
      <c r="H850" s="64" t="s">
        <v>2712</v>
      </c>
      <c r="I850" s="64" t="s">
        <v>2713</v>
      </c>
      <c r="J850" s="63" t="s">
        <v>533</v>
      </c>
      <c r="K850" s="64" t="s">
        <v>4707</v>
      </c>
      <c r="L850" s="63" t="s">
        <v>403</v>
      </c>
      <c r="M850" s="63" t="s">
        <v>5781</v>
      </c>
      <c r="N850" s="65">
        <v>45443</v>
      </c>
      <c r="O850"/>
      <c r="P850"/>
      <c r="Q850"/>
      <c r="R850"/>
      <c r="S850"/>
      <c r="T850"/>
    </row>
    <row r="851" spans="1:21" customFormat="1" ht="15" customHeight="1" x14ac:dyDescent="0.2">
      <c r="A851" s="59" t="s">
        <v>3268</v>
      </c>
      <c r="B851" s="42" t="s">
        <v>3281</v>
      </c>
      <c r="C851" s="42" t="s">
        <v>3282</v>
      </c>
      <c r="D851" s="40">
        <v>44048</v>
      </c>
      <c r="E851" s="41">
        <v>20</v>
      </c>
      <c r="F851" s="46">
        <v>20</v>
      </c>
      <c r="G851" s="44" t="s">
        <v>615</v>
      </c>
      <c r="H851" s="43" t="s">
        <v>2806</v>
      </c>
      <c r="I851" s="43" t="s">
        <v>2713</v>
      </c>
      <c r="J851" s="44" t="s">
        <v>539</v>
      </c>
      <c r="K851" s="48" t="s">
        <v>3311</v>
      </c>
      <c r="L851" s="52" t="s">
        <v>673</v>
      </c>
      <c r="M851" s="56">
        <v>0</v>
      </c>
      <c r="N851" s="45">
        <v>44135</v>
      </c>
      <c r="O851" s="4"/>
      <c r="P851" s="4"/>
      <c r="Q851" s="4"/>
      <c r="R851" s="4"/>
      <c r="S851" s="4"/>
      <c r="T851" s="4"/>
      <c r="U851" s="4"/>
    </row>
    <row r="852" spans="1:21" customFormat="1" ht="14.45" customHeight="1" x14ac:dyDescent="0.2">
      <c r="A852" s="59" t="s">
        <v>5281</v>
      </c>
      <c r="B852" s="60" t="s">
        <v>3216</v>
      </c>
      <c r="C852" s="60" t="s">
        <v>3283</v>
      </c>
      <c r="D852" s="40">
        <v>44048</v>
      </c>
      <c r="E852" s="61">
        <v>300</v>
      </c>
      <c r="F852" s="62">
        <v>300</v>
      </c>
      <c r="G852" s="63" t="s">
        <v>615</v>
      </c>
      <c r="H852" s="64" t="s">
        <v>2811</v>
      </c>
      <c r="I852" s="64" t="s">
        <v>2713</v>
      </c>
      <c r="J852" s="63" t="s">
        <v>318</v>
      </c>
      <c r="K852" s="64" t="s">
        <v>4807</v>
      </c>
      <c r="L852" s="63" t="s">
        <v>403</v>
      </c>
      <c r="M852" s="63" t="s">
        <v>5781</v>
      </c>
      <c r="N852" s="65">
        <v>45596</v>
      </c>
    </row>
    <row r="853" spans="1:21" ht="15" customHeight="1" x14ac:dyDescent="0.2">
      <c r="A853" s="59" t="s">
        <v>3269</v>
      </c>
      <c r="B853" s="42" t="s">
        <v>3259</v>
      </c>
      <c r="C853" s="42" t="s">
        <v>3284</v>
      </c>
      <c r="D853" s="40">
        <v>44048</v>
      </c>
      <c r="E853" s="41">
        <v>24</v>
      </c>
      <c r="F853" s="46">
        <v>22</v>
      </c>
      <c r="G853" s="44" t="s">
        <v>55</v>
      </c>
      <c r="H853" s="43" t="s">
        <v>2800</v>
      </c>
      <c r="I853" s="43" t="s">
        <v>2713</v>
      </c>
      <c r="J853" s="44"/>
      <c r="K853" s="48" t="s">
        <v>3345</v>
      </c>
      <c r="L853" s="52" t="s">
        <v>157</v>
      </c>
      <c r="M853" s="56">
        <v>0</v>
      </c>
      <c r="N853" s="45">
        <v>44255</v>
      </c>
    </row>
    <row r="854" spans="1:21" ht="15" customHeight="1" x14ac:dyDescent="0.2">
      <c r="A854" s="59" t="s">
        <v>3270</v>
      </c>
      <c r="B854" s="42" t="s">
        <v>3239</v>
      </c>
      <c r="C854" s="42" t="s">
        <v>3285</v>
      </c>
      <c r="D854" s="40">
        <v>44048</v>
      </c>
      <c r="E854" s="41">
        <v>19.899999999999999</v>
      </c>
      <c r="F854" s="46">
        <v>19.899999999999999</v>
      </c>
      <c r="G854" s="44" t="s">
        <v>55</v>
      </c>
      <c r="H854" s="43" t="s">
        <v>3145</v>
      </c>
      <c r="I854" s="43" t="s">
        <v>2713</v>
      </c>
      <c r="J854" s="44" t="s">
        <v>393</v>
      </c>
      <c r="K854" s="48" t="s">
        <v>3434</v>
      </c>
      <c r="L854" s="52" t="s">
        <v>34</v>
      </c>
      <c r="M854" s="56">
        <v>0</v>
      </c>
      <c r="N854" s="45">
        <v>44255</v>
      </c>
    </row>
    <row r="855" spans="1:21" ht="15" customHeight="1" x14ac:dyDescent="0.2">
      <c r="A855" s="59" t="s">
        <v>3271</v>
      </c>
      <c r="B855" s="42" t="s">
        <v>3239</v>
      </c>
      <c r="C855" s="42" t="s">
        <v>3286</v>
      </c>
      <c r="D855" s="40">
        <v>44049</v>
      </c>
      <c r="E855" s="41">
        <v>19.899999999999999</v>
      </c>
      <c r="F855" s="46">
        <v>19.899999999999999</v>
      </c>
      <c r="G855" s="44" t="s">
        <v>55</v>
      </c>
      <c r="H855" s="43" t="s">
        <v>2718</v>
      </c>
      <c r="I855" s="43" t="s">
        <v>2713</v>
      </c>
      <c r="J855" s="44" t="s">
        <v>530</v>
      </c>
      <c r="K855" s="48" t="s">
        <v>3313</v>
      </c>
      <c r="L855" s="52" t="s">
        <v>41</v>
      </c>
      <c r="M855" s="56">
        <v>0</v>
      </c>
      <c r="N855" s="45">
        <v>44255</v>
      </c>
    </row>
    <row r="856" spans="1:21" ht="15" customHeight="1" x14ac:dyDescent="0.2">
      <c r="A856" s="59" t="s">
        <v>3272</v>
      </c>
      <c r="B856" s="42" t="s">
        <v>3239</v>
      </c>
      <c r="C856" s="42" t="s">
        <v>3287</v>
      </c>
      <c r="D856" s="40">
        <v>44049</v>
      </c>
      <c r="E856" s="41">
        <v>19.899999999999999</v>
      </c>
      <c r="F856" s="46">
        <v>19.899999999999999</v>
      </c>
      <c r="G856" s="44" t="s">
        <v>55</v>
      </c>
      <c r="H856" s="43" t="s">
        <v>401</v>
      </c>
      <c r="I856" s="43" t="s">
        <v>2713</v>
      </c>
      <c r="J856" s="44" t="s">
        <v>393</v>
      </c>
      <c r="K856" s="48" t="s">
        <v>3344</v>
      </c>
      <c r="L856" s="52" t="s">
        <v>157</v>
      </c>
      <c r="M856" s="56">
        <v>0</v>
      </c>
      <c r="N856" s="45">
        <v>44255</v>
      </c>
    </row>
    <row r="857" spans="1:21" ht="15" customHeight="1" x14ac:dyDescent="0.2">
      <c r="A857" s="59" t="s">
        <v>3273</v>
      </c>
      <c r="B857" s="42" t="s">
        <v>3259</v>
      </c>
      <c r="C857" s="42" t="s">
        <v>3288</v>
      </c>
      <c r="D857" s="40">
        <v>44050</v>
      </c>
      <c r="E857" s="41">
        <v>19.8</v>
      </c>
      <c r="F857" s="46">
        <v>19.8</v>
      </c>
      <c r="G857" s="44" t="s">
        <v>55</v>
      </c>
      <c r="H857" s="43" t="s">
        <v>2735</v>
      </c>
      <c r="I857" s="43" t="s">
        <v>2713</v>
      </c>
      <c r="J857" s="44" t="s">
        <v>420</v>
      </c>
      <c r="K857" s="48" t="s">
        <v>3343</v>
      </c>
      <c r="L857" s="52" t="s">
        <v>34</v>
      </c>
      <c r="M857" s="56">
        <v>0</v>
      </c>
      <c r="N857" s="45">
        <v>44530</v>
      </c>
    </row>
    <row r="858" spans="1:21" ht="15" customHeight="1" x14ac:dyDescent="0.2">
      <c r="A858" s="59" t="s">
        <v>3274</v>
      </c>
      <c r="B858" s="42" t="s">
        <v>3289</v>
      </c>
      <c r="C858" s="42" t="s">
        <v>3290</v>
      </c>
      <c r="D858" s="40">
        <v>44054</v>
      </c>
      <c r="E858" s="41">
        <v>80</v>
      </c>
      <c r="F858" s="46">
        <v>80</v>
      </c>
      <c r="G858" s="44" t="s">
        <v>55</v>
      </c>
      <c r="H858" s="43" t="s">
        <v>2740</v>
      </c>
      <c r="I858" s="43" t="s">
        <v>2713</v>
      </c>
      <c r="J858" s="44" t="s">
        <v>818</v>
      </c>
      <c r="K858" s="48" t="s">
        <v>3374</v>
      </c>
      <c r="L858" s="52" t="s">
        <v>157</v>
      </c>
      <c r="M858" s="56">
        <v>0</v>
      </c>
      <c r="N858" s="45">
        <v>44135</v>
      </c>
    </row>
    <row r="859" spans="1:21" ht="15" customHeight="1" x14ac:dyDescent="0.2">
      <c r="A859" s="59" t="s">
        <v>3275</v>
      </c>
      <c r="B859" s="42" t="s">
        <v>3291</v>
      </c>
      <c r="C859" s="42" t="s">
        <v>3292</v>
      </c>
      <c r="D859" s="40">
        <v>44054</v>
      </c>
      <c r="E859" s="41">
        <v>46</v>
      </c>
      <c r="F859" s="46">
        <v>46</v>
      </c>
      <c r="G859" s="44" t="s">
        <v>55</v>
      </c>
      <c r="H859" s="43" t="s">
        <v>2800</v>
      </c>
      <c r="I859" s="43" t="s">
        <v>2713</v>
      </c>
      <c r="J859" s="44" t="s">
        <v>530</v>
      </c>
      <c r="K859" s="48" t="s">
        <v>3312</v>
      </c>
      <c r="L859" s="52" t="s">
        <v>157</v>
      </c>
      <c r="M859" s="44">
        <v>0</v>
      </c>
      <c r="N859" s="45">
        <v>44104</v>
      </c>
    </row>
    <row r="860" spans="1:21" ht="15" customHeight="1" x14ac:dyDescent="0.2">
      <c r="A860" s="59" t="s">
        <v>3276</v>
      </c>
      <c r="B860" s="42" t="s">
        <v>3293</v>
      </c>
      <c r="C860" s="42" t="s">
        <v>3294</v>
      </c>
      <c r="D860" s="40">
        <v>44071</v>
      </c>
      <c r="E860" s="41">
        <v>15</v>
      </c>
      <c r="F860" s="46">
        <v>15</v>
      </c>
      <c r="G860" s="44" t="s">
        <v>55</v>
      </c>
      <c r="H860" s="43" t="s">
        <v>2717</v>
      </c>
      <c r="I860" s="43" t="s">
        <v>2713</v>
      </c>
      <c r="J860" s="44" t="s">
        <v>539</v>
      </c>
      <c r="K860" s="48" t="s">
        <v>3375</v>
      </c>
      <c r="L860" s="52" t="s">
        <v>1162</v>
      </c>
      <c r="M860" s="56">
        <v>0</v>
      </c>
      <c r="N860" s="45">
        <v>44135</v>
      </c>
    </row>
    <row r="861" spans="1:21" ht="15" customHeight="1" x14ac:dyDescent="0.2">
      <c r="A861" s="59" t="s">
        <v>5282</v>
      </c>
      <c r="B861" s="60" t="s">
        <v>3295</v>
      </c>
      <c r="C861" s="60" t="s">
        <v>3296</v>
      </c>
      <c r="D861" s="40">
        <v>44057</v>
      </c>
      <c r="E861" s="61">
        <v>110</v>
      </c>
      <c r="F861" s="62">
        <v>110</v>
      </c>
      <c r="G861" s="63" t="s">
        <v>55</v>
      </c>
      <c r="H861" s="64" t="s">
        <v>2740</v>
      </c>
      <c r="I861" s="64" t="s">
        <v>2713</v>
      </c>
      <c r="J861" s="63" t="s">
        <v>530</v>
      </c>
      <c r="K861" s="64" t="s">
        <v>4892</v>
      </c>
      <c r="L861" s="63" t="s">
        <v>157</v>
      </c>
      <c r="M861" s="63" t="s">
        <v>5781</v>
      </c>
      <c r="N861" s="65">
        <v>45046</v>
      </c>
      <c r="O861"/>
      <c r="P861"/>
      <c r="Q861"/>
      <c r="R861"/>
      <c r="S861"/>
      <c r="T861"/>
      <c r="U861"/>
    </row>
    <row r="862" spans="1:21" ht="15" customHeight="1" x14ac:dyDescent="0.2">
      <c r="A862" s="59" t="s">
        <v>3277</v>
      </c>
      <c r="B862" s="42" t="s">
        <v>1273</v>
      </c>
      <c r="C862" s="42" t="s">
        <v>1227</v>
      </c>
      <c r="D862" s="40">
        <v>44061</v>
      </c>
      <c r="E862" s="41">
        <v>207</v>
      </c>
      <c r="F862" s="46">
        <v>207</v>
      </c>
      <c r="G862" s="44" t="s">
        <v>55</v>
      </c>
      <c r="H862" s="43" t="s">
        <v>3145</v>
      </c>
      <c r="I862" s="43" t="s">
        <v>2713</v>
      </c>
      <c r="J862" s="44" t="s">
        <v>393</v>
      </c>
      <c r="K862" s="48" t="s">
        <v>3297</v>
      </c>
      <c r="L862" s="52" t="s">
        <v>34</v>
      </c>
      <c r="M862" s="56">
        <v>0</v>
      </c>
      <c r="N862" s="45">
        <v>44227</v>
      </c>
    </row>
    <row r="863" spans="1:21" ht="15" customHeight="1" x14ac:dyDescent="0.2">
      <c r="A863" s="59" t="s">
        <v>5896</v>
      </c>
      <c r="B863" s="60" t="s">
        <v>3301</v>
      </c>
      <c r="C863" s="60" t="s">
        <v>3302</v>
      </c>
      <c r="D863" s="40">
        <v>44070</v>
      </c>
      <c r="E863" s="61" t="s">
        <v>5816</v>
      </c>
      <c r="F863" s="62" t="s">
        <v>5816</v>
      </c>
      <c r="G863" s="63" t="s">
        <v>615</v>
      </c>
      <c r="H863" s="64" t="s">
        <v>2716</v>
      </c>
      <c r="I863" s="64" t="s">
        <v>2713</v>
      </c>
      <c r="J863" s="63" t="s">
        <v>532</v>
      </c>
      <c r="K863" s="64" t="s">
        <v>4145</v>
      </c>
      <c r="L863" s="63" t="s">
        <v>87</v>
      </c>
      <c r="M863" s="63" t="s">
        <v>5781</v>
      </c>
      <c r="N863" s="65">
        <v>45443</v>
      </c>
      <c r="O863"/>
      <c r="P863"/>
      <c r="Q863"/>
      <c r="R863"/>
      <c r="S863"/>
      <c r="T863"/>
    </row>
    <row r="864" spans="1:21" ht="15" customHeight="1" x14ac:dyDescent="0.2">
      <c r="A864" s="59" t="s">
        <v>3278</v>
      </c>
      <c r="B864" s="42" t="s">
        <v>3303</v>
      </c>
      <c r="C864" s="42" t="s">
        <v>3304</v>
      </c>
      <c r="D864" s="40">
        <v>44070</v>
      </c>
      <c r="E864" s="41">
        <v>19.600000000000001</v>
      </c>
      <c r="F864" s="46">
        <v>19.600000000000001</v>
      </c>
      <c r="G864" s="44" t="s">
        <v>55</v>
      </c>
      <c r="H864" s="43" t="s">
        <v>2748</v>
      </c>
      <c r="I864" s="43" t="s">
        <v>2713</v>
      </c>
      <c r="J864" s="44" t="s">
        <v>393</v>
      </c>
      <c r="K864" s="48" t="s">
        <v>3305</v>
      </c>
      <c r="L864" s="52" t="s">
        <v>34</v>
      </c>
      <c r="M864" s="56">
        <v>0</v>
      </c>
      <c r="N864" s="45">
        <v>44255</v>
      </c>
    </row>
    <row r="865" spans="1:21" ht="15" customHeight="1" x14ac:dyDescent="0.2">
      <c r="A865" s="59" t="s">
        <v>3279</v>
      </c>
      <c r="B865" s="42" t="s">
        <v>3216</v>
      </c>
      <c r="C865" s="42" t="s">
        <v>3306</v>
      </c>
      <c r="D865" s="40">
        <v>44071</v>
      </c>
      <c r="E865" s="41">
        <v>300</v>
      </c>
      <c r="F865" s="46">
        <v>300</v>
      </c>
      <c r="G865" s="44" t="s">
        <v>615</v>
      </c>
      <c r="H865" s="43" t="s">
        <v>2712</v>
      </c>
      <c r="I865" s="43" t="s">
        <v>2713</v>
      </c>
      <c r="J865" s="44" t="s">
        <v>533</v>
      </c>
      <c r="K865" s="48" t="s">
        <v>3677</v>
      </c>
      <c r="L865" s="52" t="s">
        <v>403</v>
      </c>
      <c r="M865" s="56">
        <v>0</v>
      </c>
      <c r="N865" s="45">
        <v>44773</v>
      </c>
    </row>
    <row r="866" spans="1:21" ht="15" customHeight="1" x14ac:dyDescent="0.2">
      <c r="A866" s="59" t="s">
        <v>5897</v>
      </c>
      <c r="B866" s="60" t="s">
        <v>3216</v>
      </c>
      <c r="C866" s="60" t="s">
        <v>3307</v>
      </c>
      <c r="D866" s="40">
        <v>44071</v>
      </c>
      <c r="E866" s="61" t="s">
        <v>5812</v>
      </c>
      <c r="F866" s="62" t="s">
        <v>5812</v>
      </c>
      <c r="G866" s="63" t="s">
        <v>615</v>
      </c>
      <c r="H866" s="64" t="s">
        <v>2746</v>
      </c>
      <c r="I866" s="64" t="s">
        <v>2713</v>
      </c>
      <c r="J866" s="63" t="s">
        <v>532</v>
      </c>
      <c r="K866" s="64" t="s">
        <v>4146</v>
      </c>
      <c r="L866" s="63" t="s">
        <v>87</v>
      </c>
      <c r="M866" s="63" t="s">
        <v>5781</v>
      </c>
      <c r="N866" s="65">
        <v>45443</v>
      </c>
      <c r="O866"/>
      <c r="P866"/>
      <c r="Q866"/>
      <c r="R866"/>
      <c r="S866"/>
      <c r="T866"/>
    </row>
    <row r="867" spans="1:21" ht="15" customHeight="1" x14ac:dyDescent="0.2">
      <c r="A867" s="59" t="s">
        <v>5898</v>
      </c>
      <c r="B867" s="60" t="s">
        <v>3216</v>
      </c>
      <c r="C867" s="60" t="s">
        <v>3308</v>
      </c>
      <c r="D867" s="40">
        <v>44071</v>
      </c>
      <c r="E867" s="61" t="s">
        <v>5804</v>
      </c>
      <c r="F867" s="62" t="s">
        <v>5804</v>
      </c>
      <c r="G867" s="63" t="s">
        <v>615</v>
      </c>
      <c r="H867" s="64" t="s">
        <v>2746</v>
      </c>
      <c r="I867" s="64" t="s">
        <v>2713</v>
      </c>
      <c r="J867" s="63" t="s">
        <v>532</v>
      </c>
      <c r="K867" s="64" t="s">
        <v>4147</v>
      </c>
      <c r="L867" s="63" t="s">
        <v>87</v>
      </c>
      <c r="M867" s="63" t="s">
        <v>5781</v>
      </c>
      <c r="N867" s="65">
        <v>45443</v>
      </c>
      <c r="O867"/>
      <c r="P867"/>
      <c r="Q867"/>
      <c r="R867"/>
      <c r="S867"/>
      <c r="T867"/>
      <c r="U867"/>
    </row>
    <row r="868" spans="1:21" ht="15" customHeight="1" x14ac:dyDescent="0.2">
      <c r="A868" s="59" t="s">
        <v>5899</v>
      </c>
      <c r="B868" s="60" t="s">
        <v>3216</v>
      </c>
      <c r="C868" s="60" t="s">
        <v>3309</v>
      </c>
      <c r="D868" s="40">
        <v>44071</v>
      </c>
      <c r="E868" s="61" t="s">
        <v>5804</v>
      </c>
      <c r="F868" s="62" t="s">
        <v>5804</v>
      </c>
      <c r="G868" s="63" t="s">
        <v>615</v>
      </c>
      <c r="H868" s="64" t="s">
        <v>2811</v>
      </c>
      <c r="I868" s="64" t="s">
        <v>2713</v>
      </c>
      <c r="J868" s="63" t="s">
        <v>318</v>
      </c>
      <c r="K868" s="64" t="s">
        <v>4893</v>
      </c>
      <c r="L868" s="63" t="s">
        <v>403</v>
      </c>
      <c r="M868" s="63" t="s">
        <v>5781</v>
      </c>
      <c r="N868" s="65">
        <v>45443</v>
      </c>
      <c r="O868"/>
      <c r="P868"/>
      <c r="Q868"/>
      <c r="R868"/>
      <c r="S868"/>
      <c r="T868"/>
    </row>
    <row r="869" spans="1:21" ht="15" customHeight="1" x14ac:dyDescent="0.2">
      <c r="A869" s="59" t="s">
        <v>3280</v>
      </c>
      <c r="B869" s="60" t="s">
        <v>4015</v>
      </c>
      <c r="C869" s="60" t="s">
        <v>3987</v>
      </c>
      <c r="D869" s="40" t="s">
        <v>4115</v>
      </c>
      <c r="E869" s="61">
        <v>1200</v>
      </c>
      <c r="F869" s="62">
        <v>1200</v>
      </c>
      <c r="G869" s="63" t="s">
        <v>124</v>
      </c>
      <c r="H869" s="64" t="s">
        <v>4148</v>
      </c>
      <c r="I869" s="64" t="s">
        <v>2713</v>
      </c>
      <c r="J869" s="63" t="s">
        <v>532</v>
      </c>
      <c r="K869" s="64" t="s">
        <v>4521</v>
      </c>
      <c r="L869" s="63" t="s">
        <v>41</v>
      </c>
      <c r="M869" s="63">
        <v>0</v>
      </c>
      <c r="N869" s="65">
        <v>45046</v>
      </c>
      <c r="O869"/>
      <c r="P869"/>
      <c r="Q869"/>
      <c r="R869"/>
      <c r="S869"/>
      <c r="T869"/>
    </row>
    <row r="870" spans="1:21" customFormat="1" ht="14.45" customHeight="1" x14ac:dyDescent="0.2">
      <c r="A870" s="59" t="s">
        <v>5285</v>
      </c>
      <c r="B870" s="60" t="s">
        <v>3322</v>
      </c>
      <c r="C870" s="60" t="s">
        <v>3618</v>
      </c>
      <c r="D870" s="40">
        <v>44075</v>
      </c>
      <c r="E870" s="61">
        <v>200</v>
      </c>
      <c r="F870" s="62">
        <v>200</v>
      </c>
      <c r="G870" s="63" t="s">
        <v>3505</v>
      </c>
      <c r="H870" s="64" t="s">
        <v>2766</v>
      </c>
      <c r="I870" s="64" t="s">
        <v>2713</v>
      </c>
      <c r="J870" s="63" t="s">
        <v>393</v>
      </c>
      <c r="K870" s="64" t="s">
        <v>4150</v>
      </c>
      <c r="L870" s="63" t="s">
        <v>34</v>
      </c>
      <c r="M870" s="63" t="s">
        <v>5781</v>
      </c>
      <c r="N870" s="65">
        <v>45596</v>
      </c>
    </row>
    <row r="871" spans="1:21" customFormat="1" ht="14.45" customHeight="1" x14ac:dyDescent="0.2">
      <c r="A871" s="59" t="s">
        <v>5286</v>
      </c>
      <c r="B871" s="60" t="s">
        <v>6746</v>
      </c>
      <c r="C871" s="60" t="s">
        <v>3334</v>
      </c>
      <c r="D871" s="40">
        <v>44078</v>
      </c>
      <c r="E871" s="61">
        <v>200</v>
      </c>
      <c r="F871" s="62">
        <v>200</v>
      </c>
      <c r="G871" s="63" t="s">
        <v>55</v>
      </c>
      <c r="H871" s="64" t="s">
        <v>2736</v>
      </c>
      <c r="I871" s="64" t="s">
        <v>2713</v>
      </c>
      <c r="J871" s="63" t="s">
        <v>471</v>
      </c>
      <c r="K871" s="65" t="s">
        <v>4808</v>
      </c>
      <c r="L871" s="63" t="s">
        <v>41</v>
      </c>
      <c r="M871" s="63">
        <v>0</v>
      </c>
      <c r="N871" s="65">
        <v>46203</v>
      </c>
    </row>
    <row r="872" spans="1:21" ht="15" customHeight="1" x14ac:dyDescent="0.2">
      <c r="A872" s="59" t="s">
        <v>5287</v>
      </c>
      <c r="B872" s="60" t="s">
        <v>3248</v>
      </c>
      <c r="C872" s="60" t="s">
        <v>3335</v>
      </c>
      <c r="D872" s="40">
        <v>44078</v>
      </c>
      <c r="E872" s="61">
        <v>20</v>
      </c>
      <c r="F872" s="62">
        <v>20</v>
      </c>
      <c r="G872" s="63" t="s">
        <v>55</v>
      </c>
      <c r="H872" s="64" t="s">
        <v>2788</v>
      </c>
      <c r="I872" s="64" t="s">
        <v>2713</v>
      </c>
      <c r="J872" s="63" t="s">
        <v>530</v>
      </c>
      <c r="K872" s="64" t="s">
        <v>4894</v>
      </c>
      <c r="L872" s="63" t="s">
        <v>157</v>
      </c>
      <c r="M872" s="63">
        <v>0</v>
      </c>
      <c r="N872" s="65">
        <v>45382</v>
      </c>
      <c r="O872"/>
      <c r="P872"/>
      <c r="Q872"/>
      <c r="R872"/>
      <c r="S872"/>
      <c r="T872"/>
    </row>
    <row r="873" spans="1:21" ht="15" customHeight="1" x14ac:dyDescent="0.2">
      <c r="A873" s="59" t="s">
        <v>3315</v>
      </c>
      <c r="B873" s="42" t="s">
        <v>3324</v>
      </c>
      <c r="C873" s="42" t="s">
        <v>3325</v>
      </c>
      <c r="D873" s="40">
        <v>44082</v>
      </c>
      <c r="E873" s="41">
        <v>20</v>
      </c>
      <c r="F873" s="46">
        <v>20</v>
      </c>
      <c r="G873" s="44" t="s">
        <v>55</v>
      </c>
      <c r="H873" s="43" t="s">
        <v>2798</v>
      </c>
      <c r="I873" s="43" t="s">
        <v>2713</v>
      </c>
      <c r="J873" s="44" t="s">
        <v>471</v>
      </c>
      <c r="K873" s="48" t="s">
        <v>3349</v>
      </c>
      <c r="L873" s="52" t="s">
        <v>157</v>
      </c>
      <c r="M873" s="56">
        <v>0</v>
      </c>
      <c r="N873" s="45">
        <v>44196</v>
      </c>
    </row>
    <row r="874" spans="1:21" customFormat="1" ht="14.45" customHeight="1" x14ac:dyDescent="0.2">
      <c r="A874" s="59" t="s">
        <v>5288</v>
      </c>
      <c r="B874" s="60" t="s">
        <v>3248</v>
      </c>
      <c r="C874" s="60" t="s">
        <v>3336</v>
      </c>
      <c r="D874" s="40">
        <v>44078</v>
      </c>
      <c r="E874" s="61">
        <v>20</v>
      </c>
      <c r="F874" s="62">
        <v>20</v>
      </c>
      <c r="G874" s="63" t="s">
        <v>55</v>
      </c>
      <c r="H874" s="64" t="s">
        <v>2731</v>
      </c>
      <c r="I874" s="64" t="s">
        <v>2713</v>
      </c>
      <c r="J874" s="63" t="s">
        <v>540</v>
      </c>
      <c r="K874" s="64" t="s">
        <v>4895</v>
      </c>
      <c r="L874" s="63" t="s">
        <v>191</v>
      </c>
      <c r="M874" s="63" t="s">
        <v>5781</v>
      </c>
      <c r="N874" s="65">
        <v>45626</v>
      </c>
    </row>
    <row r="875" spans="1:21" ht="15" customHeight="1" x14ac:dyDescent="0.2">
      <c r="A875" s="59" t="s">
        <v>3316</v>
      </c>
      <c r="B875" s="42" t="s">
        <v>3326</v>
      </c>
      <c r="C875" s="42" t="s">
        <v>5984</v>
      </c>
      <c r="D875" s="40">
        <v>44084</v>
      </c>
      <c r="E875" s="41">
        <v>1300</v>
      </c>
      <c r="F875" s="46">
        <v>1300</v>
      </c>
      <c r="G875" s="44" t="s">
        <v>253</v>
      </c>
      <c r="H875" s="43" t="s">
        <v>2788</v>
      </c>
      <c r="I875" s="43" t="s">
        <v>2713</v>
      </c>
      <c r="J875" s="44" t="s">
        <v>3461</v>
      </c>
      <c r="K875" s="48" t="s">
        <v>3340</v>
      </c>
      <c r="L875" s="52" t="s">
        <v>3569</v>
      </c>
      <c r="M875" s="56">
        <v>0</v>
      </c>
      <c r="N875" s="45">
        <v>44438</v>
      </c>
    </row>
    <row r="876" spans="1:21" ht="15" customHeight="1" x14ac:dyDescent="0.2">
      <c r="A876" s="59" t="s">
        <v>3317</v>
      </c>
      <c r="B876" s="42" t="s">
        <v>1423</v>
      </c>
      <c r="C876" s="42" t="s">
        <v>3337</v>
      </c>
      <c r="D876" s="40">
        <v>44088</v>
      </c>
      <c r="E876" s="41">
        <v>20</v>
      </c>
      <c r="F876" s="46">
        <v>20</v>
      </c>
      <c r="G876" s="44" t="s">
        <v>55</v>
      </c>
      <c r="H876" s="43" t="s">
        <v>2800</v>
      </c>
      <c r="I876" s="43" t="s">
        <v>2713</v>
      </c>
      <c r="J876" s="44" t="s">
        <v>420</v>
      </c>
      <c r="K876" s="48" t="s">
        <v>3327</v>
      </c>
      <c r="L876" s="52" t="s">
        <v>157</v>
      </c>
      <c r="M876" s="56">
        <v>0</v>
      </c>
      <c r="N876" s="55" t="s">
        <v>3378</v>
      </c>
    </row>
    <row r="877" spans="1:21" ht="15" customHeight="1" x14ac:dyDescent="0.2">
      <c r="A877" s="59" t="s">
        <v>3318</v>
      </c>
      <c r="B877" s="42" t="s">
        <v>3328</v>
      </c>
      <c r="C877" s="42" t="s">
        <v>3329</v>
      </c>
      <c r="D877" s="40">
        <v>44088</v>
      </c>
      <c r="E877" s="41">
        <v>20</v>
      </c>
      <c r="F877" s="46">
        <v>20</v>
      </c>
      <c r="G877" s="44" t="s">
        <v>55</v>
      </c>
      <c r="H877" s="43" t="s">
        <v>2728</v>
      </c>
      <c r="I877" s="43" t="s">
        <v>2713</v>
      </c>
      <c r="J877" s="44" t="s">
        <v>531</v>
      </c>
      <c r="K877" s="48" t="s">
        <v>3376</v>
      </c>
      <c r="L877" s="52" t="s">
        <v>157</v>
      </c>
      <c r="M877" s="56">
        <v>0</v>
      </c>
      <c r="N877" s="45">
        <v>44135</v>
      </c>
      <c r="U877"/>
    </row>
    <row r="878" spans="1:21" customFormat="1" ht="14.45" customHeight="1" x14ac:dyDescent="0.2">
      <c r="A878" s="59" t="s">
        <v>5289</v>
      </c>
      <c r="B878" s="60" t="s">
        <v>3328</v>
      </c>
      <c r="C878" s="60" t="s">
        <v>4952</v>
      </c>
      <c r="D878" s="40">
        <v>44088</v>
      </c>
      <c r="E878" s="61">
        <v>100</v>
      </c>
      <c r="F878" s="62">
        <v>100</v>
      </c>
      <c r="G878" s="63" t="s">
        <v>3505</v>
      </c>
      <c r="H878" s="64" t="s">
        <v>2838</v>
      </c>
      <c r="I878" s="64" t="s">
        <v>2713</v>
      </c>
      <c r="J878" s="63" t="s">
        <v>393</v>
      </c>
      <c r="K878" s="64" t="s">
        <v>4151</v>
      </c>
      <c r="L878" s="63" t="s">
        <v>34</v>
      </c>
      <c r="M878" s="63" t="s">
        <v>5781</v>
      </c>
      <c r="N878" s="65">
        <v>45688</v>
      </c>
    </row>
    <row r="879" spans="1:21" ht="15" customHeight="1" x14ac:dyDescent="0.2">
      <c r="A879" s="59" t="s">
        <v>3319</v>
      </c>
      <c r="B879" s="42" t="s">
        <v>3216</v>
      </c>
      <c r="C879" s="42" t="s">
        <v>3330</v>
      </c>
      <c r="D879" s="40">
        <v>44090</v>
      </c>
      <c r="E879" s="41">
        <v>125</v>
      </c>
      <c r="F879" s="46">
        <v>125</v>
      </c>
      <c r="G879" s="44" t="s">
        <v>615</v>
      </c>
      <c r="H879" s="43" t="s">
        <v>2746</v>
      </c>
      <c r="I879" s="43" t="s">
        <v>2713</v>
      </c>
      <c r="J879" s="44" t="s">
        <v>532</v>
      </c>
      <c r="K879" s="48" t="s">
        <v>265</v>
      </c>
      <c r="L879" s="52" t="s">
        <v>87</v>
      </c>
      <c r="M879" s="56">
        <v>0</v>
      </c>
      <c r="N879" s="45">
        <v>44286</v>
      </c>
    </row>
    <row r="880" spans="1:21" ht="15" customHeight="1" x14ac:dyDescent="0.2">
      <c r="A880" s="59" t="s">
        <v>5290</v>
      </c>
      <c r="B880" s="60" t="s">
        <v>1423</v>
      </c>
      <c r="C880" s="60" t="s">
        <v>3338</v>
      </c>
      <c r="D880" s="40">
        <v>44090</v>
      </c>
      <c r="E880" s="61">
        <v>20</v>
      </c>
      <c r="F880" s="62">
        <v>20</v>
      </c>
      <c r="G880" s="63" t="s">
        <v>55</v>
      </c>
      <c r="H880" s="64" t="s">
        <v>3331</v>
      </c>
      <c r="I880" s="64" t="s">
        <v>2713</v>
      </c>
      <c r="J880" s="63" t="s">
        <v>531</v>
      </c>
      <c r="K880" s="64" t="s">
        <v>4896</v>
      </c>
      <c r="L880" s="63" t="s">
        <v>157</v>
      </c>
      <c r="M880" s="63">
        <v>0</v>
      </c>
      <c r="N880" s="65">
        <v>45565</v>
      </c>
      <c r="O880"/>
      <c r="P880"/>
      <c r="Q880"/>
      <c r="R880"/>
      <c r="S880"/>
      <c r="T880"/>
      <c r="U880"/>
    </row>
    <row r="881" spans="1:21" ht="15" customHeight="1" x14ac:dyDescent="0.2">
      <c r="A881" s="59" t="s">
        <v>3320</v>
      </c>
      <c r="B881" s="42" t="s">
        <v>3332</v>
      </c>
      <c r="C881" s="42" t="s">
        <v>3339</v>
      </c>
      <c r="D881" s="40">
        <v>44091</v>
      </c>
      <c r="E881" s="41">
        <v>20</v>
      </c>
      <c r="F881" s="46">
        <v>20</v>
      </c>
      <c r="G881" s="44" t="s">
        <v>55</v>
      </c>
      <c r="H881" s="43" t="s">
        <v>2729</v>
      </c>
      <c r="I881" s="43" t="s">
        <v>2713</v>
      </c>
      <c r="J881" s="44" t="s">
        <v>530</v>
      </c>
      <c r="K881" s="48" t="s">
        <v>3342</v>
      </c>
      <c r="L881" s="52" t="s">
        <v>34</v>
      </c>
      <c r="M881" s="56">
        <v>0</v>
      </c>
      <c r="N881" s="45">
        <v>44135</v>
      </c>
    </row>
    <row r="882" spans="1:21" ht="15" customHeight="1" x14ac:dyDescent="0.2">
      <c r="A882" s="59" t="s">
        <v>3321</v>
      </c>
      <c r="B882" s="42" t="s">
        <v>1264</v>
      </c>
      <c r="C882" s="42" t="s">
        <v>3617</v>
      </c>
      <c r="D882" s="40">
        <v>44102</v>
      </c>
      <c r="E882" s="41">
        <v>20</v>
      </c>
      <c r="F882" s="46">
        <v>20</v>
      </c>
      <c r="G882" s="44" t="s">
        <v>55</v>
      </c>
      <c r="H882" s="43" t="s">
        <v>2796</v>
      </c>
      <c r="I882" s="43" t="s">
        <v>2713</v>
      </c>
      <c r="J882" s="44" t="s">
        <v>471</v>
      </c>
      <c r="K882" s="48" t="s">
        <v>3612</v>
      </c>
      <c r="L882" s="52" t="s">
        <v>4131</v>
      </c>
      <c r="M882" s="44" t="s">
        <v>5781</v>
      </c>
      <c r="N882" s="45">
        <v>45473</v>
      </c>
    </row>
    <row r="883" spans="1:21" ht="15" customHeight="1" x14ac:dyDescent="0.2">
      <c r="A883" s="59" t="s">
        <v>3350</v>
      </c>
      <c r="B883" s="42" t="s">
        <v>1810</v>
      </c>
      <c r="C883" s="42" t="s">
        <v>3356</v>
      </c>
      <c r="D883" s="40">
        <v>44105</v>
      </c>
      <c r="E883" s="41">
        <v>20</v>
      </c>
      <c r="F883" s="46">
        <v>20</v>
      </c>
      <c r="G883" s="44" t="s">
        <v>615</v>
      </c>
      <c r="H883" s="43" t="s">
        <v>3159</v>
      </c>
      <c r="I883" s="43" t="s">
        <v>2713</v>
      </c>
      <c r="J883" s="44" t="s">
        <v>471</v>
      </c>
      <c r="K883" s="48" t="s">
        <v>3366</v>
      </c>
      <c r="L883" s="52" t="s">
        <v>157</v>
      </c>
      <c r="M883" s="56">
        <v>0</v>
      </c>
      <c r="N883" s="45">
        <v>44316</v>
      </c>
      <c r="O883"/>
      <c r="P883"/>
      <c r="Q883"/>
      <c r="R883"/>
      <c r="S883"/>
      <c r="T883"/>
    </row>
    <row r="884" spans="1:21" ht="15" customHeight="1" x14ac:dyDescent="0.2">
      <c r="A884" s="59" t="s">
        <v>5291</v>
      </c>
      <c r="B884" s="60" t="s">
        <v>3357</v>
      </c>
      <c r="C884" s="60" t="s">
        <v>3358</v>
      </c>
      <c r="D884" s="40">
        <v>44109</v>
      </c>
      <c r="E884" s="61" t="s">
        <v>5782</v>
      </c>
      <c r="F884" s="62" t="s">
        <v>5782</v>
      </c>
      <c r="G884" s="63" t="s">
        <v>5784</v>
      </c>
      <c r="H884" s="64" t="s">
        <v>2732</v>
      </c>
      <c r="I884" s="64" t="s">
        <v>2713</v>
      </c>
      <c r="J884" s="63" t="s">
        <v>393</v>
      </c>
      <c r="K884" s="64" t="s">
        <v>4897</v>
      </c>
      <c r="L884" s="63" t="s">
        <v>34</v>
      </c>
      <c r="M884" s="63" t="s">
        <v>5781</v>
      </c>
      <c r="N884" s="65">
        <v>45412</v>
      </c>
      <c r="O884"/>
      <c r="P884"/>
      <c r="Q884"/>
      <c r="R884"/>
      <c r="S884"/>
      <c r="T884"/>
    </row>
    <row r="885" spans="1:21" customFormat="1" ht="15" customHeight="1" x14ac:dyDescent="0.2">
      <c r="A885" s="59" t="s">
        <v>5292</v>
      </c>
      <c r="B885" s="60" t="s">
        <v>3359</v>
      </c>
      <c r="C885" s="60" t="s">
        <v>3360</v>
      </c>
      <c r="D885" s="40">
        <v>44110</v>
      </c>
      <c r="E885" s="61">
        <v>110</v>
      </c>
      <c r="F885" s="62">
        <v>110</v>
      </c>
      <c r="G885" s="63" t="s">
        <v>55</v>
      </c>
      <c r="H885" s="64" t="s">
        <v>2740</v>
      </c>
      <c r="I885" s="64" t="s">
        <v>2713</v>
      </c>
      <c r="J885" s="63" t="s">
        <v>530</v>
      </c>
      <c r="K885" s="64" t="s">
        <v>4152</v>
      </c>
      <c r="L885" s="63" t="s">
        <v>157</v>
      </c>
      <c r="M885" s="63">
        <v>0</v>
      </c>
      <c r="N885" s="65">
        <v>45565</v>
      </c>
    </row>
    <row r="886" spans="1:21" ht="15" customHeight="1" x14ac:dyDescent="0.2">
      <c r="A886" s="59" t="s">
        <v>3351</v>
      </c>
      <c r="B886" s="60" t="s">
        <v>1810</v>
      </c>
      <c r="C886" s="60" t="s">
        <v>3361</v>
      </c>
      <c r="D886" s="40">
        <v>44111</v>
      </c>
      <c r="E886" s="61">
        <v>20</v>
      </c>
      <c r="F886" s="62">
        <v>20</v>
      </c>
      <c r="G886" s="63" t="s">
        <v>615</v>
      </c>
      <c r="H886" s="64" t="s">
        <v>2758</v>
      </c>
      <c r="I886" s="64" t="s">
        <v>2713</v>
      </c>
      <c r="J886" s="63" t="s">
        <v>531</v>
      </c>
      <c r="K886" s="64" t="s">
        <v>4153</v>
      </c>
      <c r="L886" s="63" t="s">
        <v>157</v>
      </c>
      <c r="M886" s="63">
        <v>0</v>
      </c>
      <c r="N886" s="65">
        <v>44985</v>
      </c>
    </row>
    <row r="887" spans="1:21" ht="15" customHeight="1" x14ac:dyDescent="0.2">
      <c r="A887" s="59" t="s">
        <v>3352</v>
      </c>
      <c r="B887" s="42" t="s">
        <v>3328</v>
      </c>
      <c r="C887" s="42" t="s">
        <v>3362</v>
      </c>
      <c r="D887" s="40">
        <v>44120</v>
      </c>
      <c r="E887" s="41">
        <v>10</v>
      </c>
      <c r="F887" s="46">
        <v>10</v>
      </c>
      <c r="G887" s="44" t="s">
        <v>615</v>
      </c>
      <c r="H887" s="43" t="s">
        <v>2838</v>
      </c>
      <c r="I887" s="43" t="s">
        <v>2713</v>
      </c>
      <c r="J887" s="44" t="s">
        <v>393</v>
      </c>
      <c r="K887" s="48" t="s">
        <v>3367</v>
      </c>
      <c r="L887" s="52" t="s">
        <v>309</v>
      </c>
      <c r="M887" s="56">
        <v>0</v>
      </c>
      <c r="N887" s="45">
        <v>44255</v>
      </c>
    </row>
    <row r="888" spans="1:21" ht="15" customHeight="1" x14ac:dyDescent="0.2">
      <c r="A888" s="59" t="s">
        <v>3353</v>
      </c>
      <c r="B888" s="42" t="s">
        <v>3216</v>
      </c>
      <c r="C888" s="42" t="s">
        <v>3363</v>
      </c>
      <c r="D888" s="40">
        <v>44123</v>
      </c>
      <c r="E888" s="41">
        <v>300</v>
      </c>
      <c r="F888" s="46">
        <v>300</v>
      </c>
      <c r="G888" s="44" t="s">
        <v>615</v>
      </c>
      <c r="H888" s="43" t="s">
        <v>2811</v>
      </c>
      <c r="I888" s="43" t="s">
        <v>2713</v>
      </c>
      <c r="J888" s="44" t="s">
        <v>318</v>
      </c>
      <c r="K888" s="48" t="s">
        <v>264</v>
      </c>
      <c r="L888" s="52" t="s">
        <v>403</v>
      </c>
      <c r="M888" s="56">
        <v>0</v>
      </c>
      <c r="N888" s="55" t="s">
        <v>3971</v>
      </c>
    </row>
    <row r="889" spans="1:21" ht="15" customHeight="1" x14ac:dyDescent="0.2">
      <c r="A889" s="59" t="s">
        <v>5900</v>
      </c>
      <c r="B889" s="60" t="s">
        <v>2609</v>
      </c>
      <c r="C889" s="60" t="s">
        <v>3428</v>
      </c>
      <c r="D889" s="40">
        <v>44130</v>
      </c>
      <c r="E889" s="61" t="s">
        <v>5817</v>
      </c>
      <c r="F889" s="62" t="s">
        <v>5817</v>
      </c>
      <c r="G889" s="63" t="s">
        <v>55</v>
      </c>
      <c r="H889" s="64" t="s">
        <v>2738</v>
      </c>
      <c r="I889" s="64" t="s">
        <v>2713</v>
      </c>
      <c r="J889" s="63" t="s">
        <v>420</v>
      </c>
      <c r="K889" s="64" t="s">
        <v>3429</v>
      </c>
      <c r="L889" s="63" t="s">
        <v>4154</v>
      </c>
      <c r="M889" s="63" t="s">
        <v>5781</v>
      </c>
      <c r="N889" s="65">
        <v>45443</v>
      </c>
      <c r="O889"/>
      <c r="P889"/>
      <c r="Q889"/>
      <c r="R889"/>
      <c r="S889"/>
      <c r="T889"/>
    </row>
    <row r="890" spans="1:21" ht="15" customHeight="1" x14ac:dyDescent="0.2">
      <c r="A890" s="59" t="s">
        <v>5901</v>
      </c>
      <c r="B890" s="60" t="s">
        <v>2609</v>
      </c>
      <c r="C890" s="60" t="s">
        <v>3430</v>
      </c>
      <c r="D890" s="40">
        <v>44131</v>
      </c>
      <c r="E890" s="61" t="s">
        <v>5818</v>
      </c>
      <c r="F890" s="62" t="s">
        <v>5818</v>
      </c>
      <c r="G890" s="63" t="s">
        <v>124</v>
      </c>
      <c r="H890" s="64" t="s">
        <v>2740</v>
      </c>
      <c r="I890" s="64" t="s">
        <v>2713</v>
      </c>
      <c r="J890" s="63" t="s">
        <v>530</v>
      </c>
      <c r="K890" s="64" t="s">
        <v>4155</v>
      </c>
      <c r="L890" s="63" t="s">
        <v>157</v>
      </c>
      <c r="M890" s="63" t="s">
        <v>5781</v>
      </c>
      <c r="N890" s="65">
        <v>45443</v>
      </c>
      <c r="O890"/>
      <c r="P890"/>
      <c r="Q890"/>
      <c r="R890"/>
      <c r="S890"/>
      <c r="T890"/>
    </row>
    <row r="891" spans="1:21" ht="15" customHeight="1" x14ac:dyDescent="0.2">
      <c r="A891" s="59" t="s">
        <v>3354</v>
      </c>
      <c r="B891" s="42" t="s">
        <v>1810</v>
      </c>
      <c r="C891" s="42" t="s">
        <v>3364</v>
      </c>
      <c r="D891" s="40">
        <v>44131</v>
      </c>
      <c r="E891" s="41">
        <v>20</v>
      </c>
      <c r="F891" s="46">
        <v>20</v>
      </c>
      <c r="G891" s="44" t="s">
        <v>615</v>
      </c>
      <c r="H891" s="43" t="s">
        <v>2806</v>
      </c>
      <c r="I891" s="43" t="s">
        <v>2713</v>
      </c>
      <c r="J891" s="44" t="s">
        <v>539</v>
      </c>
      <c r="K891" s="48" t="s">
        <v>3368</v>
      </c>
      <c r="L891" s="52" t="s">
        <v>673</v>
      </c>
      <c r="M891" s="56">
        <v>0</v>
      </c>
      <c r="N891" s="55" t="s">
        <v>3378</v>
      </c>
    </row>
    <row r="892" spans="1:21" customFormat="1" ht="15" customHeight="1" x14ac:dyDescent="0.2">
      <c r="A892" s="59" t="s">
        <v>3355</v>
      </c>
      <c r="B892" s="42" t="s">
        <v>1810</v>
      </c>
      <c r="C892" s="42" t="s">
        <v>3365</v>
      </c>
      <c r="D892" s="40">
        <v>44134</v>
      </c>
      <c r="E892" s="41">
        <v>20</v>
      </c>
      <c r="F892" s="46">
        <v>20</v>
      </c>
      <c r="G892" s="44" t="s">
        <v>615</v>
      </c>
      <c r="H892" s="43" t="s">
        <v>2806</v>
      </c>
      <c r="I892" s="43" t="s">
        <v>2713</v>
      </c>
      <c r="J892" s="44" t="s">
        <v>539</v>
      </c>
      <c r="K892" s="48" t="s">
        <v>3369</v>
      </c>
      <c r="L892" s="52" t="s">
        <v>673</v>
      </c>
      <c r="M892" s="56">
        <v>0</v>
      </c>
      <c r="N892" s="55" t="s">
        <v>3378</v>
      </c>
      <c r="O892" s="4"/>
      <c r="P892" s="4"/>
      <c r="Q892" s="4"/>
      <c r="R892" s="4"/>
      <c r="S892" s="4"/>
      <c r="T892" s="4"/>
      <c r="U892" s="4"/>
    </row>
    <row r="893" spans="1:21" ht="15" customHeight="1" x14ac:dyDescent="0.2">
      <c r="A893" s="59" t="s">
        <v>3379</v>
      </c>
      <c r="B893" s="42" t="s">
        <v>3384</v>
      </c>
      <c r="C893" s="42" t="s">
        <v>3385</v>
      </c>
      <c r="D893" s="40">
        <v>44153</v>
      </c>
      <c r="E893" s="41">
        <v>10</v>
      </c>
      <c r="F893" s="46">
        <v>10</v>
      </c>
      <c r="G893" s="44" t="s">
        <v>615</v>
      </c>
      <c r="H893" s="43" t="s">
        <v>2716</v>
      </c>
      <c r="I893" s="43" t="s">
        <v>2713</v>
      </c>
      <c r="J893" s="44" t="s">
        <v>532</v>
      </c>
      <c r="K893" s="48" t="s">
        <v>3678</v>
      </c>
      <c r="L893" s="52" t="s">
        <v>87</v>
      </c>
      <c r="M893" s="44">
        <v>0</v>
      </c>
      <c r="N893" s="55" t="s">
        <v>4045</v>
      </c>
    </row>
    <row r="894" spans="1:21" ht="15" customHeight="1" x14ac:dyDescent="0.2">
      <c r="A894" s="59" t="s">
        <v>5902</v>
      </c>
      <c r="B894" s="60" t="s">
        <v>3245</v>
      </c>
      <c r="C894" s="60" t="s">
        <v>3387</v>
      </c>
      <c r="D894" s="40">
        <v>44154</v>
      </c>
      <c r="E894" s="61" t="s">
        <v>5794</v>
      </c>
      <c r="F894" s="62" t="s">
        <v>5794</v>
      </c>
      <c r="G894" s="63" t="s">
        <v>615</v>
      </c>
      <c r="H894" s="64" t="s">
        <v>2716</v>
      </c>
      <c r="I894" s="64" t="s">
        <v>2713</v>
      </c>
      <c r="J894" s="63" t="s">
        <v>532</v>
      </c>
      <c r="K894" s="64" t="s">
        <v>4899</v>
      </c>
      <c r="L894" s="63" t="s">
        <v>87</v>
      </c>
      <c r="M894" s="63" t="s">
        <v>5781</v>
      </c>
      <c r="N894" s="65">
        <v>45443</v>
      </c>
      <c r="O894"/>
      <c r="P894"/>
      <c r="Q894"/>
      <c r="R894"/>
      <c r="S894"/>
      <c r="T894"/>
    </row>
    <row r="895" spans="1:21" ht="15" customHeight="1" x14ac:dyDescent="0.2">
      <c r="A895" s="59" t="s">
        <v>5294</v>
      </c>
      <c r="B895" s="60" t="s">
        <v>6746</v>
      </c>
      <c r="C895" s="60" t="s">
        <v>3334</v>
      </c>
      <c r="D895" s="40">
        <v>44158</v>
      </c>
      <c r="E895" s="61">
        <v>100</v>
      </c>
      <c r="F895" s="62">
        <v>100</v>
      </c>
      <c r="G895" s="64" t="s">
        <v>55</v>
      </c>
      <c r="H895" s="64" t="s">
        <v>2736</v>
      </c>
      <c r="I895" s="63" t="s">
        <v>2713</v>
      </c>
      <c r="J895" s="63" t="s">
        <v>471</v>
      </c>
      <c r="K895" s="65" t="s">
        <v>4335</v>
      </c>
      <c r="L895" s="63" t="s">
        <v>41</v>
      </c>
      <c r="M895" s="63">
        <v>0</v>
      </c>
      <c r="N895" s="65">
        <v>46203</v>
      </c>
      <c r="O895"/>
      <c r="P895"/>
    </row>
    <row r="896" spans="1:21" ht="15" customHeight="1" x14ac:dyDescent="0.2">
      <c r="A896" s="59" t="s">
        <v>5295</v>
      </c>
      <c r="B896" s="60" t="s">
        <v>3388</v>
      </c>
      <c r="C896" s="60" t="s">
        <v>3389</v>
      </c>
      <c r="D896" s="40">
        <v>44159</v>
      </c>
      <c r="E896" s="61" t="s">
        <v>5956</v>
      </c>
      <c r="F896" s="62" t="s">
        <v>5957</v>
      </c>
      <c r="G896" s="63" t="s">
        <v>124</v>
      </c>
      <c r="H896" s="64" t="s">
        <v>2729</v>
      </c>
      <c r="I896" s="64" t="s">
        <v>2713</v>
      </c>
      <c r="J896" s="63" t="s">
        <v>530</v>
      </c>
      <c r="K896" s="64" t="s">
        <v>4900</v>
      </c>
      <c r="L896" s="63" t="s">
        <v>34</v>
      </c>
      <c r="M896" s="63" t="s">
        <v>5781</v>
      </c>
      <c r="N896" s="65">
        <v>45504</v>
      </c>
      <c r="O896"/>
      <c r="P896"/>
      <c r="Q896"/>
      <c r="R896"/>
      <c r="S896"/>
      <c r="T896"/>
      <c r="U896"/>
    </row>
    <row r="897" spans="1:21" ht="15" customHeight="1" x14ac:dyDescent="0.2">
      <c r="A897" s="59" t="s">
        <v>3380</v>
      </c>
      <c r="B897" s="42" t="s">
        <v>3391</v>
      </c>
      <c r="C897" s="42" t="s">
        <v>3392</v>
      </c>
      <c r="D897" s="40">
        <v>44169</v>
      </c>
      <c r="E897" s="41">
        <v>19</v>
      </c>
      <c r="F897" s="46">
        <v>19</v>
      </c>
      <c r="G897" s="44" t="s">
        <v>55</v>
      </c>
      <c r="H897" s="43" t="s">
        <v>2744</v>
      </c>
      <c r="I897" s="43" t="s">
        <v>2713</v>
      </c>
      <c r="J897" s="44" t="s">
        <v>530</v>
      </c>
      <c r="K897" s="48" t="s">
        <v>3404</v>
      </c>
      <c r="L897" s="52" t="s">
        <v>157</v>
      </c>
      <c r="M897" s="56">
        <v>0</v>
      </c>
      <c r="N897" s="45">
        <v>44286</v>
      </c>
    </row>
    <row r="898" spans="1:21" ht="15" customHeight="1" x14ac:dyDescent="0.2">
      <c r="A898" s="59" t="s">
        <v>5297</v>
      </c>
      <c r="B898" s="42" t="s">
        <v>1264</v>
      </c>
      <c r="C898" s="42" t="s">
        <v>3393</v>
      </c>
      <c r="D898" s="40">
        <v>44169</v>
      </c>
      <c r="E898" s="41">
        <v>20</v>
      </c>
      <c r="F898" s="46">
        <v>20</v>
      </c>
      <c r="G898" s="44" t="s">
        <v>615</v>
      </c>
      <c r="H898" s="43" t="s">
        <v>2717</v>
      </c>
      <c r="I898" s="43" t="s">
        <v>2713</v>
      </c>
      <c r="J898" s="44" t="s">
        <v>539</v>
      </c>
      <c r="K898" s="48" t="s">
        <v>4902</v>
      </c>
      <c r="L898" s="52" t="s">
        <v>2558</v>
      </c>
      <c r="M898" s="44" t="s">
        <v>5781</v>
      </c>
      <c r="N898" s="45">
        <v>45473</v>
      </c>
    </row>
    <row r="899" spans="1:21" ht="15" customHeight="1" x14ac:dyDescent="0.2">
      <c r="A899" s="59" t="s">
        <v>3381</v>
      </c>
      <c r="B899" s="42" t="s">
        <v>1557</v>
      </c>
      <c r="C899" s="42" t="s">
        <v>3394</v>
      </c>
      <c r="D899" s="40">
        <v>44176</v>
      </c>
      <c r="E899" s="41">
        <v>1200</v>
      </c>
      <c r="F899" s="46">
        <v>1200</v>
      </c>
      <c r="G899" s="44" t="s">
        <v>253</v>
      </c>
      <c r="H899" s="43" t="s">
        <v>3402</v>
      </c>
      <c r="I899" s="43" t="s">
        <v>2713</v>
      </c>
      <c r="J899" s="44" t="s">
        <v>3403</v>
      </c>
      <c r="K899" s="48" t="s">
        <v>3463</v>
      </c>
      <c r="L899" s="52" t="s">
        <v>3462</v>
      </c>
      <c r="M899" s="56">
        <v>0</v>
      </c>
      <c r="N899" s="45">
        <v>44742</v>
      </c>
    </row>
    <row r="900" spans="1:21" ht="15" customHeight="1" x14ac:dyDescent="0.2">
      <c r="A900" s="59" t="s">
        <v>3382</v>
      </c>
      <c r="B900" s="42" t="s">
        <v>1557</v>
      </c>
      <c r="C900" s="42" t="s">
        <v>3395</v>
      </c>
      <c r="D900" s="40">
        <v>44176</v>
      </c>
      <c r="E900" s="41">
        <v>1200</v>
      </c>
      <c r="F900" s="46">
        <v>1200</v>
      </c>
      <c r="G900" s="44" t="s">
        <v>253</v>
      </c>
      <c r="H900" s="43" t="s">
        <v>3464</v>
      </c>
      <c r="I900" s="43" t="s">
        <v>2713</v>
      </c>
      <c r="J900" s="44" t="s">
        <v>533</v>
      </c>
      <c r="K900" s="48" t="s">
        <v>3679</v>
      </c>
      <c r="L900" s="52" t="s">
        <v>403</v>
      </c>
      <c r="M900" s="56">
        <v>0</v>
      </c>
      <c r="N900" s="45">
        <v>44742</v>
      </c>
    </row>
    <row r="901" spans="1:21" ht="15" customHeight="1" x14ac:dyDescent="0.2">
      <c r="A901" s="59" t="s">
        <v>3383</v>
      </c>
      <c r="B901" s="42" t="s">
        <v>3400</v>
      </c>
      <c r="C901" s="42" t="s">
        <v>3401</v>
      </c>
      <c r="D901" s="40">
        <v>44187</v>
      </c>
      <c r="E901" s="41">
        <v>18</v>
      </c>
      <c r="F901" s="46">
        <v>18</v>
      </c>
      <c r="G901" s="44" t="s">
        <v>124</v>
      </c>
      <c r="H901" s="43" t="s">
        <v>2745</v>
      </c>
      <c r="I901" s="43" t="s">
        <v>2713</v>
      </c>
      <c r="J901" s="44"/>
      <c r="K901" s="48" t="s">
        <v>3406</v>
      </c>
      <c r="L901" s="52"/>
      <c r="M901" s="56">
        <v>0</v>
      </c>
      <c r="N901" s="45">
        <v>44347</v>
      </c>
    </row>
    <row r="902" spans="1:21" ht="15" customHeight="1" x14ac:dyDescent="0.2">
      <c r="A902" s="59" t="s">
        <v>5579</v>
      </c>
      <c r="B902" s="60" t="s">
        <v>4014</v>
      </c>
      <c r="C902" s="60" t="s">
        <v>3412</v>
      </c>
      <c r="D902" s="40">
        <v>44200</v>
      </c>
      <c r="E902" s="61">
        <v>19.8</v>
      </c>
      <c r="F902" s="62">
        <v>19.8</v>
      </c>
      <c r="G902" s="63" t="s">
        <v>55</v>
      </c>
      <c r="H902" s="64" t="s">
        <v>2800</v>
      </c>
      <c r="I902" s="64" t="s">
        <v>2713</v>
      </c>
      <c r="J902" s="63" t="s">
        <v>530</v>
      </c>
      <c r="K902" s="64" t="s">
        <v>3413</v>
      </c>
      <c r="L902" s="63" t="s">
        <v>157</v>
      </c>
      <c r="M902" s="63">
        <v>0</v>
      </c>
      <c r="N902" s="65">
        <v>45260</v>
      </c>
      <c r="O902"/>
      <c r="P902"/>
      <c r="Q902"/>
      <c r="R902"/>
      <c r="S902"/>
      <c r="T902"/>
    </row>
    <row r="903" spans="1:21" ht="15" customHeight="1" x14ac:dyDescent="0.2">
      <c r="A903" s="59" t="s">
        <v>3407</v>
      </c>
      <c r="B903" s="42" t="s">
        <v>3414</v>
      </c>
      <c r="C903" s="42" t="s">
        <v>3415</v>
      </c>
      <c r="D903" s="40">
        <v>44216</v>
      </c>
      <c r="E903" s="41">
        <v>50</v>
      </c>
      <c r="F903" s="46">
        <v>50</v>
      </c>
      <c r="G903" s="44" t="s">
        <v>615</v>
      </c>
      <c r="H903" s="43" t="s">
        <v>2773</v>
      </c>
      <c r="I903" s="43" t="s">
        <v>2713</v>
      </c>
      <c r="J903" s="44" t="s">
        <v>539</v>
      </c>
      <c r="K903" s="48" t="s">
        <v>3623</v>
      </c>
      <c r="L903" s="52" t="s">
        <v>673</v>
      </c>
      <c r="M903" s="56">
        <v>0</v>
      </c>
      <c r="N903" s="45">
        <v>44408</v>
      </c>
    </row>
    <row r="904" spans="1:21" ht="15" customHeight="1" x14ac:dyDescent="0.2">
      <c r="A904" s="59" t="s">
        <v>3408</v>
      </c>
      <c r="B904" s="60" t="s">
        <v>3328</v>
      </c>
      <c r="C904" s="60" t="s">
        <v>3416</v>
      </c>
      <c r="D904" s="40">
        <v>44217</v>
      </c>
      <c r="E904" s="61">
        <v>20</v>
      </c>
      <c r="F904" s="62">
        <v>20</v>
      </c>
      <c r="G904" s="63" t="s">
        <v>615</v>
      </c>
      <c r="H904" s="64" t="s">
        <v>2838</v>
      </c>
      <c r="I904" s="64" t="s">
        <v>2713</v>
      </c>
      <c r="J904" s="63" t="s">
        <v>393</v>
      </c>
      <c r="K904" s="64" t="s">
        <v>4157</v>
      </c>
      <c r="L904" s="63" t="s">
        <v>34</v>
      </c>
      <c r="M904" s="44">
        <v>0</v>
      </c>
      <c r="N904" s="65">
        <v>44957</v>
      </c>
    </row>
    <row r="905" spans="1:21" ht="15" customHeight="1" x14ac:dyDescent="0.2">
      <c r="A905" s="59" t="s">
        <v>3409</v>
      </c>
      <c r="B905" s="42" t="s">
        <v>3417</v>
      </c>
      <c r="C905" s="42" t="s">
        <v>3418</v>
      </c>
      <c r="D905" s="40">
        <v>44217</v>
      </c>
      <c r="E905" s="41">
        <v>2000</v>
      </c>
      <c r="F905" s="46">
        <v>2000</v>
      </c>
      <c r="G905" s="44" t="s">
        <v>253</v>
      </c>
      <c r="H905" s="43" t="s">
        <v>3425</v>
      </c>
      <c r="I905" s="43" t="s">
        <v>2713</v>
      </c>
      <c r="J905" s="44" t="s">
        <v>791</v>
      </c>
      <c r="K905" s="48" t="s">
        <v>3509</v>
      </c>
      <c r="L905" s="52" t="s">
        <v>3426</v>
      </c>
      <c r="M905" s="56">
        <v>0</v>
      </c>
      <c r="N905" s="45">
        <v>44408</v>
      </c>
    </row>
    <row r="906" spans="1:21" ht="15" customHeight="1" x14ac:dyDescent="0.2">
      <c r="A906" s="59" t="s">
        <v>3410</v>
      </c>
      <c r="B906" s="42" t="s">
        <v>3420</v>
      </c>
      <c r="C906" s="42" t="s">
        <v>3421</v>
      </c>
      <c r="D906" s="40">
        <v>44224</v>
      </c>
      <c r="E906" s="71">
        <v>1310</v>
      </c>
      <c r="F906" s="72">
        <v>1310</v>
      </c>
      <c r="G906" s="44" t="s">
        <v>253</v>
      </c>
      <c r="H906" s="43" t="s">
        <v>3423</v>
      </c>
      <c r="I906" s="43" t="s">
        <v>2713</v>
      </c>
      <c r="J906" s="44" t="s">
        <v>791</v>
      </c>
      <c r="K906" s="48" t="s">
        <v>3680</v>
      </c>
      <c r="L906" s="52" t="s">
        <v>3427</v>
      </c>
      <c r="M906" s="44">
        <v>0</v>
      </c>
      <c r="N906" s="55" t="s">
        <v>3983</v>
      </c>
    </row>
    <row r="907" spans="1:21" ht="15" customHeight="1" x14ac:dyDescent="0.2">
      <c r="A907" s="59" t="s">
        <v>3411</v>
      </c>
      <c r="B907" s="42" t="s">
        <v>3420</v>
      </c>
      <c r="C907" s="42" t="s">
        <v>3422</v>
      </c>
      <c r="D907" s="40">
        <v>44224</v>
      </c>
      <c r="E907" s="71">
        <v>1310</v>
      </c>
      <c r="F907" s="72">
        <v>1310</v>
      </c>
      <c r="G907" s="44" t="s">
        <v>253</v>
      </c>
      <c r="H907" s="43" t="s">
        <v>3424</v>
      </c>
      <c r="I907" s="43" t="s">
        <v>2713</v>
      </c>
      <c r="J907" s="44" t="s">
        <v>791</v>
      </c>
      <c r="K907" s="48" t="s">
        <v>3681</v>
      </c>
      <c r="L907" s="52" t="s">
        <v>3427</v>
      </c>
      <c r="M907" s="56">
        <v>0</v>
      </c>
      <c r="N907" s="45">
        <v>44651</v>
      </c>
    </row>
    <row r="908" spans="1:21" ht="15" customHeight="1" x14ac:dyDescent="0.2">
      <c r="A908" s="59" t="s">
        <v>5302</v>
      </c>
      <c r="B908" s="60" t="s">
        <v>1428</v>
      </c>
      <c r="C908" s="60" t="s">
        <v>3438</v>
      </c>
      <c r="D908" s="40">
        <v>44238</v>
      </c>
      <c r="E908" s="61">
        <v>5</v>
      </c>
      <c r="F908" s="62">
        <v>5</v>
      </c>
      <c r="G908" s="63" t="s">
        <v>615</v>
      </c>
      <c r="H908" s="64" t="s">
        <v>2838</v>
      </c>
      <c r="I908" s="64" t="s">
        <v>2713</v>
      </c>
      <c r="J908" s="63" t="s">
        <v>393</v>
      </c>
      <c r="K908" s="64" t="s">
        <v>4522</v>
      </c>
      <c r="L908" s="63" t="s">
        <v>34</v>
      </c>
      <c r="M908" s="63">
        <v>0</v>
      </c>
      <c r="N908" s="65">
        <v>45322</v>
      </c>
      <c r="O908"/>
      <c r="P908"/>
      <c r="Q908"/>
      <c r="R908"/>
      <c r="S908"/>
      <c r="T908"/>
    </row>
    <row r="909" spans="1:21" ht="15" customHeight="1" x14ac:dyDescent="0.2">
      <c r="A909" s="59" t="s">
        <v>5303</v>
      </c>
      <c r="B909" s="60" t="s">
        <v>3439</v>
      </c>
      <c r="C909" s="60" t="s">
        <v>3440</v>
      </c>
      <c r="D909" s="40">
        <v>44238</v>
      </c>
      <c r="E909" s="61">
        <v>5</v>
      </c>
      <c r="F909" s="62">
        <v>5</v>
      </c>
      <c r="G909" s="63" t="s">
        <v>615</v>
      </c>
      <c r="H909" s="64" t="s">
        <v>2740</v>
      </c>
      <c r="I909" s="64" t="s">
        <v>2713</v>
      </c>
      <c r="J909" s="63" t="s">
        <v>530</v>
      </c>
      <c r="K909" s="64" t="s">
        <v>4905</v>
      </c>
      <c r="L909" s="63" t="s">
        <v>157</v>
      </c>
      <c r="M909" s="63">
        <v>0</v>
      </c>
      <c r="N909" s="65">
        <v>45322</v>
      </c>
      <c r="O909"/>
      <c r="P909"/>
      <c r="Q909"/>
      <c r="R909"/>
      <c r="S909"/>
      <c r="T909"/>
      <c r="U909" s="3"/>
    </row>
    <row r="910" spans="1:21" ht="15" customHeight="1" x14ac:dyDescent="0.2">
      <c r="A910" s="59" t="s">
        <v>5063</v>
      </c>
      <c r="B910" s="60" t="s">
        <v>1428</v>
      </c>
      <c r="C910" s="60" t="s">
        <v>3441</v>
      </c>
      <c r="D910" s="40">
        <v>44238</v>
      </c>
      <c r="E910" s="61">
        <v>5</v>
      </c>
      <c r="F910" s="62">
        <v>5</v>
      </c>
      <c r="G910" s="63" t="s">
        <v>615</v>
      </c>
      <c r="H910" s="64" t="s">
        <v>2772</v>
      </c>
      <c r="I910" s="64" t="s">
        <v>2713</v>
      </c>
      <c r="J910" s="63" t="s">
        <v>393</v>
      </c>
      <c r="K910" s="64" t="s">
        <v>687</v>
      </c>
      <c r="L910" s="63" t="s">
        <v>157</v>
      </c>
      <c r="M910" s="63">
        <v>0</v>
      </c>
      <c r="N910" s="65">
        <v>45199</v>
      </c>
      <c r="O910"/>
      <c r="P910"/>
      <c r="Q910"/>
      <c r="R910"/>
      <c r="S910"/>
      <c r="T910"/>
      <c r="U910" s="3"/>
    </row>
    <row r="911" spans="1:21" ht="15" customHeight="1" x14ac:dyDescent="0.2">
      <c r="A911" s="59" t="s">
        <v>5304</v>
      </c>
      <c r="B911" s="60" t="s">
        <v>3442</v>
      </c>
      <c r="C911" s="60" t="s">
        <v>3290</v>
      </c>
      <c r="D911" s="40">
        <v>44242</v>
      </c>
      <c r="E911" s="61">
        <v>125</v>
      </c>
      <c r="F911" s="62">
        <v>125</v>
      </c>
      <c r="G911" s="63" t="s">
        <v>3505</v>
      </c>
      <c r="H911" s="64" t="s">
        <v>2740</v>
      </c>
      <c r="I911" s="64" t="s">
        <v>2713</v>
      </c>
      <c r="J911" s="63" t="s">
        <v>530</v>
      </c>
      <c r="K911" s="64" t="s">
        <v>4906</v>
      </c>
      <c r="L911" s="63" t="s">
        <v>157</v>
      </c>
      <c r="M911" s="63">
        <v>0</v>
      </c>
      <c r="N911" s="65">
        <v>45565</v>
      </c>
      <c r="O911"/>
      <c r="P911"/>
      <c r="Q911"/>
      <c r="R911"/>
      <c r="S911"/>
      <c r="T911"/>
      <c r="U911"/>
    </row>
    <row r="912" spans="1:21" ht="15" customHeight="1" x14ac:dyDescent="0.2">
      <c r="A912" s="59" t="s">
        <v>5305</v>
      </c>
      <c r="B912" s="60" t="s">
        <v>4523</v>
      </c>
      <c r="C912" s="60" t="s">
        <v>4790</v>
      </c>
      <c r="D912" s="40">
        <v>44243</v>
      </c>
      <c r="E912" s="61" t="s">
        <v>5814</v>
      </c>
      <c r="F912" s="62" t="s">
        <v>5814</v>
      </c>
      <c r="G912" s="63" t="s">
        <v>124</v>
      </c>
      <c r="H912" s="64" t="s">
        <v>2098</v>
      </c>
      <c r="I912" s="64" t="s">
        <v>2713</v>
      </c>
      <c r="J912" s="63" t="s">
        <v>393</v>
      </c>
      <c r="K912" s="64" t="s">
        <v>1047</v>
      </c>
      <c r="L912" s="63" t="s">
        <v>34</v>
      </c>
      <c r="M912" s="63" t="s">
        <v>5781</v>
      </c>
      <c r="N912" s="65">
        <v>45504</v>
      </c>
      <c r="O912"/>
      <c r="P912"/>
      <c r="Q912"/>
      <c r="R912"/>
      <c r="S912"/>
      <c r="T912"/>
      <c r="U912"/>
    </row>
    <row r="913" spans="1:21" ht="15" customHeight="1" x14ac:dyDescent="0.2">
      <c r="A913" s="59" t="s">
        <v>5903</v>
      </c>
      <c r="B913" s="60" t="s">
        <v>1694</v>
      </c>
      <c r="C913" s="60" t="s">
        <v>3443</v>
      </c>
      <c r="D913" s="40">
        <v>44243</v>
      </c>
      <c r="E913" s="61" t="s">
        <v>5814</v>
      </c>
      <c r="F913" s="62" t="s">
        <v>5814</v>
      </c>
      <c r="G913" s="63" t="s">
        <v>55</v>
      </c>
      <c r="H913" s="64" t="s">
        <v>2736</v>
      </c>
      <c r="I913" s="64" t="s">
        <v>2713</v>
      </c>
      <c r="J913" s="63" t="s">
        <v>471</v>
      </c>
      <c r="K913" s="64" t="s">
        <v>3456</v>
      </c>
      <c r="L913" s="63" t="s">
        <v>157</v>
      </c>
      <c r="M913" s="63" t="s">
        <v>5781</v>
      </c>
      <c r="N913" s="65">
        <v>45443</v>
      </c>
      <c r="O913"/>
      <c r="P913"/>
      <c r="Q913"/>
      <c r="R913"/>
      <c r="S913"/>
      <c r="T913"/>
      <c r="U913" s="3"/>
    </row>
    <row r="914" spans="1:21" ht="15" customHeight="1" x14ac:dyDescent="0.2">
      <c r="A914" s="59" t="s">
        <v>5904</v>
      </c>
      <c r="B914" s="60" t="s">
        <v>1694</v>
      </c>
      <c r="C914" s="60" t="s">
        <v>3444</v>
      </c>
      <c r="D914" s="40">
        <v>44243</v>
      </c>
      <c r="E914" s="61" t="s">
        <v>5793</v>
      </c>
      <c r="F914" s="62" t="s">
        <v>5793</v>
      </c>
      <c r="G914" s="63" t="s">
        <v>55</v>
      </c>
      <c r="H914" s="64" t="s">
        <v>2098</v>
      </c>
      <c r="I914" s="64" t="s">
        <v>2713</v>
      </c>
      <c r="J914" s="63" t="s">
        <v>393</v>
      </c>
      <c r="K914" s="64" t="s">
        <v>3457</v>
      </c>
      <c r="L914" s="63" t="s">
        <v>34</v>
      </c>
      <c r="M914" s="63" t="s">
        <v>5781</v>
      </c>
      <c r="N914" s="65">
        <v>45443</v>
      </c>
      <c r="O914"/>
      <c r="P914"/>
      <c r="Q914"/>
      <c r="R914"/>
      <c r="S914"/>
      <c r="T914"/>
      <c r="U914" s="3"/>
    </row>
    <row r="915" spans="1:21" ht="15" customHeight="1" x14ac:dyDescent="0.2">
      <c r="A915" s="59" t="s">
        <v>5905</v>
      </c>
      <c r="B915" s="60" t="s">
        <v>1694</v>
      </c>
      <c r="C915" s="60" t="s">
        <v>3445</v>
      </c>
      <c r="D915" s="40">
        <v>44243</v>
      </c>
      <c r="E915" s="61" t="s">
        <v>5819</v>
      </c>
      <c r="F915" s="62" t="s">
        <v>5819</v>
      </c>
      <c r="G915" s="63" t="s">
        <v>55</v>
      </c>
      <c r="H915" s="64" t="s">
        <v>2736</v>
      </c>
      <c r="I915" s="64" t="s">
        <v>2713</v>
      </c>
      <c r="J915" s="63" t="s">
        <v>471</v>
      </c>
      <c r="K915" s="64" t="s">
        <v>4907</v>
      </c>
      <c r="L915" s="63" t="s">
        <v>4158</v>
      </c>
      <c r="M915" s="63" t="s">
        <v>5781</v>
      </c>
      <c r="N915" s="65">
        <v>45443</v>
      </c>
      <c r="O915"/>
      <c r="P915"/>
      <c r="Q915"/>
      <c r="R915"/>
      <c r="S915"/>
      <c r="T915"/>
      <c r="U915"/>
    </row>
    <row r="916" spans="1:21" ht="15" customHeight="1" x14ac:dyDescent="0.2">
      <c r="A916" s="59" t="s">
        <v>5306</v>
      </c>
      <c r="B916" s="42" t="s">
        <v>1694</v>
      </c>
      <c r="C916" s="42" t="s">
        <v>3446</v>
      </c>
      <c r="D916" s="40">
        <v>44243</v>
      </c>
      <c r="E916" s="41">
        <v>75</v>
      </c>
      <c r="F916" s="46">
        <v>75</v>
      </c>
      <c r="G916" s="44" t="s">
        <v>55</v>
      </c>
      <c r="H916" s="43" t="s">
        <v>2744</v>
      </c>
      <c r="I916" s="43" t="s">
        <v>2713</v>
      </c>
      <c r="J916" s="44" t="s">
        <v>530</v>
      </c>
      <c r="K916" s="48" t="s">
        <v>4159</v>
      </c>
      <c r="L916" s="52" t="s">
        <v>157</v>
      </c>
      <c r="M916" s="44" t="s">
        <v>5781</v>
      </c>
      <c r="N916" s="45">
        <v>45473</v>
      </c>
      <c r="U916" s="3"/>
    </row>
    <row r="917" spans="1:21" ht="15" customHeight="1" x14ac:dyDescent="0.2">
      <c r="A917" s="59" t="s">
        <v>5906</v>
      </c>
      <c r="B917" s="60" t="s">
        <v>3447</v>
      </c>
      <c r="C917" s="60" t="s">
        <v>3448</v>
      </c>
      <c r="D917" s="40">
        <v>44243</v>
      </c>
      <c r="E917" s="61" t="s">
        <v>5812</v>
      </c>
      <c r="F917" s="62" t="s">
        <v>5812</v>
      </c>
      <c r="G917" s="63" t="s">
        <v>615</v>
      </c>
      <c r="H917" s="64" t="s">
        <v>3449</v>
      </c>
      <c r="I917" s="64" t="s">
        <v>2713</v>
      </c>
      <c r="J917" s="63" t="s">
        <v>533</v>
      </c>
      <c r="K917" s="64" t="s">
        <v>1057</v>
      </c>
      <c r="L917" s="63" t="s">
        <v>403</v>
      </c>
      <c r="M917" s="63" t="s">
        <v>5781</v>
      </c>
      <c r="N917" s="65">
        <v>45443</v>
      </c>
      <c r="O917"/>
      <c r="P917"/>
      <c r="Q917"/>
      <c r="R917"/>
      <c r="S917"/>
      <c r="T917"/>
      <c r="U917" s="3"/>
    </row>
    <row r="918" spans="1:21" ht="15" customHeight="1" x14ac:dyDescent="0.2">
      <c r="A918" s="59" t="s">
        <v>3435</v>
      </c>
      <c r="B918" s="42" t="s">
        <v>3447</v>
      </c>
      <c r="C918" s="42" t="s">
        <v>3450</v>
      </c>
      <c r="D918" s="40">
        <v>44243</v>
      </c>
      <c r="E918" s="41">
        <v>600</v>
      </c>
      <c r="F918" s="46">
        <v>600</v>
      </c>
      <c r="G918" s="44" t="s">
        <v>615</v>
      </c>
      <c r="H918" s="43" t="s">
        <v>3449</v>
      </c>
      <c r="I918" s="43" t="s">
        <v>2713</v>
      </c>
      <c r="J918" s="44" t="s">
        <v>533</v>
      </c>
      <c r="K918" s="48" t="s">
        <v>3458</v>
      </c>
      <c r="L918" s="52" t="s">
        <v>403</v>
      </c>
      <c r="M918" s="44">
        <v>0</v>
      </c>
      <c r="N918" s="55" t="s">
        <v>3620</v>
      </c>
      <c r="U918" s="3"/>
    </row>
    <row r="919" spans="1:21" ht="15" customHeight="1" x14ac:dyDescent="0.2">
      <c r="A919" s="59" t="s">
        <v>3436</v>
      </c>
      <c r="B919" s="42" t="s">
        <v>3417</v>
      </c>
      <c r="C919" s="42" t="s">
        <v>3451</v>
      </c>
      <c r="D919" s="40">
        <v>44245</v>
      </c>
      <c r="E919" s="41">
        <v>2000</v>
      </c>
      <c r="F919" s="46">
        <v>2000</v>
      </c>
      <c r="G919" s="44" t="s">
        <v>253</v>
      </c>
      <c r="H919" s="43" t="s">
        <v>5985</v>
      </c>
      <c r="I919" s="43" t="s">
        <v>2713</v>
      </c>
      <c r="J919" s="44" t="s">
        <v>3485</v>
      </c>
      <c r="K919" s="48" t="s">
        <v>3510</v>
      </c>
      <c r="L919" s="52" t="s">
        <v>3558</v>
      </c>
      <c r="M919" s="56">
        <v>0</v>
      </c>
      <c r="N919" s="45">
        <v>44561</v>
      </c>
      <c r="U919" s="3"/>
    </row>
    <row r="920" spans="1:21" s="3" customFormat="1" ht="15" customHeight="1" x14ac:dyDescent="0.2">
      <c r="A920" s="59" t="s">
        <v>3437</v>
      </c>
      <c r="B920" s="42" t="s">
        <v>1428</v>
      </c>
      <c r="C920" s="42" t="s">
        <v>3452</v>
      </c>
      <c r="D920" s="40">
        <v>44245</v>
      </c>
      <c r="E920" s="41">
        <v>36</v>
      </c>
      <c r="F920" s="46">
        <v>36</v>
      </c>
      <c r="G920" s="44" t="s">
        <v>615</v>
      </c>
      <c r="H920" s="43" t="s">
        <v>2746</v>
      </c>
      <c r="I920" s="43" t="s">
        <v>2713</v>
      </c>
      <c r="J920" s="44" t="s">
        <v>532</v>
      </c>
      <c r="K920" s="48" t="s">
        <v>3029</v>
      </c>
      <c r="L920" s="52" t="s">
        <v>87</v>
      </c>
      <c r="M920" s="56">
        <v>0</v>
      </c>
      <c r="N920" s="45">
        <v>44865</v>
      </c>
      <c r="O920" s="4"/>
      <c r="P920" s="4"/>
      <c r="Q920" s="4"/>
      <c r="R920" s="4"/>
      <c r="S920" s="4"/>
      <c r="T920" s="4"/>
    </row>
    <row r="921" spans="1:21" s="3" customFormat="1" ht="15" customHeight="1" x14ac:dyDescent="0.2">
      <c r="A921" s="59" t="s">
        <v>5307</v>
      </c>
      <c r="B921" s="60" t="s">
        <v>5848</v>
      </c>
      <c r="C921" s="60" t="s">
        <v>1452</v>
      </c>
      <c r="D921" s="40">
        <v>44246</v>
      </c>
      <c r="E921" s="61" t="s">
        <v>5793</v>
      </c>
      <c r="F921" s="62" t="s">
        <v>5793</v>
      </c>
      <c r="G921" s="63" t="s">
        <v>55</v>
      </c>
      <c r="H921" s="64" t="s">
        <v>2808</v>
      </c>
      <c r="I921" s="64" t="s">
        <v>2713</v>
      </c>
      <c r="J921" s="63" t="s">
        <v>471</v>
      </c>
      <c r="K921" s="64" t="s">
        <v>4160</v>
      </c>
      <c r="L921" s="63" t="s">
        <v>157</v>
      </c>
      <c r="M921" s="63" t="s">
        <v>5781</v>
      </c>
      <c r="N921" s="65">
        <v>45504</v>
      </c>
      <c r="O921"/>
      <c r="P921"/>
      <c r="Q921"/>
      <c r="R921"/>
      <c r="S921"/>
      <c r="T921"/>
      <c r="U921"/>
    </row>
    <row r="922" spans="1:21" s="3" customFormat="1" ht="15" customHeight="1" x14ac:dyDescent="0.2">
      <c r="A922" s="59" t="s">
        <v>5076</v>
      </c>
      <c r="B922" s="60" t="s">
        <v>3454</v>
      </c>
      <c r="C922" s="60" t="s">
        <v>3455</v>
      </c>
      <c r="D922" s="40">
        <v>44253</v>
      </c>
      <c r="E922" s="61">
        <v>12.6</v>
      </c>
      <c r="F922" s="62">
        <v>12.6</v>
      </c>
      <c r="G922" s="63" t="s">
        <v>55</v>
      </c>
      <c r="H922" s="64" t="s">
        <v>2717</v>
      </c>
      <c r="I922" s="64" t="s">
        <v>2713</v>
      </c>
      <c r="J922" s="63" t="s">
        <v>539</v>
      </c>
      <c r="K922" s="64" t="s">
        <v>4161</v>
      </c>
      <c r="L922" s="63" t="s">
        <v>1162</v>
      </c>
      <c r="M922" s="63">
        <v>0</v>
      </c>
      <c r="N922" s="65">
        <v>45230</v>
      </c>
      <c r="O922"/>
      <c r="P922"/>
      <c r="Q922"/>
      <c r="R922"/>
      <c r="S922"/>
      <c r="T922"/>
    </row>
    <row r="923" spans="1:21" s="3" customFormat="1" ht="15" customHeight="1" x14ac:dyDescent="0.2">
      <c r="A923" s="59" t="s">
        <v>3465</v>
      </c>
      <c r="B923" s="42" t="s">
        <v>3326</v>
      </c>
      <c r="C923" s="42" t="s">
        <v>5986</v>
      </c>
      <c r="D923" s="40">
        <v>44267</v>
      </c>
      <c r="E923" s="41"/>
      <c r="F923" s="46"/>
      <c r="G923" s="44"/>
      <c r="H923" s="43" t="s">
        <v>3469</v>
      </c>
      <c r="I923" s="43" t="s">
        <v>2713</v>
      </c>
      <c r="J923" s="44" t="s">
        <v>791</v>
      </c>
      <c r="K923" s="48" t="s">
        <v>3470</v>
      </c>
      <c r="L923" s="52" t="s">
        <v>3556</v>
      </c>
      <c r="M923" s="56">
        <v>0</v>
      </c>
      <c r="N923" s="45">
        <v>44438</v>
      </c>
      <c r="O923" s="4"/>
      <c r="P923" s="4"/>
      <c r="Q923" s="4"/>
      <c r="R923" s="4"/>
      <c r="S923" s="4"/>
      <c r="T923" s="4"/>
    </row>
    <row r="924" spans="1:21" s="3" customFormat="1" ht="15" customHeight="1" x14ac:dyDescent="0.2">
      <c r="A924" s="59" t="s">
        <v>5309</v>
      </c>
      <c r="B924" s="42" t="s">
        <v>3471</v>
      </c>
      <c r="C924" s="42" t="s">
        <v>3292</v>
      </c>
      <c r="D924" s="40">
        <v>44271</v>
      </c>
      <c r="E924" s="41">
        <v>60</v>
      </c>
      <c r="F924" s="46">
        <v>60</v>
      </c>
      <c r="G924" s="44" t="s">
        <v>55</v>
      </c>
      <c r="H924" s="43" t="s">
        <v>2800</v>
      </c>
      <c r="I924" s="43" t="s">
        <v>2713</v>
      </c>
      <c r="J924" s="44" t="s">
        <v>530</v>
      </c>
      <c r="K924" s="48" t="s">
        <v>4164</v>
      </c>
      <c r="L924" s="52" t="s">
        <v>157</v>
      </c>
      <c r="M924" s="56">
        <v>0</v>
      </c>
      <c r="N924" s="45">
        <v>45688</v>
      </c>
      <c r="O924" s="4"/>
      <c r="P924" s="4"/>
      <c r="Q924" s="4"/>
      <c r="R924" s="4"/>
      <c r="S924" s="4"/>
      <c r="T924" s="4"/>
    </row>
    <row r="925" spans="1:21" customFormat="1" ht="15" customHeight="1" x14ac:dyDescent="0.2">
      <c r="A925" s="59" t="s">
        <v>3466</v>
      </c>
      <c r="B925" s="42" t="s">
        <v>3474</v>
      </c>
      <c r="C925" s="42" t="s">
        <v>3475</v>
      </c>
      <c r="D925" s="40">
        <v>44273</v>
      </c>
      <c r="E925" s="41">
        <v>19.899999999999999</v>
      </c>
      <c r="F925" s="46">
        <v>19.899999999999999</v>
      </c>
      <c r="G925" s="44" t="s">
        <v>55</v>
      </c>
      <c r="H925" s="43" t="s">
        <v>2734</v>
      </c>
      <c r="I925" s="43" t="s">
        <v>2713</v>
      </c>
      <c r="J925" s="44" t="s">
        <v>530</v>
      </c>
      <c r="K925" s="48" t="s">
        <v>3563</v>
      </c>
      <c r="L925" s="52" t="s">
        <v>34</v>
      </c>
      <c r="M925" s="56">
        <v>0</v>
      </c>
      <c r="N925" s="45">
        <v>44438</v>
      </c>
      <c r="U925" s="3"/>
    </row>
    <row r="926" spans="1:21" s="3" customFormat="1" ht="15" customHeight="1" x14ac:dyDescent="0.2">
      <c r="A926" s="59" t="s">
        <v>3467</v>
      </c>
      <c r="B926" s="60" t="s">
        <v>3476</v>
      </c>
      <c r="C926" s="60" t="s">
        <v>3477</v>
      </c>
      <c r="D926" s="40">
        <v>44277</v>
      </c>
      <c r="E926" s="61">
        <v>110</v>
      </c>
      <c r="F926" s="62">
        <v>110</v>
      </c>
      <c r="G926" s="63" t="s">
        <v>615</v>
      </c>
      <c r="H926" s="64" t="s">
        <v>2794</v>
      </c>
      <c r="I926" s="64" t="s">
        <v>2713</v>
      </c>
      <c r="J926" s="63" t="s">
        <v>318</v>
      </c>
      <c r="K926" s="64" t="s">
        <v>3478</v>
      </c>
      <c r="L926" s="63" t="s">
        <v>34</v>
      </c>
      <c r="M926" s="63">
        <v>0</v>
      </c>
      <c r="N926" s="65">
        <v>44985</v>
      </c>
      <c r="O926" s="4"/>
      <c r="P926" s="4"/>
      <c r="Q926" s="4"/>
      <c r="R926" s="4"/>
      <c r="S926" s="4"/>
      <c r="T926" s="4"/>
    </row>
    <row r="927" spans="1:21" s="3" customFormat="1" ht="15" customHeight="1" x14ac:dyDescent="0.2">
      <c r="A927" s="59" t="s">
        <v>3468</v>
      </c>
      <c r="B927" s="42" t="s">
        <v>3479</v>
      </c>
      <c r="C927" s="42" t="s">
        <v>3480</v>
      </c>
      <c r="D927" s="40">
        <v>44284</v>
      </c>
      <c r="E927" s="41">
        <v>115</v>
      </c>
      <c r="F927" s="46">
        <v>115</v>
      </c>
      <c r="G927" s="44" t="s">
        <v>55</v>
      </c>
      <c r="H927" s="43" t="s">
        <v>2736</v>
      </c>
      <c r="I927" s="43" t="s">
        <v>2713</v>
      </c>
      <c r="J927" s="44" t="s">
        <v>471</v>
      </c>
      <c r="K927" s="48" t="s">
        <v>3564</v>
      </c>
      <c r="L927" s="52" t="s">
        <v>157</v>
      </c>
      <c r="M927" s="56">
        <v>0</v>
      </c>
      <c r="N927" s="45">
        <v>44408</v>
      </c>
      <c r="O927" s="4"/>
      <c r="P927" s="4"/>
      <c r="Q927" s="4"/>
      <c r="R927" s="4"/>
      <c r="S927" s="4"/>
      <c r="T927" s="4"/>
      <c r="U927"/>
    </row>
    <row r="928" spans="1:21" s="3" customFormat="1" ht="15" customHeight="1" x14ac:dyDescent="0.2">
      <c r="A928" s="59" t="s">
        <v>3488</v>
      </c>
      <c r="B928" s="42" t="s">
        <v>3493</v>
      </c>
      <c r="C928" s="42" t="s">
        <v>3494</v>
      </c>
      <c r="D928" s="40">
        <v>44288</v>
      </c>
      <c r="E928" s="41">
        <v>500</v>
      </c>
      <c r="F928" s="46">
        <v>500</v>
      </c>
      <c r="G928" s="44" t="s">
        <v>253</v>
      </c>
      <c r="H928" s="43" t="s">
        <v>2759</v>
      </c>
      <c r="I928" s="43" t="s">
        <v>2713</v>
      </c>
      <c r="J928" s="44" t="s">
        <v>3403</v>
      </c>
      <c r="K928" s="48" t="s">
        <v>3565</v>
      </c>
      <c r="L928" s="52" t="s">
        <v>3557</v>
      </c>
      <c r="M928" s="56">
        <v>0</v>
      </c>
      <c r="N928" s="55" t="s">
        <v>3971</v>
      </c>
      <c r="O928" s="4"/>
      <c r="P928" s="4"/>
      <c r="Q928" s="4"/>
      <c r="R928" s="4"/>
      <c r="S928" s="4"/>
      <c r="T928" s="4"/>
    </row>
    <row r="929" spans="1:21" s="3" customFormat="1" ht="15" customHeight="1" x14ac:dyDescent="0.2">
      <c r="A929" s="59" t="s">
        <v>5311</v>
      </c>
      <c r="B929" s="42" t="s">
        <v>3022</v>
      </c>
      <c r="C929" s="42" t="s">
        <v>3023</v>
      </c>
      <c r="D929" s="40">
        <v>44294</v>
      </c>
      <c r="E929" s="41">
        <v>19.899999999999999</v>
      </c>
      <c r="F929" s="46">
        <v>19.899999999999999</v>
      </c>
      <c r="G929" s="44" t="s">
        <v>124</v>
      </c>
      <c r="H929" s="43" t="s">
        <v>2729</v>
      </c>
      <c r="I929" s="43" t="s">
        <v>2713</v>
      </c>
      <c r="J929" s="44" t="s">
        <v>393</v>
      </c>
      <c r="K929" s="48" t="s">
        <v>4711</v>
      </c>
      <c r="L929" s="52" t="s">
        <v>157</v>
      </c>
      <c r="M929" s="56">
        <v>0</v>
      </c>
      <c r="N929" s="55" t="s">
        <v>7289</v>
      </c>
      <c r="O929" s="4"/>
      <c r="P929" s="4"/>
      <c r="Q929" s="4"/>
      <c r="R929" s="4"/>
      <c r="S929" s="4"/>
      <c r="T929" s="4"/>
    </row>
    <row r="930" spans="1:21" s="3" customFormat="1" ht="15" customHeight="1" x14ac:dyDescent="0.2">
      <c r="A930" s="59" t="s">
        <v>3489</v>
      </c>
      <c r="B930" s="42" t="s">
        <v>3447</v>
      </c>
      <c r="C930" s="42" t="s">
        <v>3495</v>
      </c>
      <c r="D930" s="40">
        <v>44295</v>
      </c>
      <c r="E930" s="41">
        <v>1200</v>
      </c>
      <c r="F930" s="46">
        <v>1200</v>
      </c>
      <c r="G930" s="44" t="s">
        <v>253</v>
      </c>
      <c r="H930" s="43" t="s">
        <v>3449</v>
      </c>
      <c r="I930" s="43" t="s">
        <v>2713</v>
      </c>
      <c r="J930" s="44" t="s">
        <v>533</v>
      </c>
      <c r="K930" s="48" t="s">
        <v>3682</v>
      </c>
      <c r="L930" s="52" t="s">
        <v>403</v>
      </c>
      <c r="M930" s="56">
        <v>0</v>
      </c>
      <c r="N930" s="55" t="s">
        <v>3800</v>
      </c>
      <c r="O930" s="4"/>
      <c r="P930" s="4"/>
      <c r="Q930" s="4"/>
      <c r="R930" s="4"/>
      <c r="S930" s="4"/>
      <c r="T930" s="4"/>
    </row>
    <row r="931" spans="1:21" s="3" customFormat="1" ht="15" customHeight="1" x14ac:dyDescent="0.2">
      <c r="A931" s="59" t="s">
        <v>3490</v>
      </c>
      <c r="B931" s="42" t="s">
        <v>3497</v>
      </c>
      <c r="C931" s="42" t="s">
        <v>3647</v>
      </c>
      <c r="D931" s="40">
        <v>44295</v>
      </c>
      <c r="E931" s="41">
        <v>125.6</v>
      </c>
      <c r="F931" s="46">
        <v>125</v>
      </c>
      <c r="G931" s="44" t="s">
        <v>55</v>
      </c>
      <c r="H931" s="43" t="s">
        <v>401</v>
      </c>
      <c r="I931" s="43" t="s">
        <v>2713</v>
      </c>
      <c r="J931" s="44" t="s">
        <v>393</v>
      </c>
      <c r="K931" s="48" t="s">
        <v>3567</v>
      </c>
      <c r="L931" s="52" t="s">
        <v>3506</v>
      </c>
      <c r="M931" s="56">
        <v>0</v>
      </c>
      <c r="N931" s="45">
        <v>44592</v>
      </c>
      <c r="O931" s="4"/>
      <c r="P931" s="4"/>
      <c r="Q931" s="4"/>
      <c r="R931" s="4"/>
      <c r="S931" s="4"/>
      <c r="T931" s="4"/>
      <c r="U931"/>
    </row>
    <row r="932" spans="1:21" s="3" customFormat="1" ht="15" customHeight="1" x14ac:dyDescent="0.2">
      <c r="A932" s="59" t="s">
        <v>5312</v>
      </c>
      <c r="B932" s="60" t="s">
        <v>3498</v>
      </c>
      <c r="C932" s="60" t="s">
        <v>3499</v>
      </c>
      <c r="D932" s="40">
        <v>44300</v>
      </c>
      <c r="E932" s="61">
        <v>50</v>
      </c>
      <c r="F932" s="62">
        <v>52.5</v>
      </c>
      <c r="G932" s="63" t="s">
        <v>615</v>
      </c>
      <c r="H932" s="64" t="s">
        <v>2716</v>
      </c>
      <c r="I932" s="64" t="s">
        <v>2713</v>
      </c>
      <c r="J932" s="63" t="s">
        <v>532</v>
      </c>
      <c r="K932" s="64" t="s">
        <v>4908</v>
      </c>
      <c r="L932" s="63" t="s">
        <v>87</v>
      </c>
      <c r="M932" s="63">
        <v>0</v>
      </c>
      <c r="N932" s="65">
        <v>45565</v>
      </c>
      <c r="O932"/>
      <c r="P932"/>
      <c r="Q932"/>
      <c r="R932"/>
      <c r="S932"/>
      <c r="T932"/>
      <c r="U932"/>
    </row>
    <row r="933" spans="1:21" s="3" customFormat="1" ht="15" customHeight="1" x14ac:dyDescent="0.2">
      <c r="A933" s="59" t="s">
        <v>5313</v>
      </c>
      <c r="B933" s="60" t="s">
        <v>1442</v>
      </c>
      <c r="C933" s="60" t="s">
        <v>1455</v>
      </c>
      <c r="D933" s="40">
        <v>44302</v>
      </c>
      <c r="E933" s="61">
        <v>75</v>
      </c>
      <c r="F933" s="62">
        <v>75</v>
      </c>
      <c r="G933" s="63" t="s">
        <v>55</v>
      </c>
      <c r="H933" s="64" t="s">
        <v>2098</v>
      </c>
      <c r="I933" s="64" t="s">
        <v>2713</v>
      </c>
      <c r="J933" s="63" t="s">
        <v>531</v>
      </c>
      <c r="K933" s="64" t="s">
        <v>4524</v>
      </c>
      <c r="L933" s="63" t="s">
        <v>351</v>
      </c>
      <c r="M933" s="63">
        <v>0</v>
      </c>
      <c r="N933" s="65">
        <v>45291</v>
      </c>
      <c r="O933"/>
      <c r="P933"/>
      <c r="Q933"/>
      <c r="R933"/>
      <c r="S933"/>
      <c r="T933"/>
    </row>
    <row r="934" spans="1:21" s="3" customFormat="1" ht="15" customHeight="1" x14ac:dyDescent="0.2">
      <c r="A934" s="59" t="s">
        <v>3491</v>
      </c>
      <c r="B934" s="42" t="s">
        <v>3500</v>
      </c>
      <c r="C934" s="42" t="s">
        <v>3501</v>
      </c>
      <c r="D934" s="40">
        <v>44306</v>
      </c>
      <c r="E934" s="41">
        <v>20</v>
      </c>
      <c r="F934" s="46">
        <v>20</v>
      </c>
      <c r="G934" s="44" t="s">
        <v>615</v>
      </c>
      <c r="H934" s="43" t="s">
        <v>2766</v>
      </c>
      <c r="I934" s="43" t="s">
        <v>2713</v>
      </c>
      <c r="J934" s="44" t="s">
        <v>540</v>
      </c>
      <c r="K934" s="48" t="s">
        <v>3934</v>
      </c>
      <c r="L934" s="52" t="s">
        <v>41</v>
      </c>
      <c r="M934" s="56">
        <v>0</v>
      </c>
      <c r="N934" s="45">
        <v>44773</v>
      </c>
      <c r="O934" s="4"/>
      <c r="P934" s="4"/>
      <c r="Q934" s="4"/>
      <c r="R934" s="4"/>
      <c r="S934" s="4"/>
      <c r="T934" s="4"/>
      <c r="U934" s="4"/>
    </row>
    <row r="935" spans="1:21" s="3" customFormat="1" ht="15" customHeight="1" x14ac:dyDescent="0.2">
      <c r="A935" s="59" t="s">
        <v>3492</v>
      </c>
      <c r="B935" s="60" t="s">
        <v>3502</v>
      </c>
      <c r="C935" s="60" t="s">
        <v>3503</v>
      </c>
      <c r="D935" s="40" t="s">
        <v>4165</v>
      </c>
      <c r="E935" s="61">
        <v>135</v>
      </c>
      <c r="F935" s="62">
        <v>135</v>
      </c>
      <c r="G935" s="63" t="s">
        <v>3505</v>
      </c>
      <c r="H935" s="64" t="s">
        <v>2740</v>
      </c>
      <c r="I935" s="64" t="s">
        <v>2713</v>
      </c>
      <c r="J935" s="63" t="s">
        <v>530</v>
      </c>
      <c r="K935" s="64" t="s">
        <v>4166</v>
      </c>
      <c r="L935" s="63" t="s">
        <v>157</v>
      </c>
      <c r="M935" s="63">
        <v>0</v>
      </c>
      <c r="N935" s="65">
        <v>45016</v>
      </c>
      <c r="O935" s="4"/>
      <c r="P935" s="4"/>
      <c r="Q935" s="4"/>
      <c r="R935" s="4"/>
      <c r="S935" s="4"/>
      <c r="T935" s="4"/>
    </row>
    <row r="936" spans="1:21" customFormat="1" ht="15" customHeight="1" x14ac:dyDescent="0.2">
      <c r="A936" s="59" t="s">
        <v>5907</v>
      </c>
      <c r="B936" s="60" t="s">
        <v>3504</v>
      </c>
      <c r="C936" s="60" t="s">
        <v>3504</v>
      </c>
      <c r="D936" s="40">
        <v>44313</v>
      </c>
      <c r="E936" s="61" t="s">
        <v>5796</v>
      </c>
      <c r="F936" s="62" t="s">
        <v>5796</v>
      </c>
      <c r="G936" s="63" t="s">
        <v>615</v>
      </c>
      <c r="H936" s="64" t="s">
        <v>2719</v>
      </c>
      <c r="I936" s="64" t="s">
        <v>2713</v>
      </c>
      <c r="J936" s="63" t="s">
        <v>533</v>
      </c>
      <c r="K936" s="64" t="s">
        <v>5011</v>
      </c>
      <c r="L936" s="63" t="s">
        <v>403</v>
      </c>
      <c r="M936" s="63" t="s">
        <v>5781</v>
      </c>
      <c r="N936" s="65">
        <v>45443</v>
      </c>
      <c r="U936" s="3"/>
    </row>
    <row r="937" spans="1:21" s="3" customFormat="1" ht="15" customHeight="1" x14ac:dyDescent="0.2">
      <c r="A937" s="59" t="s">
        <v>5314</v>
      </c>
      <c r="B937" s="60" t="s">
        <v>3216</v>
      </c>
      <c r="C937" s="60" t="s">
        <v>3520</v>
      </c>
      <c r="D937" s="40">
        <v>44321</v>
      </c>
      <c r="E937" s="61" t="s">
        <v>5814</v>
      </c>
      <c r="F937" s="62" t="s">
        <v>5814</v>
      </c>
      <c r="G937" s="63" t="s">
        <v>615</v>
      </c>
      <c r="H937" s="64" t="s">
        <v>2746</v>
      </c>
      <c r="I937" s="64" t="s">
        <v>2713</v>
      </c>
      <c r="J937" s="63" t="s">
        <v>532</v>
      </c>
      <c r="K937" s="64" t="s">
        <v>5687</v>
      </c>
      <c r="L937" s="63" t="s">
        <v>87</v>
      </c>
      <c r="M937" s="63" t="s">
        <v>5781</v>
      </c>
      <c r="N937" s="65">
        <v>45504</v>
      </c>
      <c r="O937"/>
      <c r="P937"/>
      <c r="Q937"/>
      <c r="R937"/>
      <c r="S937"/>
      <c r="T937"/>
      <c r="U937"/>
    </row>
    <row r="938" spans="1:21" s="3" customFormat="1" ht="15" customHeight="1" x14ac:dyDescent="0.2">
      <c r="A938" s="59" t="s">
        <v>3512</v>
      </c>
      <c r="B938" s="60" t="s">
        <v>3521</v>
      </c>
      <c r="C938" s="60" t="s">
        <v>3521</v>
      </c>
      <c r="D938" s="40">
        <v>44323</v>
      </c>
      <c r="E938" s="61">
        <v>20</v>
      </c>
      <c r="F938" s="62">
        <v>20</v>
      </c>
      <c r="G938" s="63" t="s">
        <v>55</v>
      </c>
      <c r="H938" s="64" t="s">
        <v>2723</v>
      </c>
      <c r="I938" s="64" t="s">
        <v>2713</v>
      </c>
      <c r="J938" s="63" t="s">
        <v>471</v>
      </c>
      <c r="K938" s="64" t="s">
        <v>4336</v>
      </c>
      <c r="L938" s="63" t="s">
        <v>157</v>
      </c>
      <c r="M938" s="63">
        <v>0</v>
      </c>
      <c r="N938" s="65">
        <v>45107</v>
      </c>
      <c r="O938"/>
      <c r="P938"/>
      <c r="Q938"/>
      <c r="R938"/>
      <c r="S938"/>
      <c r="T938"/>
    </row>
    <row r="939" spans="1:21" customFormat="1" ht="15" customHeight="1" x14ac:dyDescent="0.2">
      <c r="A939" s="59" t="s">
        <v>4822</v>
      </c>
      <c r="B939" s="60" t="s">
        <v>5987</v>
      </c>
      <c r="C939" s="60" t="s">
        <v>4827</v>
      </c>
      <c r="D939" s="40">
        <v>44327</v>
      </c>
      <c r="E939" s="61">
        <v>1300</v>
      </c>
      <c r="F939" s="62">
        <v>1300</v>
      </c>
      <c r="G939" s="63" t="s">
        <v>253</v>
      </c>
      <c r="H939" s="64" t="s">
        <v>4829</v>
      </c>
      <c r="I939" s="64" t="s">
        <v>2713</v>
      </c>
      <c r="J939" s="63" t="s">
        <v>3461</v>
      </c>
      <c r="K939" s="64" t="s">
        <v>4830</v>
      </c>
      <c r="L939" s="63" t="s">
        <v>4167</v>
      </c>
      <c r="M939" s="63">
        <v>0</v>
      </c>
      <c r="N939" s="65">
        <v>45077</v>
      </c>
    </row>
    <row r="940" spans="1:21" s="3" customFormat="1" ht="15" customHeight="1" x14ac:dyDescent="0.2">
      <c r="A940" s="59" t="s">
        <v>3513</v>
      </c>
      <c r="B940" s="42" t="s">
        <v>3524</v>
      </c>
      <c r="C940" s="42" t="s">
        <v>3525</v>
      </c>
      <c r="D940" s="40">
        <v>44327</v>
      </c>
      <c r="E940" s="41">
        <v>1300</v>
      </c>
      <c r="F940" s="46">
        <v>1300</v>
      </c>
      <c r="G940" s="44" t="s">
        <v>253</v>
      </c>
      <c r="H940" s="43" t="s">
        <v>3526</v>
      </c>
      <c r="I940" s="43" t="s">
        <v>2713</v>
      </c>
      <c r="J940" s="44" t="s">
        <v>791</v>
      </c>
      <c r="K940" s="48" t="s">
        <v>3616</v>
      </c>
      <c r="L940" s="52" t="s">
        <v>3556</v>
      </c>
      <c r="M940" s="56">
        <v>0</v>
      </c>
      <c r="N940" s="55" t="s">
        <v>3855</v>
      </c>
      <c r="O940" s="4"/>
      <c r="P940" s="4"/>
      <c r="Q940" s="4"/>
      <c r="R940" s="4"/>
      <c r="S940" s="4"/>
      <c r="T940" s="4"/>
    </row>
    <row r="941" spans="1:21" ht="15" customHeight="1" x14ac:dyDescent="0.2">
      <c r="A941" s="59" t="s">
        <v>5316</v>
      </c>
      <c r="B941" s="60" t="s">
        <v>1431</v>
      </c>
      <c r="C941" s="60" t="s">
        <v>3527</v>
      </c>
      <c r="D941" s="40">
        <v>44327</v>
      </c>
      <c r="E941" s="61" t="s">
        <v>5782</v>
      </c>
      <c r="F941" s="62" t="s">
        <v>5782</v>
      </c>
      <c r="G941" s="63" t="s">
        <v>615</v>
      </c>
      <c r="H941" s="64" t="s">
        <v>2739</v>
      </c>
      <c r="I941" s="64" t="s">
        <v>2713</v>
      </c>
      <c r="J941" s="63" t="s">
        <v>540</v>
      </c>
      <c r="K941" s="64" t="s">
        <v>5012</v>
      </c>
      <c r="L941" s="63" t="s">
        <v>41</v>
      </c>
      <c r="M941" s="63" t="s">
        <v>5781</v>
      </c>
      <c r="N941" s="65">
        <v>45412</v>
      </c>
      <c r="O941"/>
      <c r="P941"/>
      <c r="Q941"/>
      <c r="R941"/>
      <c r="S941"/>
      <c r="T941"/>
      <c r="U941"/>
    </row>
    <row r="942" spans="1:21" s="3" customFormat="1" ht="15" customHeight="1" x14ac:dyDescent="0.2">
      <c r="A942" s="59" t="s">
        <v>3514</v>
      </c>
      <c r="B942" s="42" t="s">
        <v>3528</v>
      </c>
      <c r="C942" s="42" t="s">
        <v>3529</v>
      </c>
      <c r="D942" s="40">
        <v>44328</v>
      </c>
      <c r="E942" s="41">
        <v>1228</v>
      </c>
      <c r="F942" s="46">
        <v>1228</v>
      </c>
      <c r="G942" s="44" t="s">
        <v>256</v>
      </c>
      <c r="H942" s="43" t="s">
        <v>5988</v>
      </c>
      <c r="I942" s="43" t="s">
        <v>2713</v>
      </c>
      <c r="J942" s="44" t="s">
        <v>3530</v>
      </c>
      <c r="K942" s="48" t="s">
        <v>3566</v>
      </c>
      <c r="L942" s="52" t="s">
        <v>3750</v>
      </c>
      <c r="M942" s="56">
        <v>0</v>
      </c>
      <c r="N942" s="45">
        <v>44592</v>
      </c>
      <c r="O942" s="4"/>
      <c r="P942" s="4"/>
      <c r="Q942" s="4"/>
      <c r="R942" s="4"/>
      <c r="S942" s="4"/>
      <c r="T942" s="4"/>
      <c r="U942" s="4"/>
    </row>
    <row r="943" spans="1:21" customFormat="1" ht="14.45" customHeight="1" x14ac:dyDescent="0.2">
      <c r="A943" s="59" t="s">
        <v>5317</v>
      </c>
      <c r="B943" s="60" t="s">
        <v>3531</v>
      </c>
      <c r="C943" s="60" t="s">
        <v>3532</v>
      </c>
      <c r="D943" s="40">
        <v>44330</v>
      </c>
      <c r="E943" s="61">
        <v>20</v>
      </c>
      <c r="F943" s="62">
        <v>20</v>
      </c>
      <c r="G943" s="63" t="s">
        <v>55</v>
      </c>
      <c r="H943" s="64" t="s">
        <v>2769</v>
      </c>
      <c r="I943" s="64" t="s">
        <v>2713</v>
      </c>
      <c r="J943" s="63" t="s">
        <v>471</v>
      </c>
      <c r="K943" s="64" t="s">
        <v>5013</v>
      </c>
      <c r="L943" s="63" t="s">
        <v>3533</v>
      </c>
      <c r="M943" s="63" t="s">
        <v>5781</v>
      </c>
      <c r="N943" s="65">
        <v>45322</v>
      </c>
    </row>
    <row r="944" spans="1:21" s="3" customFormat="1" ht="15" customHeight="1" x14ac:dyDescent="0.2">
      <c r="A944" s="59" t="s">
        <v>3515</v>
      </c>
      <c r="B944" s="42" t="s">
        <v>3534</v>
      </c>
      <c r="C944" s="42" t="s">
        <v>3535</v>
      </c>
      <c r="D944" s="40">
        <v>44333</v>
      </c>
      <c r="E944" s="41">
        <v>20</v>
      </c>
      <c r="F944" s="46">
        <v>20</v>
      </c>
      <c r="G944" s="44" t="s">
        <v>3505</v>
      </c>
      <c r="H944" s="43" t="s">
        <v>2741</v>
      </c>
      <c r="I944" s="43" t="s">
        <v>2713</v>
      </c>
      <c r="J944" s="44" t="s">
        <v>531</v>
      </c>
      <c r="K944" s="48" t="s">
        <v>3613</v>
      </c>
      <c r="L944" s="52" t="s">
        <v>34</v>
      </c>
      <c r="M944" s="56">
        <v>0</v>
      </c>
      <c r="N944" s="45">
        <v>44438</v>
      </c>
      <c r="O944" s="4"/>
      <c r="P944" s="4"/>
      <c r="Q944" s="4"/>
      <c r="R944" s="4"/>
      <c r="S944" s="4"/>
      <c r="T944" s="4"/>
      <c r="U944" s="4"/>
    </row>
    <row r="945" spans="1:21" s="3" customFormat="1" ht="15" customHeight="1" x14ac:dyDescent="0.2">
      <c r="A945" s="59" t="s">
        <v>3516</v>
      </c>
      <c r="B945" s="42" t="s">
        <v>3534</v>
      </c>
      <c r="C945" s="42" t="s">
        <v>3536</v>
      </c>
      <c r="D945" s="40">
        <v>44333</v>
      </c>
      <c r="E945" s="41">
        <v>20</v>
      </c>
      <c r="F945" s="46">
        <v>20</v>
      </c>
      <c r="G945" s="44" t="s">
        <v>3505</v>
      </c>
      <c r="H945" s="43" t="s">
        <v>2741</v>
      </c>
      <c r="I945" s="43" t="s">
        <v>2713</v>
      </c>
      <c r="J945" s="44" t="s">
        <v>531</v>
      </c>
      <c r="K945" s="48" t="s">
        <v>3614</v>
      </c>
      <c r="L945" s="52" t="s">
        <v>157</v>
      </c>
      <c r="M945" s="56">
        <v>0</v>
      </c>
      <c r="N945" s="55" t="s">
        <v>4312</v>
      </c>
      <c r="O945" s="4"/>
      <c r="P945" s="4"/>
      <c r="Q945" s="4"/>
      <c r="R945" s="4"/>
      <c r="S945" s="4"/>
      <c r="T945" s="4"/>
      <c r="U945" s="4"/>
    </row>
    <row r="946" spans="1:21" customFormat="1" ht="14.45" customHeight="1" x14ac:dyDescent="0.2">
      <c r="A946" s="59" t="s">
        <v>5318</v>
      </c>
      <c r="B946" s="60" t="s">
        <v>3209</v>
      </c>
      <c r="C946" s="60" t="s">
        <v>3537</v>
      </c>
      <c r="D946" s="40">
        <v>44333</v>
      </c>
      <c r="E946" s="61">
        <v>60</v>
      </c>
      <c r="F946" s="62">
        <v>60</v>
      </c>
      <c r="G946" s="63" t="s">
        <v>55</v>
      </c>
      <c r="H946" s="64" t="s">
        <v>2737</v>
      </c>
      <c r="I946" s="64" t="s">
        <v>2713</v>
      </c>
      <c r="J946" s="63" t="s">
        <v>530</v>
      </c>
      <c r="K946" s="64" t="s">
        <v>4338</v>
      </c>
      <c r="L946" s="63" t="s">
        <v>157</v>
      </c>
      <c r="M946" s="63" t="s">
        <v>5781</v>
      </c>
      <c r="N946" s="65">
        <v>45657</v>
      </c>
    </row>
    <row r="947" spans="1:21" customFormat="1" ht="15" customHeight="1" x14ac:dyDescent="0.2">
      <c r="A947" s="59" t="s">
        <v>5319</v>
      </c>
      <c r="B947" s="60" t="s">
        <v>3538</v>
      </c>
      <c r="C947" s="60" t="s">
        <v>3539</v>
      </c>
      <c r="D947" s="40">
        <v>44334</v>
      </c>
      <c r="E947" s="61" t="s">
        <v>3496</v>
      </c>
      <c r="F947" s="62" t="s">
        <v>3496</v>
      </c>
      <c r="G947" s="63" t="s">
        <v>124</v>
      </c>
      <c r="H947" s="64" t="s">
        <v>2746</v>
      </c>
      <c r="I947" s="64" t="s">
        <v>2713</v>
      </c>
      <c r="J947" s="63" t="s">
        <v>532</v>
      </c>
      <c r="K947" s="64" t="s">
        <v>3869</v>
      </c>
      <c r="L947" s="63" t="s">
        <v>87</v>
      </c>
      <c r="M947" s="63" t="s">
        <v>5781</v>
      </c>
      <c r="N947" s="65">
        <v>45504</v>
      </c>
    </row>
    <row r="948" spans="1:21" s="3" customFormat="1" ht="15" customHeight="1" x14ac:dyDescent="0.2">
      <c r="A948" s="59" t="s">
        <v>5320</v>
      </c>
      <c r="B948" s="60" t="s">
        <v>3538</v>
      </c>
      <c r="C948" s="60" t="s">
        <v>3540</v>
      </c>
      <c r="D948" s="40">
        <v>44334</v>
      </c>
      <c r="E948" s="61" t="s">
        <v>3496</v>
      </c>
      <c r="F948" s="62" t="s">
        <v>3496</v>
      </c>
      <c r="G948" s="63" t="s">
        <v>124</v>
      </c>
      <c r="H948" s="64" t="s">
        <v>2746</v>
      </c>
      <c r="I948" s="64" t="s">
        <v>2713</v>
      </c>
      <c r="J948" s="63" t="s">
        <v>532</v>
      </c>
      <c r="K948" s="64" t="s">
        <v>3541</v>
      </c>
      <c r="L948" s="63" t="s">
        <v>87</v>
      </c>
      <c r="M948" s="63" t="s">
        <v>5781</v>
      </c>
      <c r="N948" s="65">
        <v>45504</v>
      </c>
      <c r="O948"/>
      <c r="P948"/>
      <c r="Q948"/>
      <c r="R948"/>
      <c r="S948"/>
      <c r="T948"/>
      <c r="U948"/>
    </row>
    <row r="949" spans="1:21" customFormat="1" ht="15" customHeight="1" x14ac:dyDescent="0.2">
      <c r="A949" s="59" t="s">
        <v>5908</v>
      </c>
      <c r="B949" s="60" t="s">
        <v>4170</v>
      </c>
      <c r="C949" s="60" t="s">
        <v>4339</v>
      </c>
      <c r="D949" s="40">
        <v>44789</v>
      </c>
      <c r="E949" s="61" t="s">
        <v>5796</v>
      </c>
      <c r="F949" s="62" t="s">
        <v>5796</v>
      </c>
      <c r="G949" s="63" t="s">
        <v>615</v>
      </c>
      <c r="H949" s="64" t="s">
        <v>2748</v>
      </c>
      <c r="I949" s="64" t="s">
        <v>2713</v>
      </c>
      <c r="J949" s="63" t="s">
        <v>393</v>
      </c>
      <c r="K949" s="64" t="s">
        <v>5119</v>
      </c>
      <c r="L949" s="63" t="s">
        <v>34</v>
      </c>
      <c r="M949" s="63" t="s">
        <v>5781</v>
      </c>
      <c r="N949" s="65">
        <v>45443</v>
      </c>
      <c r="U949" s="4"/>
    </row>
    <row r="950" spans="1:21" customFormat="1" ht="14.45" customHeight="1" x14ac:dyDescent="0.2">
      <c r="A950" s="59" t="s">
        <v>5321</v>
      </c>
      <c r="B950" s="60" t="s">
        <v>4712</v>
      </c>
      <c r="C950" s="60" t="s">
        <v>3542</v>
      </c>
      <c r="D950" s="40">
        <v>44335</v>
      </c>
      <c r="E950" s="61">
        <v>130</v>
      </c>
      <c r="F950" s="62">
        <v>130</v>
      </c>
      <c r="G950" s="63" t="s">
        <v>55</v>
      </c>
      <c r="H950" s="64" t="s">
        <v>2788</v>
      </c>
      <c r="I950" s="64" t="s">
        <v>2713</v>
      </c>
      <c r="J950" s="63" t="s">
        <v>530</v>
      </c>
      <c r="K950" s="64" t="s">
        <v>4171</v>
      </c>
      <c r="L950" s="63" t="s">
        <v>157</v>
      </c>
      <c r="M950" s="63" t="s">
        <v>5781</v>
      </c>
      <c r="N950" s="65">
        <v>45657</v>
      </c>
    </row>
    <row r="951" spans="1:21" ht="15" customHeight="1" x14ac:dyDescent="0.2">
      <c r="A951" s="59" t="s">
        <v>3517</v>
      </c>
      <c r="B951" s="42" t="s">
        <v>1647</v>
      </c>
      <c r="C951" s="42" t="s">
        <v>3543</v>
      </c>
      <c r="D951" s="40">
        <v>44335</v>
      </c>
      <c r="E951" s="41">
        <v>20</v>
      </c>
      <c r="F951" s="46">
        <v>20</v>
      </c>
      <c r="G951" s="44" t="s">
        <v>55</v>
      </c>
      <c r="H951" s="43" t="s">
        <v>2740</v>
      </c>
      <c r="I951" s="43" t="s">
        <v>2713</v>
      </c>
      <c r="J951" s="44" t="s">
        <v>530</v>
      </c>
      <c r="K951" s="48" t="s">
        <v>3615</v>
      </c>
      <c r="L951" s="52" t="s">
        <v>157</v>
      </c>
      <c r="M951" s="56">
        <v>0</v>
      </c>
      <c r="N951" s="45">
        <v>44439</v>
      </c>
    </row>
    <row r="952" spans="1:21" customFormat="1" ht="14.45" customHeight="1" x14ac:dyDescent="0.2">
      <c r="A952" s="59" t="s">
        <v>5322</v>
      </c>
      <c r="B952" s="60" t="s">
        <v>4340</v>
      </c>
      <c r="C952" s="60" t="s">
        <v>4340</v>
      </c>
      <c r="D952" s="40">
        <v>44336</v>
      </c>
      <c r="E952" s="61">
        <v>116</v>
      </c>
      <c r="F952" s="62">
        <v>116</v>
      </c>
      <c r="G952" s="63" t="s">
        <v>615</v>
      </c>
      <c r="H952" s="64" t="s">
        <v>2794</v>
      </c>
      <c r="I952" s="64" t="s">
        <v>2713</v>
      </c>
      <c r="J952" s="63" t="s">
        <v>318</v>
      </c>
      <c r="K952" s="64" t="s">
        <v>4172</v>
      </c>
      <c r="L952" s="63" t="s">
        <v>34</v>
      </c>
      <c r="M952" s="63" t="s">
        <v>5781</v>
      </c>
      <c r="N952" s="65">
        <v>45657</v>
      </c>
    </row>
    <row r="953" spans="1:21" ht="15" customHeight="1" x14ac:dyDescent="0.2">
      <c r="A953" s="59" t="s">
        <v>5909</v>
      </c>
      <c r="B953" s="60" t="s">
        <v>4051</v>
      </c>
      <c r="C953" s="60" t="s">
        <v>4052</v>
      </c>
      <c r="D953" s="40">
        <v>44336</v>
      </c>
      <c r="E953" s="61" t="s">
        <v>5796</v>
      </c>
      <c r="F953" s="62" t="s">
        <v>5796</v>
      </c>
      <c r="G953" s="63" t="s">
        <v>615</v>
      </c>
      <c r="H953" s="64" t="s">
        <v>2735</v>
      </c>
      <c r="I953" s="64" t="s">
        <v>2713</v>
      </c>
      <c r="J953" s="63" t="s">
        <v>420</v>
      </c>
      <c r="K953" s="64" t="s">
        <v>4909</v>
      </c>
      <c r="L953" s="63" t="s">
        <v>41</v>
      </c>
      <c r="M953" s="63" t="s">
        <v>5781</v>
      </c>
      <c r="N953" s="65">
        <v>45443</v>
      </c>
      <c r="O953"/>
      <c r="P953"/>
      <c r="Q953"/>
      <c r="R953"/>
      <c r="S953"/>
      <c r="T953"/>
      <c r="U953"/>
    </row>
    <row r="954" spans="1:21" customFormat="1" ht="14.45" customHeight="1" x14ac:dyDescent="0.2">
      <c r="A954" s="59" t="s">
        <v>5323</v>
      </c>
      <c r="B954" s="60" t="s">
        <v>4713</v>
      </c>
      <c r="C954" s="60" t="s">
        <v>3544</v>
      </c>
      <c r="D954" s="40">
        <v>44336</v>
      </c>
      <c r="E954" s="61">
        <v>40</v>
      </c>
      <c r="F954" s="62">
        <v>40</v>
      </c>
      <c r="G954" s="63" t="s">
        <v>55</v>
      </c>
      <c r="H954" s="64" t="s">
        <v>2699</v>
      </c>
      <c r="I954" s="64" t="s">
        <v>2713</v>
      </c>
      <c r="J954" s="63" t="s">
        <v>471</v>
      </c>
      <c r="K954" s="64" t="s">
        <v>4714</v>
      </c>
      <c r="L954" s="63" t="s">
        <v>157</v>
      </c>
      <c r="M954" s="63" t="s">
        <v>5781</v>
      </c>
      <c r="N954" s="65">
        <v>45657</v>
      </c>
    </row>
    <row r="955" spans="1:21" ht="15" customHeight="1" x14ac:dyDescent="0.2">
      <c r="A955" s="59" t="s">
        <v>5064</v>
      </c>
      <c r="B955" s="60" t="s">
        <v>3459</v>
      </c>
      <c r="C955" s="60" t="s">
        <v>3546</v>
      </c>
      <c r="D955" s="40">
        <v>44337</v>
      </c>
      <c r="E955" s="61">
        <v>96</v>
      </c>
      <c r="F955" s="62">
        <v>96</v>
      </c>
      <c r="G955" s="63" t="s">
        <v>615</v>
      </c>
      <c r="H955" s="64" t="s">
        <v>2746</v>
      </c>
      <c r="I955" s="64" t="s">
        <v>2713</v>
      </c>
      <c r="J955" s="63" t="s">
        <v>532</v>
      </c>
      <c r="K955" s="64" t="s">
        <v>2608</v>
      </c>
      <c r="L955" s="63" t="s">
        <v>87</v>
      </c>
      <c r="M955" s="63">
        <v>0</v>
      </c>
      <c r="N955" s="65">
        <v>45199</v>
      </c>
      <c r="O955"/>
      <c r="P955"/>
      <c r="Q955"/>
      <c r="R955"/>
      <c r="S955"/>
      <c r="T955"/>
      <c r="U955"/>
    </row>
    <row r="956" spans="1:21" ht="15" customHeight="1" x14ac:dyDescent="0.2">
      <c r="A956" s="59" t="s">
        <v>3518</v>
      </c>
      <c r="B956" s="42" t="s">
        <v>3459</v>
      </c>
      <c r="C956" s="42" t="s">
        <v>3547</v>
      </c>
      <c r="D956" s="40">
        <v>44337</v>
      </c>
      <c r="E956" s="41">
        <v>1440</v>
      </c>
      <c r="F956" s="46">
        <v>1440</v>
      </c>
      <c r="G956" s="44" t="s">
        <v>3610</v>
      </c>
      <c r="H956" s="43" t="s">
        <v>2746</v>
      </c>
      <c r="I956" s="43" t="s">
        <v>2713</v>
      </c>
      <c r="J956" s="44" t="s">
        <v>532</v>
      </c>
      <c r="K956" s="48" t="s">
        <v>2608</v>
      </c>
      <c r="L956" s="52" t="s">
        <v>87</v>
      </c>
      <c r="M956" s="44">
        <v>0</v>
      </c>
      <c r="N956" s="55" t="s">
        <v>3620</v>
      </c>
      <c r="U956"/>
    </row>
    <row r="957" spans="1:21" ht="15" customHeight="1" x14ac:dyDescent="0.2">
      <c r="A957" s="59" t="s">
        <v>3519</v>
      </c>
      <c r="B957" s="42" t="s">
        <v>3534</v>
      </c>
      <c r="C957" s="42" t="s">
        <v>3548</v>
      </c>
      <c r="D957" s="40">
        <v>44343</v>
      </c>
      <c r="E957" s="41">
        <v>20</v>
      </c>
      <c r="F957" s="46">
        <v>20</v>
      </c>
      <c r="G957" s="44" t="s">
        <v>3505</v>
      </c>
      <c r="H957" s="43" t="s">
        <v>2728</v>
      </c>
      <c r="I957" s="43" t="s">
        <v>2713</v>
      </c>
      <c r="J957" s="44" t="s">
        <v>531</v>
      </c>
      <c r="K957" s="48" t="s">
        <v>3619</v>
      </c>
      <c r="L957" s="52" t="s">
        <v>34</v>
      </c>
      <c r="M957" s="56">
        <v>0</v>
      </c>
      <c r="N957" s="45">
        <v>44469</v>
      </c>
      <c r="U957"/>
    </row>
    <row r="958" spans="1:21" customFormat="1" ht="15" customHeight="1" x14ac:dyDescent="0.2">
      <c r="A958" s="59" t="s">
        <v>5327</v>
      </c>
      <c r="B958" s="60" t="s">
        <v>3538</v>
      </c>
      <c r="C958" s="60" t="s">
        <v>3551</v>
      </c>
      <c r="D958" s="40">
        <v>44343</v>
      </c>
      <c r="E958" s="61" t="s">
        <v>5053</v>
      </c>
      <c r="F958" s="62" t="s">
        <v>5053</v>
      </c>
      <c r="G958" s="63" t="s">
        <v>124</v>
      </c>
      <c r="H958" s="64" t="s">
        <v>2746</v>
      </c>
      <c r="I958" s="64" t="s">
        <v>2713</v>
      </c>
      <c r="J958" s="63" t="s">
        <v>532</v>
      </c>
      <c r="K958" s="64" t="s">
        <v>3552</v>
      </c>
      <c r="L958" s="63" t="s">
        <v>41</v>
      </c>
      <c r="M958" s="63" t="s">
        <v>5781</v>
      </c>
      <c r="N958" s="65">
        <v>45504</v>
      </c>
    </row>
    <row r="959" spans="1:21" customFormat="1" ht="15" customHeight="1" x14ac:dyDescent="0.2">
      <c r="A959" s="59" t="s">
        <v>5328</v>
      </c>
      <c r="B959" s="60" t="s">
        <v>5099</v>
      </c>
      <c r="C959" s="60" t="s">
        <v>3553</v>
      </c>
      <c r="D959" s="40">
        <v>44344</v>
      </c>
      <c r="E959" s="61" t="s">
        <v>5053</v>
      </c>
      <c r="F959" s="62" t="s">
        <v>5053</v>
      </c>
      <c r="G959" s="63" t="s">
        <v>124</v>
      </c>
      <c r="H959" s="64" t="s">
        <v>3554</v>
      </c>
      <c r="I959" s="64" t="s">
        <v>2713</v>
      </c>
      <c r="J959" s="63" t="s">
        <v>533</v>
      </c>
      <c r="K959" s="64" t="s">
        <v>5014</v>
      </c>
      <c r="L959" s="63" t="s">
        <v>403</v>
      </c>
      <c r="M959" s="63" t="s">
        <v>5781</v>
      </c>
      <c r="N959" s="65">
        <v>45504</v>
      </c>
    </row>
    <row r="960" spans="1:21" customFormat="1" ht="15" customHeight="1" x14ac:dyDescent="0.2">
      <c r="A960" s="59" t="s">
        <v>5910</v>
      </c>
      <c r="B960" s="60" t="s">
        <v>3328</v>
      </c>
      <c r="C960" s="60" t="s">
        <v>3555</v>
      </c>
      <c r="D960" s="40">
        <v>44347</v>
      </c>
      <c r="E960" s="61" t="s">
        <v>5793</v>
      </c>
      <c r="F960" s="62" t="s">
        <v>5793</v>
      </c>
      <c r="G960" s="63" t="s">
        <v>3505</v>
      </c>
      <c r="H960" s="64" t="s">
        <v>2740</v>
      </c>
      <c r="I960" s="64" t="s">
        <v>2713</v>
      </c>
      <c r="J960" s="63" t="s">
        <v>530</v>
      </c>
      <c r="K960" s="64" t="s">
        <v>4986</v>
      </c>
      <c r="L960" s="63" t="s">
        <v>157</v>
      </c>
      <c r="M960" s="63" t="s">
        <v>5781</v>
      </c>
      <c r="N960" s="65">
        <v>45443</v>
      </c>
    </row>
    <row r="961" spans="1:20" customFormat="1" ht="15" customHeight="1" x14ac:dyDescent="0.2">
      <c r="A961" s="59" t="s">
        <v>5911</v>
      </c>
      <c r="B961" s="60" t="s">
        <v>3538</v>
      </c>
      <c r="C961" s="60" t="s">
        <v>3578</v>
      </c>
      <c r="D961" s="40">
        <v>44349</v>
      </c>
      <c r="E961" s="61" t="s">
        <v>5053</v>
      </c>
      <c r="F961" s="62" t="s">
        <v>5053</v>
      </c>
      <c r="G961" s="63" t="s">
        <v>124</v>
      </c>
      <c r="H961" s="64" t="s">
        <v>3449</v>
      </c>
      <c r="I961" s="64" t="s">
        <v>2713</v>
      </c>
      <c r="J961" s="63" t="s">
        <v>533</v>
      </c>
      <c r="K961" s="64" t="s">
        <v>4175</v>
      </c>
      <c r="L961" s="63" t="s">
        <v>403</v>
      </c>
      <c r="M961" s="63" t="s">
        <v>5781</v>
      </c>
      <c r="N961" s="65">
        <v>45443</v>
      </c>
    </row>
    <row r="962" spans="1:20" customFormat="1" ht="15" customHeight="1" x14ac:dyDescent="0.2">
      <c r="A962" s="59" t="s">
        <v>5912</v>
      </c>
      <c r="B962" s="60" t="s">
        <v>3538</v>
      </c>
      <c r="C962" s="60" t="s">
        <v>3579</v>
      </c>
      <c r="D962" s="40">
        <v>44349</v>
      </c>
      <c r="E962" s="61" t="s">
        <v>5053</v>
      </c>
      <c r="F962" s="62" t="s">
        <v>5053</v>
      </c>
      <c r="G962" s="63" t="s">
        <v>124</v>
      </c>
      <c r="H962" s="64" t="s">
        <v>2719</v>
      </c>
      <c r="I962" s="64" t="s">
        <v>2713</v>
      </c>
      <c r="J962" s="63" t="s">
        <v>533</v>
      </c>
      <c r="K962" s="64" t="s">
        <v>3580</v>
      </c>
      <c r="L962" s="63" t="s">
        <v>403</v>
      </c>
      <c r="M962" s="63" t="s">
        <v>5781</v>
      </c>
      <c r="N962" s="65">
        <v>45443</v>
      </c>
    </row>
    <row r="963" spans="1:20" customFormat="1" ht="14.45" customHeight="1" x14ac:dyDescent="0.2">
      <c r="A963" s="59" t="s">
        <v>5329</v>
      </c>
      <c r="B963" s="60" t="s">
        <v>3581</v>
      </c>
      <c r="C963" s="60" t="s">
        <v>3582</v>
      </c>
      <c r="D963" s="40">
        <v>44350</v>
      </c>
      <c r="E963" s="61">
        <v>130</v>
      </c>
      <c r="F963" s="62">
        <v>130</v>
      </c>
      <c r="G963" s="63" t="s">
        <v>55</v>
      </c>
      <c r="H963" s="64" t="s">
        <v>2766</v>
      </c>
      <c r="I963" s="64" t="s">
        <v>2713</v>
      </c>
      <c r="J963" s="63" t="s">
        <v>393</v>
      </c>
      <c r="K963" s="64" t="s">
        <v>4176</v>
      </c>
      <c r="L963" s="63" t="s">
        <v>157</v>
      </c>
      <c r="M963" s="63" t="s">
        <v>5781</v>
      </c>
      <c r="N963" s="65">
        <v>45688</v>
      </c>
    </row>
    <row r="964" spans="1:20" customFormat="1" ht="15" customHeight="1" x14ac:dyDescent="0.2">
      <c r="A964" s="59" t="s">
        <v>3570</v>
      </c>
      <c r="B964" s="42" t="s">
        <v>3583</v>
      </c>
      <c r="C964" s="42" t="s">
        <v>750</v>
      </c>
      <c r="D964" s="40">
        <v>44351</v>
      </c>
      <c r="E964" s="41">
        <v>19.8</v>
      </c>
      <c r="F964" s="46">
        <v>19.8</v>
      </c>
      <c r="G964" s="44" t="s">
        <v>55</v>
      </c>
      <c r="H964" s="43" t="s">
        <v>2740</v>
      </c>
      <c r="I964" s="43" t="s">
        <v>2713</v>
      </c>
      <c r="J964" s="44" t="s">
        <v>530</v>
      </c>
      <c r="K964" s="48" t="s">
        <v>3611</v>
      </c>
      <c r="L964" s="52" t="s">
        <v>157</v>
      </c>
      <c r="M964" s="56">
        <v>0</v>
      </c>
      <c r="N964" s="45">
        <v>44408</v>
      </c>
      <c r="O964" s="4"/>
      <c r="P964" s="4"/>
      <c r="Q964" s="4"/>
      <c r="R964" s="4"/>
      <c r="S964" s="4"/>
      <c r="T964" s="4"/>
    </row>
    <row r="965" spans="1:20" customFormat="1" ht="15" customHeight="1" x14ac:dyDescent="0.2">
      <c r="A965" s="59" t="s">
        <v>3571</v>
      </c>
      <c r="B965" s="42" t="s">
        <v>3584</v>
      </c>
      <c r="C965" s="42" t="s">
        <v>3585</v>
      </c>
      <c r="D965" s="40">
        <v>44354</v>
      </c>
      <c r="E965" s="41">
        <v>30.4</v>
      </c>
      <c r="F965" s="46">
        <v>30.4</v>
      </c>
      <c r="G965" s="44" t="s">
        <v>615</v>
      </c>
      <c r="H965" s="43" t="s">
        <v>2714</v>
      </c>
      <c r="I965" s="43" t="s">
        <v>2713</v>
      </c>
      <c r="J965" s="44" t="s">
        <v>533</v>
      </c>
      <c r="K965" s="48" t="s">
        <v>3586</v>
      </c>
      <c r="L965" s="52" t="s">
        <v>403</v>
      </c>
      <c r="M965" s="56">
        <v>0</v>
      </c>
      <c r="N965" s="45">
        <v>44439</v>
      </c>
      <c r="O965" s="4"/>
      <c r="P965" s="4"/>
      <c r="Q965" s="4"/>
      <c r="R965" s="4"/>
      <c r="S965" s="4"/>
      <c r="T965" s="4"/>
    </row>
    <row r="966" spans="1:20" customFormat="1" ht="15" customHeight="1" x14ac:dyDescent="0.2">
      <c r="A966" s="59" t="s">
        <v>5580</v>
      </c>
      <c r="B966" s="60" t="s">
        <v>3328</v>
      </c>
      <c r="C966" s="60" t="s">
        <v>4053</v>
      </c>
      <c r="D966" s="40">
        <v>44355</v>
      </c>
      <c r="E966" s="61">
        <v>120</v>
      </c>
      <c r="F966" s="62">
        <v>120</v>
      </c>
      <c r="G966" s="63" t="s">
        <v>3505</v>
      </c>
      <c r="H966" s="64" t="s">
        <v>2838</v>
      </c>
      <c r="I966" s="64" t="s">
        <v>2713</v>
      </c>
      <c r="J966" s="63" t="s">
        <v>540</v>
      </c>
      <c r="K966" s="64" t="s">
        <v>4177</v>
      </c>
      <c r="L966" s="63" t="s">
        <v>191</v>
      </c>
      <c r="M966" s="63">
        <v>0</v>
      </c>
      <c r="N966" s="65">
        <v>45260</v>
      </c>
    </row>
    <row r="967" spans="1:20" customFormat="1" ht="15" customHeight="1" x14ac:dyDescent="0.2">
      <c r="A967" s="59" t="s">
        <v>7762</v>
      </c>
      <c r="B967" s="60" t="s">
        <v>1264</v>
      </c>
      <c r="C967" s="60" t="s">
        <v>7763</v>
      </c>
      <c r="D967" s="40">
        <v>44356</v>
      </c>
      <c r="E967" s="61">
        <v>20</v>
      </c>
      <c r="F967" s="62">
        <v>20</v>
      </c>
      <c r="G967" s="63" t="s">
        <v>55</v>
      </c>
      <c r="H967" s="64" t="s">
        <v>7764</v>
      </c>
      <c r="I967" s="64" t="s">
        <v>2713</v>
      </c>
      <c r="J967" s="63" t="s">
        <v>471</v>
      </c>
      <c r="K967" s="64" t="s">
        <v>7765</v>
      </c>
      <c r="L967" s="63" t="s">
        <v>157</v>
      </c>
      <c r="M967" s="65" t="s">
        <v>5781</v>
      </c>
      <c r="N967" s="65">
        <v>45626</v>
      </c>
    </row>
    <row r="968" spans="1:20" customFormat="1" ht="15" customHeight="1" x14ac:dyDescent="0.2">
      <c r="A968" s="59" t="s">
        <v>5330</v>
      </c>
      <c r="B968" s="60" t="s">
        <v>3460</v>
      </c>
      <c r="C968" s="60" t="s">
        <v>3587</v>
      </c>
      <c r="D968" s="40">
        <v>44356</v>
      </c>
      <c r="E968" s="61">
        <v>200</v>
      </c>
      <c r="F968" s="62">
        <v>200</v>
      </c>
      <c r="G968" s="63" t="s">
        <v>124</v>
      </c>
      <c r="H968" s="64" t="s">
        <v>2719</v>
      </c>
      <c r="I968" s="64" t="s">
        <v>2713</v>
      </c>
      <c r="J968" s="63" t="s">
        <v>533</v>
      </c>
      <c r="K968" s="64" t="s">
        <v>4805</v>
      </c>
      <c r="L968" s="63" t="s">
        <v>403</v>
      </c>
      <c r="M968" s="63">
        <v>0</v>
      </c>
      <c r="N968" s="65">
        <v>45565</v>
      </c>
    </row>
    <row r="969" spans="1:20" customFormat="1" ht="15" customHeight="1" x14ac:dyDescent="0.2">
      <c r="A969" s="59" t="s">
        <v>3496</v>
      </c>
      <c r="B969" s="60" t="s">
        <v>3460</v>
      </c>
      <c r="C969" s="60" t="s">
        <v>3588</v>
      </c>
      <c r="D969" s="40">
        <v>44356</v>
      </c>
      <c r="E969" s="61" t="s">
        <v>5812</v>
      </c>
      <c r="F969" s="62" t="s">
        <v>5812</v>
      </c>
      <c r="G969" s="63" t="s">
        <v>124</v>
      </c>
      <c r="H969" s="64" t="s">
        <v>2719</v>
      </c>
      <c r="I969" s="64" t="s">
        <v>2713</v>
      </c>
      <c r="J969" s="63" t="s">
        <v>533</v>
      </c>
      <c r="K969" s="64" t="s">
        <v>3177</v>
      </c>
      <c r="L969" s="63" t="s">
        <v>403</v>
      </c>
      <c r="M969" s="63" t="s">
        <v>5781</v>
      </c>
      <c r="N969" s="65">
        <v>45443</v>
      </c>
    </row>
    <row r="970" spans="1:20" customFormat="1" ht="15" customHeight="1" x14ac:dyDescent="0.2">
      <c r="A970" s="59" t="s">
        <v>3572</v>
      </c>
      <c r="B970" s="42" t="s">
        <v>2572</v>
      </c>
      <c r="C970" s="42" t="s">
        <v>3589</v>
      </c>
      <c r="D970" s="40">
        <v>44357</v>
      </c>
      <c r="E970" s="41">
        <v>200</v>
      </c>
      <c r="F970" s="46">
        <v>200</v>
      </c>
      <c r="G970" s="44"/>
      <c r="H970" s="43" t="s">
        <v>2800</v>
      </c>
      <c r="I970" s="43" t="s">
        <v>2713</v>
      </c>
      <c r="J970" s="44" t="s">
        <v>420</v>
      </c>
      <c r="K970" s="48" t="s">
        <v>2573</v>
      </c>
      <c r="L970" s="52" t="s">
        <v>157</v>
      </c>
      <c r="M970" s="56">
        <v>0</v>
      </c>
      <c r="N970" s="45">
        <v>44439</v>
      </c>
      <c r="O970" s="4"/>
      <c r="P970" s="4"/>
      <c r="Q970" s="4"/>
      <c r="R970" s="4"/>
      <c r="S970" s="4"/>
      <c r="T970" s="4"/>
    </row>
    <row r="971" spans="1:20" customFormat="1" ht="15" customHeight="1" x14ac:dyDescent="0.2">
      <c r="A971" s="59" t="s">
        <v>5331</v>
      </c>
      <c r="B971" s="60" t="s">
        <v>3590</v>
      </c>
      <c r="C971" s="60" t="s">
        <v>3591</v>
      </c>
      <c r="D971" s="40">
        <v>44358</v>
      </c>
      <c r="E971" s="61">
        <v>24</v>
      </c>
      <c r="F971" s="62">
        <v>24</v>
      </c>
      <c r="G971" s="63" t="s">
        <v>615</v>
      </c>
      <c r="H971" s="64" t="s">
        <v>2746</v>
      </c>
      <c r="I971" s="64" t="s">
        <v>2713</v>
      </c>
      <c r="J971" s="63" t="s">
        <v>532</v>
      </c>
      <c r="K971" s="64" t="s">
        <v>4526</v>
      </c>
      <c r="L971" s="63" t="s">
        <v>87</v>
      </c>
      <c r="M971" s="63">
        <v>0</v>
      </c>
      <c r="N971" s="65">
        <v>45565</v>
      </c>
    </row>
    <row r="972" spans="1:20" customFormat="1" ht="15" customHeight="1" x14ac:dyDescent="0.2">
      <c r="A972" s="59" t="s">
        <v>5913</v>
      </c>
      <c r="B972" s="60" t="s">
        <v>1428</v>
      </c>
      <c r="C972" s="60" t="s">
        <v>1585</v>
      </c>
      <c r="D972" s="40">
        <v>44361</v>
      </c>
      <c r="E972" s="61" t="s">
        <v>5794</v>
      </c>
      <c r="F972" s="62" t="s">
        <v>5794</v>
      </c>
      <c r="G972" s="63" t="s">
        <v>55</v>
      </c>
      <c r="H972" s="64" t="s">
        <v>401</v>
      </c>
      <c r="I972" s="64" t="s">
        <v>2713</v>
      </c>
      <c r="J972" s="63" t="s">
        <v>393</v>
      </c>
      <c r="K972" s="64" t="s">
        <v>1460</v>
      </c>
      <c r="L972" s="63" t="s">
        <v>34</v>
      </c>
      <c r="M972" s="63" t="s">
        <v>5781</v>
      </c>
      <c r="N972" s="65">
        <v>45443</v>
      </c>
    </row>
    <row r="973" spans="1:20" customFormat="1" ht="15" customHeight="1" x14ac:dyDescent="0.2">
      <c r="A973" s="59" t="s">
        <v>3573</v>
      </c>
      <c r="B973" s="42" t="s">
        <v>3592</v>
      </c>
      <c r="C973" s="42" t="s">
        <v>3593</v>
      </c>
      <c r="D973" s="40">
        <v>44362</v>
      </c>
      <c r="E973" s="41">
        <v>38</v>
      </c>
      <c r="F973" s="46">
        <v>38</v>
      </c>
      <c r="G973" s="44" t="s">
        <v>615</v>
      </c>
      <c r="H973" s="43" t="s">
        <v>2714</v>
      </c>
      <c r="I973" s="43" t="s">
        <v>2713</v>
      </c>
      <c r="J973" s="44" t="s">
        <v>533</v>
      </c>
      <c r="K973" s="48" t="s">
        <v>3586</v>
      </c>
      <c r="L973" s="52" t="s">
        <v>403</v>
      </c>
      <c r="M973" s="56">
        <v>0</v>
      </c>
      <c r="N973" s="45">
        <v>44439</v>
      </c>
      <c r="O973" s="4"/>
      <c r="P973" s="4"/>
      <c r="Q973" s="4"/>
      <c r="R973" s="4"/>
      <c r="S973" s="4"/>
      <c r="T973" s="4"/>
    </row>
    <row r="974" spans="1:20" customFormat="1" ht="15" customHeight="1" x14ac:dyDescent="0.2">
      <c r="A974" s="59" t="s">
        <v>5581</v>
      </c>
      <c r="B974" s="60" t="s">
        <v>3594</v>
      </c>
      <c r="C974" s="60" t="s">
        <v>3595</v>
      </c>
      <c r="D974" s="40">
        <v>44363</v>
      </c>
      <c r="E974" s="61">
        <v>300</v>
      </c>
      <c r="F974" s="62">
        <v>300</v>
      </c>
      <c r="G974" s="63" t="s">
        <v>55</v>
      </c>
      <c r="H974" s="64" t="s">
        <v>2737</v>
      </c>
      <c r="I974" s="64" t="s">
        <v>2713</v>
      </c>
      <c r="J974" s="63" t="s">
        <v>530</v>
      </c>
      <c r="K974" s="64" t="s">
        <v>4178</v>
      </c>
      <c r="L974" s="63" t="s">
        <v>41</v>
      </c>
      <c r="M974" s="63">
        <v>0</v>
      </c>
      <c r="N974" s="65">
        <v>45260</v>
      </c>
    </row>
    <row r="975" spans="1:20" customFormat="1" ht="15" customHeight="1" x14ac:dyDescent="0.2">
      <c r="A975" s="59" t="s">
        <v>5332</v>
      </c>
      <c r="B975" s="60" t="s">
        <v>3596</v>
      </c>
      <c r="C975" s="60" t="s">
        <v>3597</v>
      </c>
      <c r="D975" s="40">
        <v>44365</v>
      </c>
      <c r="E975" s="61" t="s">
        <v>3496</v>
      </c>
      <c r="F975" s="62" t="s">
        <v>3496</v>
      </c>
      <c r="G975" s="63" t="s">
        <v>124</v>
      </c>
      <c r="H975" s="64" t="s">
        <v>2719</v>
      </c>
      <c r="I975" s="64" t="s">
        <v>2713</v>
      </c>
      <c r="J975" s="63" t="s">
        <v>533</v>
      </c>
      <c r="K975" s="64" t="s">
        <v>4179</v>
      </c>
      <c r="L975" s="63" t="s">
        <v>403</v>
      </c>
      <c r="M975" s="63" t="s">
        <v>5781</v>
      </c>
      <c r="N975" s="65">
        <v>45504</v>
      </c>
    </row>
    <row r="976" spans="1:20" customFormat="1" x14ac:dyDescent="0.2">
      <c r="A976" s="59" t="s">
        <v>5914</v>
      </c>
      <c r="B976" s="60" t="s">
        <v>3596</v>
      </c>
      <c r="C976" s="60" t="s">
        <v>3598</v>
      </c>
      <c r="D976" s="40">
        <v>44365</v>
      </c>
      <c r="E976" s="61" t="s">
        <v>3496</v>
      </c>
      <c r="F976" s="62" t="s">
        <v>3496</v>
      </c>
      <c r="G976" s="63" t="s">
        <v>253</v>
      </c>
      <c r="H976" s="64" t="s">
        <v>2713</v>
      </c>
      <c r="I976" s="64" t="s">
        <v>2713</v>
      </c>
      <c r="J976" s="63" t="s">
        <v>533</v>
      </c>
      <c r="K976" s="64" t="s">
        <v>4910</v>
      </c>
      <c r="L976" s="63" t="s">
        <v>403</v>
      </c>
      <c r="M976" s="63" t="s">
        <v>5781</v>
      </c>
      <c r="N976" s="65">
        <v>45443</v>
      </c>
    </row>
    <row r="977" spans="1:20" customFormat="1" x14ac:dyDescent="0.2">
      <c r="A977" s="59" t="s">
        <v>3574</v>
      </c>
      <c r="B977" s="42" t="s">
        <v>3599</v>
      </c>
      <c r="C977" s="42" t="s">
        <v>3600</v>
      </c>
      <c r="D977" s="40">
        <v>44367</v>
      </c>
      <c r="E977" s="41">
        <v>20</v>
      </c>
      <c r="F977" s="46">
        <v>20</v>
      </c>
      <c r="G977" s="44" t="s">
        <v>615</v>
      </c>
      <c r="H977" s="43" t="s">
        <v>2716</v>
      </c>
      <c r="I977" s="43" t="s">
        <v>2713</v>
      </c>
      <c r="J977" s="44" t="s">
        <v>532</v>
      </c>
      <c r="K977" s="48" t="s">
        <v>3601</v>
      </c>
      <c r="L977" s="52" t="s">
        <v>87</v>
      </c>
      <c r="M977" s="56">
        <v>0</v>
      </c>
      <c r="N977" s="45">
        <v>44530</v>
      </c>
      <c r="O977" s="4"/>
      <c r="P977" s="4"/>
      <c r="Q977" s="4"/>
      <c r="R977" s="4"/>
      <c r="S977" s="4"/>
      <c r="T977" s="4"/>
    </row>
    <row r="978" spans="1:20" customFormat="1" x14ac:dyDescent="0.2">
      <c r="A978" s="59" t="s">
        <v>3575</v>
      </c>
      <c r="B978" s="42" t="s">
        <v>1444</v>
      </c>
      <c r="C978" s="42" t="s">
        <v>3602</v>
      </c>
      <c r="D978" s="40">
        <v>44368</v>
      </c>
      <c r="E978" s="41">
        <v>300</v>
      </c>
      <c r="F978" s="46">
        <v>300</v>
      </c>
      <c r="G978" s="44" t="s">
        <v>615</v>
      </c>
      <c r="H978" s="43" t="s">
        <v>2719</v>
      </c>
      <c r="I978" s="43" t="s">
        <v>2713</v>
      </c>
      <c r="J978" s="44" t="s">
        <v>533</v>
      </c>
      <c r="K978" s="48" t="s">
        <v>3177</v>
      </c>
      <c r="L978" s="52" t="s">
        <v>403</v>
      </c>
      <c r="M978" s="56">
        <v>0</v>
      </c>
      <c r="N978" s="45">
        <v>44651</v>
      </c>
      <c r="O978" s="4"/>
      <c r="P978" s="4"/>
      <c r="Q978" s="4"/>
      <c r="R978" s="4"/>
      <c r="S978" s="4"/>
      <c r="T978" s="4"/>
    </row>
    <row r="979" spans="1:20" customFormat="1" x14ac:dyDescent="0.2">
      <c r="A979" s="59" t="s">
        <v>5915</v>
      </c>
      <c r="B979" s="60" t="s">
        <v>3328</v>
      </c>
      <c r="C979" s="60" t="s">
        <v>3603</v>
      </c>
      <c r="D979" s="40">
        <v>44369</v>
      </c>
      <c r="E979" s="61" t="s">
        <v>5797</v>
      </c>
      <c r="F979" s="62" t="s">
        <v>5797</v>
      </c>
      <c r="G979" s="63" t="s">
        <v>3505</v>
      </c>
      <c r="H979" s="64" t="s">
        <v>2740</v>
      </c>
      <c r="I979" s="64" t="s">
        <v>2713</v>
      </c>
      <c r="J979" s="63" t="s">
        <v>530</v>
      </c>
      <c r="K979" s="64" t="s">
        <v>4986</v>
      </c>
      <c r="L979" s="63" t="s">
        <v>157</v>
      </c>
      <c r="M979" s="63" t="s">
        <v>5781</v>
      </c>
      <c r="N979" s="65">
        <v>45443</v>
      </c>
    </row>
    <row r="980" spans="1:20" customFormat="1" x14ac:dyDescent="0.2">
      <c r="A980" s="59" t="s">
        <v>3576</v>
      </c>
      <c r="B980" s="60" t="s">
        <v>4527</v>
      </c>
      <c r="C980" s="60" t="s">
        <v>3605</v>
      </c>
      <c r="D980" s="40">
        <v>44372</v>
      </c>
      <c r="E980" s="61">
        <v>19.899999999999999</v>
      </c>
      <c r="F980" s="62">
        <v>19.899999999999999</v>
      </c>
      <c r="G980" s="63" t="s">
        <v>3505</v>
      </c>
      <c r="H980" s="64" t="s">
        <v>2735</v>
      </c>
      <c r="I980" s="64" t="s">
        <v>2713</v>
      </c>
      <c r="J980" s="63" t="s">
        <v>420</v>
      </c>
      <c r="K980" s="64" t="s">
        <v>4180</v>
      </c>
      <c r="L980" s="63" t="s">
        <v>34</v>
      </c>
      <c r="M980" s="63">
        <v>0</v>
      </c>
      <c r="N980" s="65">
        <v>45077</v>
      </c>
    </row>
    <row r="981" spans="1:20" customFormat="1" ht="14.45" customHeight="1" x14ac:dyDescent="0.2">
      <c r="A981" s="59" t="s">
        <v>5333</v>
      </c>
      <c r="B981" s="60" t="s">
        <v>4528</v>
      </c>
      <c r="C981" s="60" t="s">
        <v>3607</v>
      </c>
      <c r="D981" s="40">
        <v>44372</v>
      </c>
      <c r="E981" s="61">
        <v>19.899999999999999</v>
      </c>
      <c r="F981" s="62">
        <v>19.899999999999999</v>
      </c>
      <c r="G981" s="63" t="s">
        <v>3505</v>
      </c>
      <c r="H981" s="64" t="s">
        <v>2800</v>
      </c>
      <c r="I981" s="64" t="s">
        <v>2713</v>
      </c>
      <c r="J981" s="63" t="s">
        <v>420</v>
      </c>
      <c r="K981" s="64" t="s">
        <v>4529</v>
      </c>
      <c r="L981" s="63" t="s">
        <v>157</v>
      </c>
      <c r="M981" s="63" t="s">
        <v>5781</v>
      </c>
      <c r="N981" s="65">
        <v>45657</v>
      </c>
    </row>
    <row r="982" spans="1:20" customFormat="1" x14ac:dyDescent="0.2">
      <c r="A982" s="59" t="s">
        <v>3577</v>
      </c>
      <c r="B982" s="42" t="s">
        <v>3608</v>
      </c>
      <c r="C982" s="42" t="s">
        <v>3609</v>
      </c>
      <c r="D982" s="40">
        <v>44377</v>
      </c>
      <c r="E982" s="41">
        <v>20</v>
      </c>
      <c r="F982" s="46">
        <v>20</v>
      </c>
      <c r="G982" s="44" t="s">
        <v>3505</v>
      </c>
      <c r="H982" s="43" t="s">
        <v>2769</v>
      </c>
      <c r="I982" s="43" t="s">
        <v>2713</v>
      </c>
      <c r="J982" s="44" t="s">
        <v>539</v>
      </c>
      <c r="K982" s="48" t="s">
        <v>3664</v>
      </c>
      <c r="L982" s="52" t="s">
        <v>673</v>
      </c>
      <c r="M982" s="56">
        <v>0</v>
      </c>
      <c r="N982" s="45">
        <v>44439</v>
      </c>
      <c r="O982" s="4"/>
      <c r="P982" s="4"/>
      <c r="Q982" s="4"/>
      <c r="R982" s="4"/>
      <c r="S982" s="4"/>
      <c r="T982" s="4"/>
    </row>
    <row r="983" spans="1:20" customFormat="1" x14ac:dyDescent="0.2">
      <c r="A983" s="59" t="s">
        <v>3624</v>
      </c>
      <c r="B983" s="42" t="s">
        <v>3604</v>
      </c>
      <c r="C983" s="42" t="s">
        <v>3632</v>
      </c>
      <c r="D983" s="40">
        <v>44382</v>
      </c>
      <c r="E983" s="41">
        <v>19.899999999999999</v>
      </c>
      <c r="F983" s="46">
        <v>19.899999999999999</v>
      </c>
      <c r="G983" s="44" t="s">
        <v>3505</v>
      </c>
      <c r="H983" s="43" t="s">
        <v>2731</v>
      </c>
      <c r="I983" s="43" t="s">
        <v>364</v>
      </c>
      <c r="J983" s="44" t="s">
        <v>393</v>
      </c>
      <c r="K983" s="48" t="s">
        <v>3683</v>
      </c>
      <c r="L983" s="52" t="s">
        <v>34</v>
      </c>
      <c r="M983" s="56">
        <v>0</v>
      </c>
      <c r="N983" s="45">
        <v>44469</v>
      </c>
      <c r="O983" s="4"/>
      <c r="P983" s="4"/>
      <c r="Q983" s="4"/>
      <c r="R983" s="4"/>
      <c r="S983" s="4"/>
      <c r="T983" s="4"/>
    </row>
    <row r="984" spans="1:20" customFormat="1" x14ac:dyDescent="0.2">
      <c r="A984" s="59" t="s">
        <v>3625</v>
      </c>
      <c r="B984" s="42" t="s">
        <v>3606</v>
      </c>
      <c r="C984" s="42" t="s">
        <v>3633</v>
      </c>
      <c r="D984" s="40">
        <v>44385</v>
      </c>
      <c r="E984" s="41">
        <v>19.899999999999999</v>
      </c>
      <c r="F984" s="46">
        <v>19.899999999999999</v>
      </c>
      <c r="G984" s="44" t="s">
        <v>3505</v>
      </c>
      <c r="H984" s="43" t="s">
        <v>2799</v>
      </c>
      <c r="I984" s="43" t="s">
        <v>2713</v>
      </c>
      <c r="J984" s="44" t="s">
        <v>393</v>
      </c>
      <c r="K984" s="48" t="s">
        <v>3684</v>
      </c>
      <c r="L984" s="52" t="s">
        <v>34</v>
      </c>
      <c r="M984" s="56">
        <v>0</v>
      </c>
      <c r="N984" s="45">
        <v>44469</v>
      </c>
      <c r="O984" s="4"/>
      <c r="P984" s="4"/>
      <c r="Q984" s="4"/>
      <c r="R984" s="4"/>
      <c r="S984" s="4"/>
      <c r="T984" s="4"/>
    </row>
    <row r="985" spans="1:20" customFormat="1" x14ac:dyDescent="0.2">
      <c r="A985" s="59" t="s">
        <v>3626</v>
      </c>
      <c r="B985" s="60" t="s">
        <v>4527</v>
      </c>
      <c r="C985" s="60" t="s">
        <v>3634</v>
      </c>
      <c r="D985" s="40" t="s">
        <v>4181</v>
      </c>
      <c r="E985" s="61">
        <v>49.9</v>
      </c>
      <c r="F985" s="62">
        <v>49.9</v>
      </c>
      <c r="G985" s="63" t="s">
        <v>3505</v>
      </c>
      <c r="H985" s="64" t="s">
        <v>2729</v>
      </c>
      <c r="I985" s="64" t="s">
        <v>2713</v>
      </c>
      <c r="J985" s="63" t="s">
        <v>393</v>
      </c>
      <c r="K985" s="64" t="s">
        <v>4530</v>
      </c>
      <c r="L985" s="63" t="s">
        <v>157</v>
      </c>
      <c r="M985" s="63">
        <v>0</v>
      </c>
      <c r="N985" s="65">
        <v>45046</v>
      </c>
    </row>
    <row r="986" spans="1:20" customFormat="1" x14ac:dyDescent="0.2">
      <c r="A986" s="59" t="s">
        <v>3627</v>
      </c>
      <c r="B986" s="42" t="s">
        <v>3635</v>
      </c>
      <c r="C986" s="42" t="s">
        <v>3636</v>
      </c>
      <c r="D986" s="40">
        <v>44389</v>
      </c>
      <c r="E986" s="41">
        <v>19.8</v>
      </c>
      <c r="F986" s="46">
        <v>19.8</v>
      </c>
      <c r="G986" s="44" t="s">
        <v>55</v>
      </c>
      <c r="H986" s="43" t="s">
        <v>2766</v>
      </c>
      <c r="I986" s="43" t="s">
        <v>2713</v>
      </c>
      <c r="J986" s="44" t="s">
        <v>393</v>
      </c>
      <c r="K986" s="48" t="s">
        <v>3637</v>
      </c>
      <c r="L986" s="52" t="s">
        <v>34</v>
      </c>
      <c r="M986" s="56">
        <v>0</v>
      </c>
      <c r="N986" s="45">
        <v>44500</v>
      </c>
      <c r="O986" s="4"/>
      <c r="P986" s="4"/>
      <c r="Q986" s="4"/>
      <c r="R986" s="4"/>
      <c r="S986" s="4"/>
      <c r="T986" s="4"/>
    </row>
    <row r="987" spans="1:20" customFormat="1" x14ac:dyDescent="0.2">
      <c r="A987" s="59" t="s">
        <v>3628</v>
      </c>
      <c r="B987" s="60" t="s">
        <v>3638</v>
      </c>
      <c r="C987" s="60" t="s">
        <v>3639</v>
      </c>
      <c r="D987" s="40" t="s">
        <v>4182</v>
      </c>
      <c r="E987" s="61">
        <v>20</v>
      </c>
      <c r="F987" s="62">
        <v>20</v>
      </c>
      <c r="G987" s="63" t="s">
        <v>55</v>
      </c>
      <c r="H987" s="64" t="s">
        <v>2788</v>
      </c>
      <c r="I987" s="64" t="s">
        <v>2713</v>
      </c>
      <c r="J987" s="63" t="s">
        <v>393</v>
      </c>
      <c r="K987" s="64" t="s">
        <v>4183</v>
      </c>
      <c r="L987" s="63" t="s">
        <v>157</v>
      </c>
      <c r="M987" s="63">
        <v>0</v>
      </c>
      <c r="N987" s="65">
        <v>45016</v>
      </c>
      <c r="O987" s="4"/>
      <c r="P987" s="4"/>
      <c r="Q987" s="4"/>
      <c r="R987" s="4"/>
      <c r="S987" s="4"/>
      <c r="T987" s="4"/>
    </row>
    <row r="988" spans="1:20" customFormat="1" x14ac:dyDescent="0.2">
      <c r="A988" s="59" t="s">
        <v>3629</v>
      </c>
      <c r="B988" s="42" t="s">
        <v>3640</v>
      </c>
      <c r="C988" s="42" t="s">
        <v>3641</v>
      </c>
      <c r="D988" s="40">
        <v>44403</v>
      </c>
      <c r="E988" s="41">
        <v>100</v>
      </c>
      <c r="F988" s="46">
        <v>100</v>
      </c>
      <c r="G988" s="44" t="s">
        <v>615</v>
      </c>
      <c r="H988" s="43" t="s">
        <v>2716</v>
      </c>
      <c r="I988" s="43" t="s">
        <v>2713</v>
      </c>
      <c r="J988" s="44" t="s">
        <v>532</v>
      </c>
      <c r="K988" s="48" t="s">
        <v>3685</v>
      </c>
      <c r="L988" s="52" t="s">
        <v>87</v>
      </c>
      <c r="M988" s="56">
        <v>0</v>
      </c>
      <c r="N988" s="45">
        <v>44530</v>
      </c>
      <c r="O988" s="4"/>
      <c r="P988" s="4"/>
      <c r="Q988" s="4"/>
      <c r="R988" s="4"/>
      <c r="S988" s="4"/>
      <c r="T988" s="4"/>
    </row>
    <row r="989" spans="1:20" customFormat="1" x14ac:dyDescent="0.2">
      <c r="A989" s="59" t="s">
        <v>5077</v>
      </c>
      <c r="B989" s="60" t="s">
        <v>1382</v>
      </c>
      <c r="C989" s="60" t="s">
        <v>3642</v>
      </c>
      <c r="D989" s="40">
        <v>44403</v>
      </c>
      <c r="E989" s="61">
        <v>50</v>
      </c>
      <c r="F989" s="62">
        <v>50</v>
      </c>
      <c r="G989" s="63" t="s">
        <v>615</v>
      </c>
      <c r="H989" s="64" t="s">
        <v>2716</v>
      </c>
      <c r="I989" s="64" t="s">
        <v>2713</v>
      </c>
      <c r="J989" s="63" t="s">
        <v>532</v>
      </c>
      <c r="K989" s="64" t="s">
        <v>4911</v>
      </c>
      <c r="L989" s="63" t="s">
        <v>87</v>
      </c>
      <c r="M989" s="63">
        <v>0</v>
      </c>
      <c r="N989" s="65">
        <v>45230</v>
      </c>
    </row>
    <row r="990" spans="1:20" customFormat="1" x14ac:dyDescent="0.2">
      <c r="A990" s="59" t="s">
        <v>5078</v>
      </c>
      <c r="B990" s="60" t="s">
        <v>1382</v>
      </c>
      <c r="C990" s="60" t="s">
        <v>3643</v>
      </c>
      <c r="D990" s="40">
        <v>44403</v>
      </c>
      <c r="E990" s="61">
        <v>100</v>
      </c>
      <c r="F990" s="62">
        <v>100</v>
      </c>
      <c r="G990" s="63" t="s">
        <v>615</v>
      </c>
      <c r="H990" s="64" t="s">
        <v>2716</v>
      </c>
      <c r="I990" s="64" t="s">
        <v>2713</v>
      </c>
      <c r="J990" s="63" t="s">
        <v>532</v>
      </c>
      <c r="K990" s="64" t="s">
        <v>4911</v>
      </c>
      <c r="L990" s="63" t="s">
        <v>87</v>
      </c>
      <c r="M990" s="63">
        <v>0</v>
      </c>
      <c r="N990" s="65">
        <v>45230</v>
      </c>
    </row>
    <row r="991" spans="1:20" customFormat="1" x14ac:dyDescent="0.2">
      <c r="A991" s="59" t="s">
        <v>5916</v>
      </c>
      <c r="B991" s="60" t="s">
        <v>3640</v>
      </c>
      <c r="C991" s="60" t="s">
        <v>3644</v>
      </c>
      <c r="D991" s="40">
        <v>44405</v>
      </c>
      <c r="E991" s="61" t="s">
        <v>5793</v>
      </c>
      <c r="F991" s="62" t="s">
        <v>5793</v>
      </c>
      <c r="G991" s="63" t="s">
        <v>615</v>
      </c>
      <c r="H991" s="64" t="s">
        <v>2716</v>
      </c>
      <c r="I991" s="64" t="s">
        <v>2713</v>
      </c>
      <c r="J991" s="63" t="s">
        <v>532</v>
      </c>
      <c r="K991" s="64" t="s">
        <v>4184</v>
      </c>
      <c r="L991" s="63" t="s">
        <v>87</v>
      </c>
      <c r="M991" s="63" t="s">
        <v>5781</v>
      </c>
      <c r="N991" s="65">
        <v>45443</v>
      </c>
    </row>
    <row r="992" spans="1:20" customFormat="1" x14ac:dyDescent="0.2">
      <c r="A992" s="59" t="s">
        <v>3630</v>
      </c>
      <c r="B992" s="42" t="s">
        <v>3328</v>
      </c>
      <c r="C992" s="42" t="s">
        <v>3645</v>
      </c>
      <c r="D992" s="40">
        <v>44405</v>
      </c>
      <c r="E992" s="41">
        <v>50</v>
      </c>
      <c r="F992" s="46">
        <v>50</v>
      </c>
      <c r="G992" s="44" t="s">
        <v>3505</v>
      </c>
      <c r="H992" s="43" t="s">
        <v>2812</v>
      </c>
      <c r="I992" s="43" t="s">
        <v>2713</v>
      </c>
      <c r="J992" s="44"/>
      <c r="K992" s="48" t="s">
        <v>3801</v>
      </c>
      <c r="L992" s="52"/>
      <c r="M992" s="56">
        <v>0</v>
      </c>
      <c r="N992" s="45">
        <v>44500</v>
      </c>
      <c r="O992" s="4"/>
      <c r="P992" s="4"/>
      <c r="Q992" s="4"/>
      <c r="R992" s="4"/>
      <c r="S992" s="4"/>
      <c r="T992" s="4"/>
    </row>
    <row r="993" spans="1:20" customFormat="1" x14ac:dyDescent="0.2">
      <c r="A993" s="59" t="s">
        <v>3631</v>
      </c>
      <c r="B993" s="42" t="s">
        <v>3638</v>
      </c>
      <c r="C993" s="42" t="s">
        <v>3646</v>
      </c>
      <c r="D993" s="40">
        <v>44406</v>
      </c>
      <c r="E993" s="41">
        <v>20</v>
      </c>
      <c r="F993" s="46">
        <v>20</v>
      </c>
      <c r="G993" s="44" t="s">
        <v>55</v>
      </c>
      <c r="H993" s="43" t="s">
        <v>2788</v>
      </c>
      <c r="I993" s="43" t="s">
        <v>2713</v>
      </c>
      <c r="J993" s="44"/>
      <c r="K993" s="48" t="s">
        <v>3749</v>
      </c>
      <c r="L993" s="52" t="s">
        <v>157</v>
      </c>
      <c r="M993" s="56">
        <v>0</v>
      </c>
      <c r="N993" s="45">
        <v>44469</v>
      </c>
      <c r="O993" s="4"/>
      <c r="P993" s="4"/>
      <c r="Q993" s="4"/>
      <c r="R993" s="4"/>
      <c r="S993" s="4"/>
      <c r="T993" s="4"/>
    </row>
    <row r="994" spans="1:20" customFormat="1" x14ac:dyDescent="0.2">
      <c r="A994" s="59" t="s">
        <v>5335</v>
      </c>
      <c r="B994" s="60" t="s">
        <v>3638</v>
      </c>
      <c r="C994" s="60" t="s">
        <v>3650</v>
      </c>
      <c r="D994" s="40">
        <v>44412</v>
      </c>
      <c r="E994" s="61">
        <v>20</v>
      </c>
      <c r="F994" s="62">
        <v>20</v>
      </c>
      <c r="G994" s="63" t="s">
        <v>55</v>
      </c>
      <c r="H994" s="64" t="s">
        <v>2799</v>
      </c>
      <c r="I994" s="64" t="s">
        <v>2713</v>
      </c>
      <c r="J994" s="63" t="s">
        <v>393</v>
      </c>
      <c r="K994" s="64" t="s">
        <v>4185</v>
      </c>
      <c r="L994" s="63" t="s">
        <v>34</v>
      </c>
      <c r="M994" s="63">
        <v>0</v>
      </c>
      <c r="N994" s="65">
        <v>45565</v>
      </c>
    </row>
    <row r="995" spans="1:20" customFormat="1" ht="14.45" customHeight="1" x14ac:dyDescent="0.2">
      <c r="A995" s="59" t="s">
        <v>5336</v>
      </c>
      <c r="B995" s="60" t="s">
        <v>3638</v>
      </c>
      <c r="C995" s="60" t="s">
        <v>3651</v>
      </c>
      <c r="D995" s="40">
        <v>44412</v>
      </c>
      <c r="E995" s="61">
        <v>20</v>
      </c>
      <c r="F995" s="62">
        <v>20</v>
      </c>
      <c r="G995" s="63" t="s">
        <v>55</v>
      </c>
      <c r="H995" s="64" t="s">
        <v>2721</v>
      </c>
      <c r="I995" s="64" t="s">
        <v>2713</v>
      </c>
      <c r="J995" s="63" t="s">
        <v>471</v>
      </c>
      <c r="K995" s="64" t="s">
        <v>4186</v>
      </c>
      <c r="L995" s="63" t="s">
        <v>157</v>
      </c>
      <c r="M995" s="63" t="s">
        <v>5781</v>
      </c>
      <c r="N995" s="65">
        <v>45382</v>
      </c>
    </row>
    <row r="996" spans="1:20" customFormat="1" x14ac:dyDescent="0.2">
      <c r="A996" s="59" t="s">
        <v>5917</v>
      </c>
      <c r="B996" s="60" t="s">
        <v>2609</v>
      </c>
      <c r="C996" s="60" t="s">
        <v>3652</v>
      </c>
      <c r="D996" s="40">
        <v>44420</v>
      </c>
      <c r="E996" s="61" t="s">
        <v>5820</v>
      </c>
      <c r="F996" s="62" t="s">
        <v>5820</v>
      </c>
      <c r="G996" s="63" t="s">
        <v>124</v>
      </c>
      <c r="H996" s="64" t="s">
        <v>3653</v>
      </c>
      <c r="I996" s="64" t="s">
        <v>2713</v>
      </c>
      <c r="J996" s="63" t="s">
        <v>531</v>
      </c>
      <c r="K996" s="64" t="s">
        <v>4987</v>
      </c>
      <c r="L996" s="63" t="s">
        <v>157</v>
      </c>
      <c r="M996" s="63" t="s">
        <v>5781</v>
      </c>
      <c r="N996" s="65">
        <v>45443</v>
      </c>
    </row>
    <row r="997" spans="1:20" customFormat="1" x14ac:dyDescent="0.2">
      <c r="A997" s="59" t="s">
        <v>5337</v>
      </c>
      <c r="B997" s="60" t="s">
        <v>3654</v>
      </c>
      <c r="C997" s="60" t="s">
        <v>3655</v>
      </c>
      <c r="D997" s="40">
        <v>44424</v>
      </c>
      <c r="E997" s="61" t="s">
        <v>5958</v>
      </c>
      <c r="F997" s="62" t="s">
        <v>5958</v>
      </c>
      <c r="G997" s="63" t="s">
        <v>55</v>
      </c>
      <c r="H997" s="64" t="s">
        <v>2734</v>
      </c>
      <c r="I997" s="64" t="s">
        <v>2713</v>
      </c>
      <c r="J997" s="63" t="s">
        <v>530</v>
      </c>
      <c r="K997" s="64" t="s">
        <v>4187</v>
      </c>
      <c r="L997" s="63" t="s">
        <v>34</v>
      </c>
      <c r="M997" s="63" t="s">
        <v>5781</v>
      </c>
      <c r="N997" s="65">
        <v>45504</v>
      </c>
    </row>
    <row r="998" spans="1:20" customFormat="1" x14ac:dyDescent="0.2">
      <c r="A998" s="59" t="s">
        <v>5338</v>
      </c>
      <c r="B998" s="60" t="s">
        <v>3210</v>
      </c>
      <c r="C998" s="60" t="s">
        <v>3656</v>
      </c>
      <c r="D998" s="40">
        <v>44425</v>
      </c>
      <c r="E998" s="61">
        <v>100</v>
      </c>
      <c r="F998" s="62">
        <v>100</v>
      </c>
      <c r="G998" s="63" t="s">
        <v>3505</v>
      </c>
      <c r="H998" s="64" t="s">
        <v>2736</v>
      </c>
      <c r="I998" s="64" t="s">
        <v>2713</v>
      </c>
      <c r="J998" s="63" t="s">
        <v>530</v>
      </c>
      <c r="K998" s="64" t="s">
        <v>4188</v>
      </c>
      <c r="L998" s="63" t="s">
        <v>157</v>
      </c>
      <c r="M998" s="63" t="s">
        <v>5781</v>
      </c>
      <c r="N998" s="65">
        <v>45322</v>
      </c>
    </row>
    <row r="999" spans="1:20" customFormat="1" x14ac:dyDescent="0.2">
      <c r="A999" s="59" t="s">
        <v>3648</v>
      </c>
      <c r="B999" s="42" t="s">
        <v>3322</v>
      </c>
      <c r="C999" s="42" t="s">
        <v>3657</v>
      </c>
      <c r="D999" s="40">
        <v>44427</v>
      </c>
      <c r="E999" s="41">
        <v>50</v>
      </c>
      <c r="F999" s="46">
        <v>50</v>
      </c>
      <c r="G999" s="44" t="s">
        <v>55</v>
      </c>
      <c r="H999" s="43" t="s">
        <v>2766</v>
      </c>
      <c r="I999" s="43" t="s">
        <v>2713</v>
      </c>
      <c r="J999" s="44" t="s">
        <v>393</v>
      </c>
      <c r="K999" s="48" t="s">
        <v>3323</v>
      </c>
      <c r="L999" s="52" t="s">
        <v>34</v>
      </c>
      <c r="M999" s="56">
        <v>0</v>
      </c>
      <c r="N999" s="45">
        <v>44500</v>
      </c>
    </row>
    <row r="1000" spans="1:20" customFormat="1" x14ac:dyDescent="0.2">
      <c r="A1000" s="59" t="s">
        <v>5093</v>
      </c>
      <c r="B1000" s="60" t="s">
        <v>3658</v>
      </c>
      <c r="C1000" s="60" t="s">
        <v>3818</v>
      </c>
      <c r="D1000" s="40">
        <v>44428</v>
      </c>
      <c r="E1000" s="61">
        <v>250</v>
      </c>
      <c r="F1000" s="62">
        <v>250</v>
      </c>
      <c r="G1000" s="63" t="s">
        <v>615</v>
      </c>
      <c r="H1000" s="64" t="s">
        <v>2759</v>
      </c>
      <c r="I1000" s="64" t="s">
        <v>2713</v>
      </c>
      <c r="J1000" s="63" t="s">
        <v>471</v>
      </c>
      <c r="K1000" s="64" t="s">
        <v>4715</v>
      </c>
      <c r="L1000" s="63" t="s">
        <v>157</v>
      </c>
      <c r="M1000" s="63">
        <v>0</v>
      </c>
      <c r="N1000" s="65">
        <v>45230</v>
      </c>
    </row>
    <row r="1001" spans="1:20" customFormat="1" x14ac:dyDescent="0.2">
      <c r="A1001" s="59" t="s">
        <v>5339</v>
      </c>
      <c r="B1001" s="60" t="s">
        <v>3658</v>
      </c>
      <c r="C1001" s="60" t="s">
        <v>3659</v>
      </c>
      <c r="D1001" s="40">
        <v>44428</v>
      </c>
      <c r="E1001" s="61" t="s">
        <v>5793</v>
      </c>
      <c r="F1001" s="62" t="s">
        <v>5793</v>
      </c>
      <c r="G1001" s="63" t="s">
        <v>615</v>
      </c>
      <c r="H1001" s="64" t="s">
        <v>2716</v>
      </c>
      <c r="I1001" s="64" t="s">
        <v>2713</v>
      </c>
      <c r="J1001" s="63" t="s">
        <v>532</v>
      </c>
      <c r="K1001" s="64" t="s">
        <v>4531</v>
      </c>
      <c r="L1001" s="63" t="s">
        <v>87</v>
      </c>
      <c r="M1001" s="63" t="s">
        <v>5781</v>
      </c>
      <c r="N1001" s="65">
        <v>45504</v>
      </c>
    </row>
    <row r="1002" spans="1:20" customFormat="1" ht="14.45" customHeight="1" x14ac:dyDescent="0.2">
      <c r="A1002" s="59" t="s">
        <v>3649</v>
      </c>
      <c r="B1002" s="42" t="s">
        <v>3658</v>
      </c>
      <c r="C1002" s="42" t="s">
        <v>3660</v>
      </c>
      <c r="D1002" s="40">
        <v>44428</v>
      </c>
      <c r="E1002" s="41">
        <v>100</v>
      </c>
      <c r="F1002" s="46">
        <v>100</v>
      </c>
      <c r="G1002" s="44" t="s">
        <v>615</v>
      </c>
      <c r="H1002" s="43" t="s">
        <v>2716</v>
      </c>
      <c r="I1002" s="43" t="s">
        <v>2713</v>
      </c>
      <c r="J1002" s="44" t="s">
        <v>532</v>
      </c>
      <c r="K1002" s="48" t="s">
        <v>3895</v>
      </c>
      <c r="L1002" s="52" t="s">
        <v>87</v>
      </c>
      <c r="M1002" s="56">
        <v>0</v>
      </c>
      <c r="N1002" s="45">
        <v>44926</v>
      </c>
      <c r="O1002" s="4"/>
      <c r="P1002" s="4"/>
      <c r="Q1002" s="4"/>
      <c r="R1002" s="4"/>
      <c r="S1002" s="4"/>
      <c r="T1002" s="4"/>
    </row>
    <row r="1003" spans="1:20" customFormat="1" ht="14.45" customHeight="1" x14ac:dyDescent="0.2">
      <c r="A1003" s="59" t="s">
        <v>5340</v>
      </c>
      <c r="B1003" s="60" t="s">
        <v>3661</v>
      </c>
      <c r="C1003" s="60" t="s">
        <v>3647</v>
      </c>
      <c r="D1003" s="40">
        <v>44431</v>
      </c>
      <c r="E1003" s="61">
        <v>128</v>
      </c>
      <c r="F1003" s="62">
        <v>128</v>
      </c>
      <c r="G1003" s="63" t="s">
        <v>55</v>
      </c>
      <c r="H1003" s="64" t="s">
        <v>401</v>
      </c>
      <c r="I1003" s="64" t="s">
        <v>2713</v>
      </c>
      <c r="J1003" s="63" t="s">
        <v>393</v>
      </c>
      <c r="K1003" s="64" t="s">
        <v>4189</v>
      </c>
      <c r="L1003" s="63" t="s">
        <v>157</v>
      </c>
      <c r="M1003" s="63" t="s">
        <v>5781</v>
      </c>
      <c r="N1003" s="65">
        <v>45657</v>
      </c>
    </row>
    <row r="1004" spans="1:20" customFormat="1" ht="14.45" customHeight="1" x14ac:dyDescent="0.2">
      <c r="A1004" s="59" t="s">
        <v>5342</v>
      </c>
      <c r="B1004" s="60" t="s">
        <v>3322</v>
      </c>
      <c r="C1004" s="60" t="s">
        <v>3663</v>
      </c>
      <c r="D1004" s="40">
        <v>44433</v>
      </c>
      <c r="E1004" s="61" t="s">
        <v>5793</v>
      </c>
      <c r="F1004" s="62" t="s">
        <v>5793</v>
      </c>
      <c r="G1004" s="63" t="s">
        <v>3505</v>
      </c>
      <c r="H1004" s="64" t="s">
        <v>4344</v>
      </c>
      <c r="I1004" s="64" t="s">
        <v>2713</v>
      </c>
      <c r="J1004" s="63" t="s">
        <v>393</v>
      </c>
      <c r="K1004" s="64" t="s">
        <v>4191</v>
      </c>
      <c r="L1004" s="63" t="s">
        <v>34</v>
      </c>
      <c r="M1004" s="63" t="s">
        <v>5781</v>
      </c>
      <c r="N1004" s="65">
        <v>45504</v>
      </c>
    </row>
    <row r="1005" spans="1:20" customFormat="1" ht="14.45" customHeight="1" x14ac:dyDescent="0.2">
      <c r="A1005" s="59" t="s">
        <v>5918</v>
      </c>
      <c r="B1005" s="60" t="s">
        <v>3596</v>
      </c>
      <c r="C1005" s="60" t="s">
        <v>3704</v>
      </c>
      <c r="D1005" s="40">
        <v>44441</v>
      </c>
      <c r="E1005" s="61" t="s">
        <v>5821</v>
      </c>
      <c r="F1005" s="62" t="s">
        <v>5822</v>
      </c>
      <c r="G1005" s="63" t="s">
        <v>615</v>
      </c>
      <c r="H1005" s="64" t="s">
        <v>2713</v>
      </c>
      <c r="I1005" s="64" t="s">
        <v>2713</v>
      </c>
      <c r="J1005" s="63" t="s">
        <v>533</v>
      </c>
      <c r="K1005" s="64" t="s">
        <v>3743</v>
      </c>
      <c r="L1005" s="63" t="s">
        <v>403</v>
      </c>
      <c r="M1005" s="63" t="s">
        <v>5781</v>
      </c>
      <c r="N1005" s="65">
        <v>45443</v>
      </c>
    </row>
    <row r="1006" spans="1:20" customFormat="1" ht="14.45" customHeight="1" x14ac:dyDescent="0.2">
      <c r="A1006" s="59" t="s">
        <v>5919</v>
      </c>
      <c r="B1006" s="60" t="s">
        <v>3705</v>
      </c>
      <c r="C1006" s="60" t="s">
        <v>3706</v>
      </c>
      <c r="D1006" s="40">
        <v>44442</v>
      </c>
      <c r="E1006" s="61" t="s">
        <v>5793</v>
      </c>
      <c r="F1006" s="62" t="s">
        <v>5793</v>
      </c>
      <c r="G1006" s="63" t="s">
        <v>615</v>
      </c>
      <c r="H1006" s="64" t="s">
        <v>2715</v>
      </c>
      <c r="I1006" s="64" t="s">
        <v>2713</v>
      </c>
      <c r="J1006" s="63" t="s">
        <v>533</v>
      </c>
      <c r="K1006" s="64" t="s">
        <v>4532</v>
      </c>
      <c r="L1006" s="63" t="s">
        <v>403</v>
      </c>
      <c r="M1006" s="63" t="s">
        <v>5781</v>
      </c>
      <c r="N1006" s="65">
        <v>45443</v>
      </c>
    </row>
    <row r="1007" spans="1:20" customFormat="1" ht="14.45" customHeight="1" x14ac:dyDescent="0.2">
      <c r="A1007" s="59" t="s">
        <v>5920</v>
      </c>
      <c r="B1007" s="60" t="s">
        <v>3705</v>
      </c>
      <c r="C1007" s="60" t="s">
        <v>3707</v>
      </c>
      <c r="D1007" s="40">
        <v>44442</v>
      </c>
      <c r="E1007" s="61" t="s">
        <v>5823</v>
      </c>
      <c r="F1007" s="62" t="s">
        <v>5823</v>
      </c>
      <c r="G1007" s="63" t="s">
        <v>615</v>
      </c>
      <c r="H1007" s="64" t="s">
        <v>2715</v>
      </c>
      <c r="I1007" s="64" t="s">
        <v>2713</v>
      </c>
      <c r="J1007" s="63" t="s">
        <v>533</v>
      </c>
      <c r="K1007" s="64" t="s">
        <v>4192</v>
      </c>
      <c r="L1007" s="63" t="s">
        <v>403</v>
      </c>
      <c r="M1007" s="63" t="s">
        <v>5781</v>
      </c>
      <c r="N1007" s="65">
        <v>45443</v>
      </c>
    </row>
    <row r="1008" spans="1:20" customFormat="1" ht="14.45" customHeight="1" x14ac:dyDescent="0.2">
      <c r="A1008" s="59" t="s">
        <v>3686</v>
      </c>
      <c r="B1008" s="42" t="s">
        <v>3708</v>
      </c>
      <c r="C1008" s="42" t="s">
        <v>3709</v>
      </c>
      <c r="D1008" s="40">
        <v>44442</v>
      </c>
      <c r="E1008" s="41">
        <v>70</v>
      </c>
      <c r="F1008" s="46">
        <v>70</v>
      </c>
      <c r="G1008" s="44" t="s">
        <v>615</v>
      </c>
      <c r="H1008" s="43" t="s">
        <v>2719</v>
      </c>
      <c r="I1008" s="43" t="s">
        <v>2713</v>
      </c>
      <c r="J1008" s="44" t="s">
        <v>533</v>
      </c>
      <c r="K1008" s="48" t="s">
        <v>3745</v>
      </c>
      <c r="L1008" s="52" t="s">
        <v>403</v>
      </c>
      <c r="M1008" s="56">
        <v>0</v>
      </c>
      <c r="N1008" s="45">
        <v>44530</v>
      </c>
      <c r="O1008" s="4"/>
      <c r="P1008" s="4"/>
      <c r="Q1008" s="4"/>
      <c r="R1008" s="4"/>
      <c r="S1008" s="4"/>
      <c r="T1008" s="4"/>
    </row>
    <row r="1009" spans="1:20" customFormat="1" ht="14.45" customHeight="1" x14ac:dyDescent="0.2">
      <c r="A1009" s="59" t="s">
        <v>5921</v>
      </c>
      <c r="B1009" s="60" t="s">
        <v>3705</v>
      </c>
      <c r="C1009" s="60" t="s">
        <v>3710</v>
      </c>
      <c r="D1009" s="40">
        <v>44442</v>
      </c>
      <c r="E1009" s="61" t="s">
        <v>5824</v>
      </c>
      <c r="F1009" s="62" t="s">
        <v>5824</v>
      </c>
      <c r="G1009" s="63" t="s">
        <v>615</v>
      </c>
      <c r="H1009" s="64" t="s">
        <v>2715</v>
      </c>
      <c r="I1009" s="64" t="s">
        <v>2713</v>
      </c>
      <c r="J1009" s="63" t="s">
        <v>533</v>
      </c>
      <c r="K1009" s="64" t="s">
        <v>4533</v>
      </c>
      <c r="L1009" s="63" t="s">
        <v>403</v>
      </c>
      <c r="M1009" s="63" t="s">
        <v>5781</v>
      </c>
      <c r="N1009" s="65">
        <v>45443</v>
      </c>
    </row>
    <row r="1010" spans="1:20" customFormat="1" ht="14.45" customHeight="1" x14ac:dyDescent="0.2">
      <c r="A1010" s="59" t="s">
        <v>5922</v>
      </c>
      <c r="B1010" s="60" t="s">
        <v>3705</v>
      </c>
      <c r="C1010" s="60" t="s">
        <v>3711</v>
      </c>
      <c r="D1010" s="40">
        <v>44442</v>
      </c>
      <c r="E1010" s="61" t="s">
        <v>5823</v>
      </c>
      <c r="F1010" s="62" t="s">
        <v>5823</v>
      </c>
      <c r="G1010" s="63" t="s">
        <v>615</v>
      </c>
      <c r="H1010" s="64" t="s">
        <v>2715</v>
      </c>
      <c r="I1010" s="64" t="s">
        <v>2713</v>
      </c>
      <c r="J1010" s="63" t="s">
        <v>533</v>
      </c>
      <c r="K1010" s="64" t="s">
        <v>4534</v>
      </c>
      <c r="L1010" s="63" t="s">
        <v>403</v>
      </c>
      <c r="M1010" s="63" t="s">
        <v>5781</v>
      </c>
      <c r="N1010" s="65">
        <v>45443</v>
      </c>
    </row>
    <row r="1011" spans="1:20" customFormat="1" ht="14.45" customHeight="1" x14ac:dyDescent="0.2">
      <c r="A1011" s="59" t="s">
        <v>3687</v>
      </c>
      <c r="B1011" s="60" t="s">
        <v>3712</v>
      </c>
      <c r="C1011" s="60" t="s">
        <v>3713</v>
      </c>
      <c r="D1011" s="40">
        <v>44453</v>
      </c>
      <c r="E1011" s="61">
        <v>232</v>
      </c>
      <c r="F1011" s="62">
        <v>232</v>
      </c>
      <c r="G1011" s="63" t="s">
        <v>3505</v>
      </c>
      <c r="H1011" s="64" t="s">
        <v>4345</v>
      </c>
      <c r="I1011" s="64" t="s">
        <v>2713</v>
      </c>
      <c r="J1011" s="63" t="s">
        <v>420</v>
      </c>
      <c r="K1011" s="64" t="s">
        <v>4193</v>
      </c>
      <c r="L1011" s="63" t="s">
        <v>41</v>
      </c>
      <c r="M1011" s="63">
        <v>0</v>
      </c>
      <c r="N1011" s="65">
        <v>44985</v>
      </c>
      <c r="O1011" s="4"/>
      <c r="P1011" s="4"/>
      <c r="Q1011" s="4"/>
      <c r="R1011" s="4"/>
      <c r="S1011" s="4"/>
      <c r="T1011" s="4"/>
    </row>
    <row r="1012" spans="1:20" customFormat="1" ht="14.45" customHeight="1" x14ac:dyDescent="0.2">
      <c r="A1012" s="59" t="s">
        <v>3688</v>
      </c>
      <c r="B1012" s="42" t="s">
        <v>3712</v>
      </c>
      <c r="C1012" s="42" t="s">
        <v>3714</v>
      </c>
      <c r="D1012" s="40">
        <v>44453</v>
      </c>
      <c r="E1012" s="41">
        <v>174</v>
      </c>
      <c r="F1012" s="46">
        <v>174</v>
      </c>
      <c r="G1012" s="44" t="s">
        <v>55</v>
      </c>
      <c r="H1012" s="43" t="s">
        <v>2739</v>
      </c>
      <c r="I1012" s="43" t="s">
        <v>2713</v>
      </c>
      <c r="J1012" s="44" t="s">
        <v>540</v>
      </c>
      <c r="K1012" s="48" t="s">
        <v>3742</v>
      </c>
      <c r="L1012" s="52" t="s">
        <v>157</v>
      </c>
      <c r="M1012" s="56">
        <v>0</v>
      </c>
      <c r="N1012" s="45">
        <v>44804</v>
      </c>
      <c r="O1012" s="4"/>
      <c r="P1012" s="4"/>
      <c r="Q1012" s="4"/>
      <c r="R1012" s="4"/>
      <c r="S1012" s="4"/>
      <c r="T1012" s="4"/>
    </row>
    <row r="1013" spans="1:20" customFormat="1" ht="14.45" customHeight="1" x14ac:dyDescent="0.2">
      <c r="A1013" s="59" t="s">
        <v>3689</v>
      </c>
      <c r="B1013" s="42" t="s">
        <v>3712</v>
      </c>
      <c r="C1013" s="42" t="s">
        <v>3715</v>
      </c>
      <c r="D1013" s="40">
        <v>44453</v>
      </c>
      <c r="E1013" s="41">
        <v>174</v>
      </c>
      <c r="F1013" s="46">
        <v>174</v>
      </c>
      <c r="G1013" s="44" t="s">
        <v>55</v>
      </c>
      <c r="H1013" s="43" t="s">
        <v>2754</v>
      </c>
      <c r="I1013" s="43" t="s">
        <v>2713</v>
      </c>
      <c r="J1013" s="44" t="s">
        <v>540</v>
      </c>
      <c r="K1013" s="48" t="s">
        <v>3716</v>
      </c>
      <c r="L1013" s="52" t="s">
        <v>157</v>
      </c>
      <c r="M1013" s="56">
        <v>0</v>
      </c>
      <c r="N1013" s="45">
        <v>44651</v>
      </c>
      <c r="O1013" s="4"/>
      <c r="P1013" s="4"/>
      <c r="Q1013" s="4"/>
      <c r="R1013" s="4"/>
      <c r="S1013" s="4"/>
      <c r="T1013" s="4"/>
    </row>
    <row r="1014" spans="1:20" customFormat="1" ht="14.45" customHeight="1" x14ac:dyDescent="0.2">
      <c r="A1014" s="59" t="s">
        <v>5923</v>
      </c>
      <c r="B1014" s="60" t="s">
        <v>3712</v>
      </c>
      <c r="C1014" s="60" t="s">
        <v>4194</v>
      </c>
      <c r="D1014" s="40">
        <v>44453</v>
      </c>
      <c r="E1014" s="61" t="s">
        <v>5825</v>
      </c>
      <c r="F1014" s="62" t="s">
        <v>5825</v>
      </c>
      <c r="G1014" s="63" t="s">
        <v>615</v>
      </c>
      <c r="H1014" s="64" t="s">
        <v>2640</v>
      </c>
      <c r="I1014" s="64" t="s">
        <v>2713</v>
      </c>
      <c r="J1014" s="63" t="s">
        <v>393</v>
      </c>
      <c r="K1014" s="64" t="s">
        <v>5343</v>
      </c>
      <c r="L1014" s="63" t="s">
        <v>157</v>
      </c>
      <c r="M1014" s="63" t="s">
        <v>5781</v>
      </c>
      <c r="N1014" s="65">
        <v>45443</v>
      </c>
    </row>
    <row r="1015" spans="1:20" customFormat="1" ht="14.45" customHeight="1" x14ac:dyDescent="0.2">
      <c r="A1015" s="59" t="s">
        <v>5924</v>
      </c>
      <c r="B1015" s="60" t="s">
        <v>3712</v>
      </c>
      <c r="C1015" s="60" t="s">
        <v>3717</v>
      </c>
      <c r="D1015" s="40">
        <v>44453</v>
      </c>
      <c r="E1015" s="61" t="s">
        <v>5796</v>
      </c>
      <c r="F1015" s="62" t="s">
        <v>5796</v>
      </c>
      <c r="G1015" s="63" t="s">
        <v>3505</v>
      </c>
      <c r="H1015" s="64" t="s">
        <v>2098</v>
      </c>
      <c r="I1015" s="64" t="s">
        <v>2713</v>
      </c>
      <c r="J1015" s="63" t="s">
        <v>393</v>
      </c>
      <c r="K1015" s="64" t="s">
        <v>2859</v>
      </c>
      <c r="L1015" s="63" t="s">
        <v>34</v>
      </c>
      <c r="M1015" s="63" t="s">
        <v>5781</v>
      </c>
      <c r="N1015" s="65">
        <v>45443</v>
      </c>
    </row>
    <row r="1016" spans="1:20" customFormat="1" ht="14.45" customHeight="1" x14ac:dyDescent="0.2">
      <c r="A1016" s="59" t="s">
        <v>3690</v>
      </c>
      <c r="B1016" s="60" t="s">
        <v>3712</v>
      </c>
      <c r="C1016" s="60" t="s">
        <v>4195</v>
      </c>
      <c r="D1016" s="40">
        <v>44453</v>
      </c>
      <c r="E1016" s="61">
        <v>200</v>
      </c>
      <c r="F1016" s="62">
        <v>200</v>
      </c>
      <c r="G1016" s="63" t="s">
        <v>615</v>
      </c>
      <c r="H1016" s="64" t="s">
        <v>2796</v>
      </c>
      <c r="I1016" s="64" t="s">
        <v>2713</v>
      </c>
      <c r="J1016" s="63" t="s">
        <v>471</v>
      </c>
      <c r="K1016" s="64" t="s">
        <v>3718</v>
      </c>
      <c r="L1016" s="63" t="s">
        <v>3533</v>
      </c>
      <c r="M1016" s="63">
        <v>0</v>
      </c>
      <c r="N1016" s="65">
        <v>45077</v>
      </c>
    </row>
    <row r="1017" spans="1:20" customFormat="1" ht="14.45" customHeight="1" x14ac:dyDescent="0.2">
      <c r="A1017" s="59" t="s">
        <v>3691</v>
      </c>
      <c r="B1017" s="42" t="s">
        <v>3719</v>
      </c>
      <c r="C1017" s="42" t="s">
        <v>3720</v>
      </c>
      <c r="D1017" s="40">
        <v>44454</v>
      </c>
      <c r="E1017" s="41">
        <v>10</v>
      </c>
      <c r="F1017" s="46">
        <v>10</v>
      </c>
      <c r="G1017" s="44" t="s">
        <v>615</v>
      </c>
      <c r="H1017" s="43" t="s">
        <v>2720</v>
      </c>
      <c r="I1017" s="43" t="s">
        <v>2713</v>
      </c>
      <c r="J1017" s="44" t="s">
        <v>539</v>
      </c>
      <c r="K1017" s="48" t="s">
        <v>84</v>
      </c>
      <c r="L1017" s="52" t="s">
        <v>1162</v>
      </c>
      <c r="M1017" s="56">
        <v>0</v>
      </c>
      <c r="N1017" s="45">
        <v>44530</v>
      </c>
      <c r="O1017" s="4"/>
      <c r="P1017" s="4"/>
      <c r="Q1017" s="4"/>
      <c r="R1017" s="4"/>
      <c r="S1017" s="4"/>
      <c r="T1017" s="4"/>
    </row>
    <row r="1018" spans="1:20" customFormat="1" ht="14.45" customHeight="1" x14ac:dyDescent="0.2">
      <c r="A1018" s="59" t="s">
        <v>3692</v>
      </c>
      <c r="B1018" s="42" t="s">
        <v>3719</v>
      </c>
      <c r="C1018" s="42" t="s">
        <v>3721</v>
      </c>
      <c r="D1018" s="40">
        <v>44454</v>
      </c>
      <c r="E1018" s="41">
        <v>5.5</v>
      </c>
      <c r="F1018" s="46">
        <v>5.5</v>
      </c>
      <c r="G1018" s="44" t="s">
        <v>615</v>
      </c>
      <c r="H1018" s="43" t="s">
        <v>2717</v>
      </c>
      <c r="I1018" s="43" t="s">
        <v>2713</v>
      </c>
      <c r="J1018" s="44" t="s">
        <v>539</v>
      </c>
      <c r="K1018" s="48" t="s">
        <v>3748</v>
      </c>
      <c r="L1018" s="52" t="s">
        <v>1162</v>
      </c>
      <c r="M1018" s="56">
        <v>0</v>
      </c>
      <c r="N1018" s="45">
        <v>44530</v>
      </c>
    </row>
    <row r="1019" spans="1:20" customFormat="1" ht="14.45" customHeight="1" x14ac:dyDescent="0.2">
      <c r="A1019" s="59" t="s">
        <v>5344</v>
      </c>
      <c r="B1019" s="42" t="s">
        <v>3722</v>
      </c>
      <c r="C1019" s="42" t="s">
        <v>3722</v>
      </c>
      <c r="D1019" s="40">
        <v>44461</v>
      </c>
      <c r="E1019" s="41">
        <v>40</v>
      </c>
      <c r="F1019" s="46">
        <v>40</v>
      </c>
      <c r="G1019" s="44" t="s">
        <v>615</v>
      </c>
      <c r="H1019" s="43" t="s">
        <v>2746</v>
      </c>
      <c r="I1019" s="43" t="s">
        <v>2713</v>
      </c>
      <c r="J1019" s="44" t="s">
        <v>532</v>
      </c>
      <c r="K1019" s="48" t="s">
        <v>4196</v>
      </c>
      <c r="L1019" s="52" t="s">
        <v>87</v>
      </c>
      <c r="M1019" s="56" t="s">
        <v>5781</v>
      </c>
      <c r="N1019" s="45">
        <v>46022</v>
      </c>
    </row>
    <row r="1020" spans="1:20" customFormat="1" ht="14.45" customHeight="1" x14ac:dyDescent="0.2">
      <c r="A1020" s="59" t="s">
        <v>5346</v>
      </c>
      <c r="B1020" s="42" t="s">
        <v>3724</v>
      </c>
      <c r="C1020" s="42" t="s">
        <v>3724</v>
      </c>
      <c r="D1020" s="40">
        <v>44461</v>
      </c>
      <c r="E1020" s="41">
        <v>100</v>
      </c>
      <c r="F1020" s="46">
        <v>100</v>
      </c>
      <c r="G1020" s="44" t="s">
        <v>615</v>
      </c>
      <c r="H1020" s="43" t="s">
        <v>2716</v>
      </c>
      <c r="I1020" s="43" t="s">
        <v>2713</v>
      </c>
      <c r="J1020" s="44" t="s">
        <v>532</v>
      </c>
      <c r="K1020" s="48" t="s">
        <v>1573</v>
      </c>
      <c r="L1020" s="52" t="s">
        <v>87</v>
      </c>
      <c r="M1020" s="56">
        <v>0</v>
      </c>
      <c r="N1020" s="45">
        <v>45688</v>
      </c>
    </row>
    <row r="1021" spans="1:20" customFormat="1" ht="14.45" customHeight="1" x14ac:dyDescent="0.2">
      <c r="A1021" s="59" t="s">
        <v>3693</v>
      </c>
      <c r="B1021" s="42" t="s">
        <v>3132</v>
      </c>
      <c r="C1021" s="42" t="s">
        <v>3726</v>
      </c>
      <c r="D1021" s="40">
        <v>44461</v>
      </c>
      <c r="E1021" s="41">
        <v>50</v>
      </c>
      <c r="F1021" s="46">
        <v>50</v>
      </c>
      <c r="G1021" s="44" t="s">
        <v>615</v>
      </c>
      <c r="H1021" s="43" t="s">
        <v>2717</v>
      </c>
      <c r="I1021" s="43" t="s">
        <v>2713</v>
      </c>
      <c r="J1021" s="44" t="s">
        <v>539</v>
      </c>
      <c r="K1021" s="48" t="s">
        <v>3741</v>
      </c>
      <c r="L1021" s="52" t="s">
        <v>1162</v>
      </c>
      <c r="M1021" s="56">
        <v>0</v>
      </c>
      <c r="N1021" s="45">
        <v>44620</v>
      </c>
      <c r="O1021" s="4"/>
      <c r="P1021" s="4"/>
      <c r="Q1021" s="4"/>
      <c r="R1021" s="4"/>
      <c r="S1021" s="4"/>
      <c r="T1021" s="4"/>
    </row>
    <row r="1022" spans="1:20" customFormat="1" ht="14.45" customHeight="1" x14ac:dyDescent="0.2">
      <c r="A1022" s="59" t="s">
        <v>3694</v>
      </c>
      <c r="B1022" s="42" t="s">
        <v>3132</v>
      </c>
      <c r="C1022" s="42" t="s">
        <v>3727</v>
      </c>
      <c r="D1022" s="40">
        <v>44461</v>
      </c>
      <c r="E1022" s="41">
        <v>50</v>
      </c>
      <c r="F1022" s="46">
        <v>50</v>
      </c>
      <c r="G1022" s="44" t="s">
        <v>615</v>
      </c>
      <c r="H1022" s="43" t="s">
        <v>2717</v>
      </c>
      <c r="I1022" s="43" t="s">
        <v>2713</v>
      </c>
      <c r="J1022" s="44" t="s">
        <v>539</v>
      </c>
      <c r="K1022" s="48" t="s">
        <v>3740</v>
      </c>
      <c r="L1022" s="52" t="s">
        <v>1162</v>
      </c>
      <c r="M1022" s="56">
        <v>0</v>
      </c>
      <c r="N1022" s="45">
        <v>44530</v>
      </c>
      <c r="O1022" s="4"/>
      <c r="P1022" s="4"/>
      <c r="Q1022" s="4"/>
      <c r="R1022" s="4"/>
      <c r="S1022" s="4"/>
      <c r="T1022" s="4"/>
    </row>
    <row r="1023" spans="1:20" customFormat="1" ht="14.45" customHeight="1" x14ac:dyDescent="0.2">
      <c r="A1023" s="59" t="s">
        <v>5248</v>
      </c>
      <c r="B1023" s="60" t="s">
        <v>3728</v>
      </c>
      <c r="C1023" s="60" t="s">
        <v>3729</v>
      </c>
      <c r="D1023" s="40">
        <v>44462</v>
      </c>
      <c r="E1023" s="61" t="s">
        <v>5826</v>
      </c>
      <c r="F1023" s="62" t="s">
        <v>5826</v>
      </c>
      <c r="G1023" s="63" t="s">
        <v>3505</v>
      </c>
      <c r="H1023" s="64" t="s">
        <v>2800</v>
      </c>
      <c r="I1023" s="64" t="s">
        <v>2713</v>
      </c>
      <c r="J1023" s="63" t="s">
        <v>530</v>
      </c>
      <c r="K1023" s="64" t="s">
        <v>4198</v>
      </c>
      <c r="L1023" s="63" t="s">
        <v>157</v>
      </c>
      <c r="M1023" s="63" t="s">
        <v>5781</v>
      </c>
      <c r="N1023" s="65">
        <v>45443</v>
      </c>
    </row>
    <row r="1024" spans="1:20" customFormat="1" ht="14.45" customHeight="1" x14ac:dyDescent="0.2">
      <c r="A1024" s="59" t="s">
        <v>3695</v>
      </c>
      <c r="B1024" s="60" t="s">
        <v>3459</v>
      </c>
      <c r="C1024" s="60" t="s">
        <v>3730</v>
      </c>
      <c r="D1024" s="40">
        <v>44463</v>
      </c>
      <c r="E1024" s="61">
        <v>48</v>
      </c>
      <c r="F1024" s="62">
        <v>48</v>
      </c>
      <c r="G1024" s="63" t="s">
        <v>124</v>
      </c>
      <c r="H1024" s="64" t="s">
        <v>2715</v>
      </c>
      <c r="I1024" s="64" t="s">
        <v>2713</v>
      </c>
      <c r="J1024" s="63" t="s">
        <v>533</v>
      </c>
      <c r="K1024" s="64" t="s">
        <v>3731</v>
      </c>
      <c r="L1024" s="63" t="s">
        <v>403</v>
      </c>
      <c r="M1024" s="63">
        <v>0</v>
      </c>
      <c r="N1024" s="65">
        <v>44985</v>
      </c>
      <c r="O1024" s="4"/>
      <c r="P1024" s="4"/>
      <c r="Q1024" s="4"/>
      <c r="R1024" s="4"/>
      <c r="S1024" s="4"/>
      <c r="T1024" s="4"/>
    </row>
    <row r="1025" spans="1:20" customFormat="1" ht="14.45" customHeight="1" x14ac:dyDescent="0.2">
      <c r="A1025" s="59" t="s">
        <v>3696</v>
      </c>
      <c r="B1025" s="42" t="s">
        <v>797</v>
      </c>
      <c r="C1025" s="42" t="s">
        <v>1806</v>
      </c>
      <c r="D1025" s="40">
        <v>44463</v>
      </c>
      <c r="E1025" s="41">
        <v>150</v>
      </c>
      <c r="F1025" s="46">
        <v>165</v>
      </c>
      <c r="G1025" s="44" t="s">
        <v>615</v>
      </c>
      <c r="H1025" s="43" t="s">
        <v>2807</v>
      </c>
      <c r="I1025" s="43" t="s">
        <v>2781</v>
      </c>
      <c r="J1025" s="44" t="s">
        <v>533</v>
      </c>
      <c r="K1025" s="48" t="s">
        <v>266</v>
      </c>
      <c r="L1025" s="52" t="s">
        <v>403</v>
      </c>
      <c r="M1025" s="56">
        <v>0</v>
      </c>
      <c r="N1025" s="45">
        <v>44592</v>
      </c>
      <c r="O1025" s="4"/>
      <c r="P1025" s="4"/>
      <c r="Q1025" s="4"/>
      <c r="R1025" s="4"/>
      <c r="S1025" s="4"/>
      <c r="T1025" s="4"/>
    </row>
    <row r="1026" spans="1:20" customFormat="1" ht="14.45" customHeight="1" x14ac:dyDescent="0.2">
      <c r="A1026" s="59" t="s">
        <v>3697</v>
      </c>
      <c r="B1026" s="42" t="s">
        <v>3732</v>
      </c>
      <c r="C1026" s="42" t="s">
        <v>3732</v>
      </c>
      <c r="D1026" s="40">
        <v>44466</v>
      </c>
      <c r="E1026" s="41">
        <v>12</v>
      </c>
      <c r="F1026" s="46">
        <v>12</v>
      </c>
      <c r="G1026" s="44" t="s">
        <v>615</v>
      </c>
      <c r="H1026" s="43" t="s">
        <v>2719</v>
      </c>
      <c r="I1026" s="43" t="s">
        <v>2713</v>
      </c>
      <c r="J1026" s="44" t="s">
        <v>533</v>
      </c>
      <c r="K1026" s="48" t="s">
        <v>3745</v>
      </c>
      <c r="L1026" s="52" t="s">
        <v>403</v>
      </c>
      <c r="M1026" s="56">
        <v>0</v>
      </c>
      <c r="N1026" s="45">
        <v>44530</v>
      </c>
      <c r="O1026" s="4"/>
      <c r="P1026" s="4"/>
      <c r="Q1026" s="4"/>
      <c r="R1026" s="4"/>
      <c r="S1026" s="4"/>
      <c r="T1026" s="4"/>
    </row>
    <row r="1027" spans="1:20" customFormat="1" ht="14.45" customHeight="1" x14ac:dyDescent="0.2">
      <c r="A1027" s="59" t="s">
        <v>3698</v>
      </c>
      <c r="B1027" s="42" t="s">
        <v>3733</v>
      </c>
      <c r="C1027" s="42" t="s">
        <v>3733</v>
      </c>
      <c r="D1027" s="40">
        <v>44466</v>
      </c>
      <c r="E1027" s="41">
        <v>20</v>
      </c>
      <c r="F1027" s="46">
        <v>20</v>
      </c>
      <c r="G1027" s="44" t="s">
        <v>3505</v>
      </c>
      <c r="H1027" s="43" t="s">
        <v>2769</v>
      </c>
      <c r="I1027" s="43" t="s">
        <v>2713</v>
      </c>
      <c r="J1027" s="44" t="s">
        <v>471</v>
      </c>
      <c r="K1027" s="48" t="s">
        <v>3744</v>
      </c>
      <c r="L1027" s="52" t="s">
        <v>3799</v>
      </c>
      <c r="M1027" s="56">
        <v>0</v>
      </c>
      <c r="N1027" s="45">
        <v>44592</v>
      </c>
      <c r="O1027" s="4"/>
      <c r="P1027" s="4"/>
      <c r="Q1027" s="4"/>
      <c r="R1027" s="4"/>
      <c r="S1027" s="4"/>
      <c r="T1027" s="4"/>
    </row>
    <row r="1028" spans="1:20" customFormat="1" ht="14.45" customHeight="1" x14ac:dyDescent="0.2">
      <c r="A1028" s="59" t="s">
        <v>7598</v>
      </c>
      <c r="B1028" s="60" t="s">
        <v>3388</v>
      </c>
      <c r="C1028" s="60" t="s">
        <v>699</v>
      </c>
      <c r="D1028" s="40">
        <v>44467</v>
      </c>
      <c r="E1028" s="61">
        <v>31.5</v>
      </c>
      <c r="F1028" s="62">
        <v>31.5</v>
      </c>
      <c r="G1028" s="63" t="s">
        <v>124</v>
      </c>
      <c r="H1028" s="64" t="s">
        <v>2745</v>
      </c>
      <c r="I1028" s="64" t="s">
        <v>2713</v>
      </c>
      <c r="J1028" s="63" t="s">
        <v>530</v>
      </c>
      <c r="K1028" s="64" t="s">
        <v>7597</v>
      </c>
      <c r="L1028" s="63" t="s">
        <v>34</v>
      </c>
      <c r="M1028" s="63" t="s">
        <v>5781</v>
      </c>
      <c r="N1028" s="65">
        <v>45626</v>
      </c>
    </row>
    <row r="1029" spans="1:20" customFormat="1" ht="14.45" customHeight="1" x14ac:dyDescent="0.2">
      <c r="A1029" s="59" t="s">
        <v>3699</v>
      </c>
      <c r="B1029" s="42" t="s">
        <v>3396</v>
      </c>
      <c r="C1029" s="42" t="s">
        <v>3734</v>
      </c>
      <c r="D1029" s="40">
        <v>44467</v>
      </c>
      <c r="E1029" s="41">
        <v>21.8</v>
      </c>
      <c r="F1029" s="46">
        <v>22.8</v>
      </c>
      <c r="G1029" s="44" t="s">
        <v>615</v>
      </c>
      <c r="H1029" s="43" t="s">
        <v>2719</v>
      </c>
      <c r="I1029" s="43" t="s">
        <v>2713</v>
      </c>
      <c r="J1029" s="44" t="s">
        <v>533</v>
      </c>
      <c r="K1029" s="48" t="s">
        <v>3747</v>
      </c>
      <c r="L1029" s="52" t="s">
        <v>403</v>
      </c>
      <c r="M1029" s="56">
        <v>0</v>
      </c>
      <c r="N1029" s="45">
        <v>44530</v>
      </c>
      <c r="O1029" s="4"/>
      <c r="P1029" s="4"/>
      <c r="Q1029" s="4"/>
      <c r="R1029" s="4"/>
      <c r="S1029" s="4"/>
      <c r="T1029" s="4"/>
    </row>
    <row r="1030" spans="1:20" customFormat="1" ht="14.45" customHeight="1" x14ac:dyDescent="0.2">
      <c r="A1030" s="59" t="s">
        <v>3700</v>
      </c>
      <c r="B1030" s="42" t="s">
        <v>3396</v>
      </c>
      <c r="C1030" s="42" t="s">
        <v>3735</v>
      </c>
      <c r="D1030" s="40">
        <v>44467</v>
      </c>
      <c r="E1030" s="41">
        <v>20</v>
      </c>
      <c r="F1030" s="46">
        <v>20</v>
      </c>
      <c r="G1030" s="44" t="s">
        <v>615</v>
      </c>
      <c r="H1030" s="43" t="s">
        <v>2719</v>
      </c>
      <c r="I1030" s="43" t="s">
        <v>2713</v>
      </c>
      <c r="J1030" s="44" t="s">
        <v>533</v>
      </c>
      <c r="K1030" s="48" t="s">
        <v>3747</v>
      </c>
      <c r="L1030" s="52" t="s">
        <v>403</v>
      </c>
      <c r="M1030" s="56">
        <v>0</v>
      </c>
      <c r="N1030" s="45">
        <v>44530</v>
      </c>
      <c r="O1030" s="4"/>
      <c r="P1030" s="4"/>
      <c r="Q1030" s="4"/>
      <c r="R1030" s="4"/>
      <c r="S1030" s="4"/>
      <c r="T1030" s="4"/>
    </row>
    <row r="1031" spans="1:20" customFormat="1" ht="14.45" customHeight="1" x14ac:dyDescent="0.2">
      <c r="A1031" s="59" t="s">
        <v>3701</v>
      </c>
      <c r="B1031" s="42" t="s">
        <v>3396</v>
      </c>
      <c r="C1031" s="42" t="s">
        <v>3736</v>
      </c>
      <c r="D1031" s="40">
        <v>44467</v>
      </c>
      <c r="E1031" s="41">
        <v>20</v>
      </c>
      <c r="F1031" s="46">
        <v>20</v>
      </c>
      <c r="G1031" s="44" t="s">
        <v>615</v>
      </c>
      <c r="H1031" s="43" t="s">
        <v>2715</v>
      </c>
      <c r="I1031" s="43" t="s">
        <v>2713</v>
      </c>
      <c r="J1031" s="44" t="s">
        <v>533</v>
      </c>
      <c r="K1031" s="48"/>
      <c r="L1031" s="52" t="s">
        <v>403</v>
      </c>
      <c r="M1031" s="56">
        <v>0</v>
      </c>
      <c r="N1031" s="45">
        <v>44530</v>
      </c>
      <c r="O1031" s="4"/>
      <c r="P1031" s="4"/>
      <c r="Q1031" s="4"/>
      <c r="R1031" s="4"/>
      <c r="S1031" s="4"/>
      <c r="T1031" s="4"/>
    </row>
    <row r="1032" spans="1:20" customFormat="1" ht="14.45" customHeight="1" x14ac:dyDescent="0.2">
      <c r="A1032" s="59" t="s">
        <v>3702</v>
      </c>
      <c r="B1032" s="42" t="s">
        <v>3737</v>
      </c>
      <c r="C1032" s="42" t="s">
        <v>3738</v>
      </c>
      <c r="D1032" s="40">
        <v>44467</v>
      </c>
      <c r="E1032" s="41">
        <v>11.6</v>
      </c>
      <c r="F1032" s="46">
        <v>11.6</v>
      </c>
      <c r="G1032" s="44" t="s">
        <v>615</v>
      </c>
      <c r="H1032" s="43" t="s">
        <v>2712</v>
      </c>
      <c r="I1032" s="43" t="s">
        <v>2713</v>
      </c>
      <c r="J1032" s="44" t="s">
        <v>533</v>
      </c>
      <c r="K1032" s="48"/>
      <c r="L1032" s="52" t="s">
        <v>403</v>
      </c>
      <c r="M1032" s="56">
        <v>0</v>
      </c>
      <c r="N1032" s="45">
        <v>44530</v>
      </c>
      <c r="O1032" s="4"/>
      <c r="P1032" s="4"/>
      <c r="Q1032" s="4"/>
      <c r="R1032" s="4"/>
      <c r="S1032" s="4"/>
      <c r="T1032" s="4"/>
    </row>
    <row r="1033" spans="1:20" customFormat="1" ht="14.45" customHeight="1" x14ac:dyDescent="0.2">
      <c r="A1033" s="59" t="s">
        <v>3703</v>
      </c>
      <c r="B1033" s="42" t="s">
        <v>3396</v>
      </c>
      <c r="C1033" s="42" t="s">
        <v>3739</v>
      </c>
      <c r="D1033" s="40">
        <v>44468</v>
      </c>
      <c r="E1033" s="41">
        <v>21.8</v>
      </c>
      <c r="F1033" s="46">
        <v>21.8</v>
      </c>
      <c r="G1033" s="44" t="s">
        <v>615</v>
      </c>
      <c r="H1033" s="43" t="s">
        <v>2715</v>
      </c>
      <c r="I1033" s="43" t="s">
        <v>2713</v>
      </c>
      <c r="J1033" s="44" t="s">
        <v>533</v>
      </c>
      <c r="K1033" s="48" t="s">
        <v>3746</v>
      </c>
      <c r="L1033" s="52" t="s">
        <v>403</v>
      </c>
      <c r="M1033" s="56">
        <v>0</v>
      </c>
      <c r="N1033" s="45">
        <v>44530</v>
      </c>
      <c r="O1033" s="4"/>
      <c r="P1033" s="4"/>
      <c r="Q1033" s="4"/>
      <c r="R1033" s="4"/>
      <c r="S1033" s="4"/>
      <c r="T1033" s="4"/>
    </row>
    <row r="1034" spans="1:20" customFormat="1" ht="14.45" customHeight="1" x14ac:dyDescent="0.2">
      <c r="A1034" s="59" t="s">
        <v>3751</v>
      </c>
      <c r="B1034" s="60" t="s">
        <v>5989</v>
      </c>
      <c r="C1034" s="60" t="s">
        <v>3765</v>
      </c>
      <c r="D1034" s="40">
        <v>44476</v>
      </c>
      <c r="E1034" s="61"/>
      <c r="F1034" s="62"/>
      <c r="G1034" s="63" t="s">
        <v>256</v>
      </c>
      <c r="H1034" s="64" t="s">
        <v>3802</v>
      </c>
      <c r="I1034" s="64" t="s">
        <v>2713</v>
      </c>
      <c r="J1034" s="63" t="s">
        <v>4199</v>
      </c>
      <c r="K1034" s="120" t="s">
        <v>4809</v>
      </c>
      <c r="L1034" s="63" t="s">
        <v>4200</v>
      </c>
      <c r="M1034" s="63">
        <v>0</v>
      </c>
      <c r="N1034" s="65">
        <v>45107</v>
      </c>
    </row>
    <row r="1035" spans="1:20" customFormat="1" ht="14.45" customHeight="1" x14ac:dyDescent="0.2">
      <c r="A1035" s="59" t="s">
        <v>3752</v>
      </c>
      <c r="B1035" s="60" t="s">
        <v>1444</v>
      </c>
      <c r="C1035" s="60" t="s">
        <v>3766</v>
      </c>
      <c r="D1035" s="40">
        <v>44477</v>
      </c>
      <c r="E1035" s="61">
        <v>100</v>
      </c>
      <c r="F1035" s="62">
        <v>100</v>
      </c>
      <c r="G1035" s="63" t="s">
        <v>615</v>
      </c>
      <c r="H1035" s="64" t="s">
        <v>2715</v>
      </c>
      <c r="I1035" s="64" t="s">
        <v>2713</v>
      </c>
      <c r="J1035" s="63" t="s">
        <v>533</v>
      </c>
      <c r="K1035" s="64" t="s">
        <v>3767</v>
      </c>
      <c r="L1035" s="63" t="s">
        <v>403</v>
      </c>
      <c r="M1035" s="63">
        <v>0</v>
      </c>
      <c r="N1035" s="65">
        <v>45138</v>
      </c>
    </row>
    <row r="1036" spans="1:20" customFormat="1" ht="14.45" customHeight="1" x14ac:dyDescent="0.2">
      <c r="A1036" s="59" t="s">
        <v>5582</v>
      </c>
      <c r="B1036" s="60" t="s">
        <v>3768</v>
      </c>
      <c r="C1036" s="60" t="s">
        <v>3769</v>
      </c>
      <c r="D1036" s="40">
        <v>44477</v>
      </c>
      <c r="E1036" s="61"/>
      <c r="F1036" s="62"/>
      <c r="G1036" s="63" t="s">
        <v>256</v>
      </c>
      <c r="H1036" s="64" t="s">
        <v>3770</v>
      </c>
      <c r="I1036" s="64" t="s">
        <v>2713</v>
      </c>
      <c r="J1036" s="63" t="s">
        <v>3771</v>
      </c>
      <c r="K1036" s="64" t="s">
        <v>3772</v>
      </c>
      <c r="L1036" s="63" t="s">
        <v>4200</v>
      </c>
      <c r="M1036" s="63">
        <v>0</v>
      </c>
      <c r="N1036" s="65">
        <v>45260</v>
      </c>
    </row>
    <row r="1037" spans="1:20" customFormat="1" ht="14.45" customHeight="1" x14ac:dyDescent="0.2">
      <c r="A1037" s="59" t="s">
        <v>3753</v>
      </c>
      <c r="B1037" s="60" t="s">
        <v>5990</v>
      </c>
      <c r="C1037" s="60" t="s">
        <v>4791</v>
      </c>
      <c r="D1037" s="40">
        <v>44477</v>
      </c>
      <c r="E1037" s="61"/>
      <c r="F1037" s="62"/>
      <c r="G1037" s="63" t="s">
        <v>256</v>
      </c>
      <c r="H1037" s="64" t="s">
        <v>3773</v>
      </c>
      <c r="I1037" s="64" t="s">
        <v>2713</v>
      </c>
      <c r="J1037" s="63" t="s">
        <v>4201</v>
      </c>
      <c r="K1037" s="64" t="s">
        <v>4202</v>
      </c>
      <c r="L1037" s="63" t="s">
        <v>4200</v>
      </c>
      <c r="M1037" s="63">
        <v>0</v>
      </c>
      <c r="N1037" s="65">
        <v>45138</v>
      </c>
    </row>
    <row r="1038" spans="1:20" customFormat="1" ht="14.45" customHeight="1" x14ac:dyDescent="0.2">
      <c r="A1038" s="59" t="s">
        <v>3754</v>
      </c>
      <c r="B1038" s="60" t="s">
        <v>5990</v>
      </c>
      <c r="C1038" s="60" t="s">
        <v>4792</v>
      </c>
      <c r="D1038" s="40">
        <v>44477</v>
      </c>
      <c r="E1038" s="61"/>
      <c r="F1038" s="62"/>
      <c r="G1038" s="63" t="s">
        <v>256</v>
      </c>
      <c r="H1038" s="64" t="s">
        <v>3774</v>
      </c>
      <c r="I1038" s="64" t="s">
        <v>2713</v>
      </c>
      <c r="J1038" s="63" t="s">
        <v>4203</v>
      </c>
      <c r="K1038" s="64" t="s">
        <v>4204</v>
      </c>
      <c r="L1038" s="63" t="s">
        <v>4200</v>
      </c>
      <c r="M1038" s="63">
        <v>0</v>
      </c>
      <c r="N1038" s="65">
        <v>45138</v>
      </c>
    </row>
    <row r="1039" spans="1:20" customFormat="1" ht="14.45" customHeight="1" x14ac:dyDescent="0.2">
      <c r="A1039" s="59" t="s">
        <v>3755</v>
      </c>
      <c r="B1039" s="60" t="s">
        <v>5990</v>
      </c>
      <c r="C1039" s="60" t="s">
        <v>4793</v>
      </c>
      <c r="D1039" s="40">
        <v>44477</v>
      </c>
      <c r="E1039" s="61"/>
      <c r="F1039" s="62"/>
      <c r="G1039" s="63" t="s">
        <v>256</v>
      </c>
      <c r="H1039" s="64" t="s">
        <v>3775</v>
      </c>
      <c r="I1039" s="64" t="s">
        <v>2713</v>
      </c>
      <c r="J1039" s="63" t="s">
        <v>4201</v>
      </c>
      <c r="K1039" s="64" t="s">
        <v>4205</v>
      </c>
      <c r="L1039" s="63" t="s">
        <v>4206</v>
      </c>
      <c r="M1039" s="63">
        <v>0</v>
      </c>
      <c r="N1039" s="65">
        <v>45138</v>
      </c>
    </row>
    <row r="1040" spans="1:20" customFormat="1" ht="14.45" customHeight="1" x14ac:dyDescent="0.2">
      <c r="A1040" s="59" t="s">
        <v>3756</v>
      </c>
      <c r="B1040" s="60" t="s">
        <v>5990</v>
      </c>
      <c r="C1040" s="60" t="s">
        <v>4794</v>
      </c>
      <c r="D1040" s="40">
        <v>44478</v>
      </c>
      <c r="E1040" s="61"/>
      <c r="F1040" s="62"/>
      <c r="G1040" s="63" t="s">
        <v>256</v>
      </c>
      <c r="H1040" s="64" t="s">
        <v>3773</v>
      </c>
      <c r="I1040" s="64" t="s">
        <v>2713</v>
      </c>
      <c r="J1040" s="63" t="s">
        <v>4201</v>
      </c>
      <c r="K1040" s="64" t="s">
        <v>4205</v>
      </c>
      <c r="L1040" s="63" t="s">
        <v>4206</v>
      </c>
      <c r="M1040" s="63">
        <v>0</v>
      </c>
      <c r="N1040" s="65">
        <v>45138</v>
      </c>
    </row>
    <row r="1041" spans="1:14" customFormat="1" ht="14.45" customHeight="1" x14ac:dyDescent="0.2">
      <c r="A1041" s="59" t="s">
        <v>5087</v>
      </c>
      <c r="B1041" s="60" t="s">
        <v>5991</v>
      </c>
      <c r="C1041" s="60" t="s">
        <v>5992</v>
      </c>
      <c r="D1041" s="40">
        <v>44479</v>
      </c>
      <c r="E1041" s="61"/>
      <c r="F1041" s="62"/>
      <c r="G1041" s="63" t="s">
        <v>256</v>
      </c>
      <c r="H1041" s="64" t="s">
        <v>3776</v>
      </c>
      <c r="I1041" s="64" t="s">
        <v>2713</v>
      </c>
      <c r="J1041" s="63" t="s">
        <v>3771</v>
      </c>
      <c r="K1041" s="64" t="s">
        <v>3777</v>
      </c>
      <c r="L1041" s="63" t="s">
        <v>4200</v>
      </c>
      <c r="M1041" s="63">
        <v>0</v>
      </c>
      <c r="N1041" s="65">
        <v>45230</v>
      </c>
    </row>
    <row r="1042" spans="1:14" customFormat="1" ht="14.45" customHeight="1" x14ac:dyDescent="0.2">
      <c r="A1042" s="59" t="s">
        <v>5092</v>
      </c>
      <c r="B1042" s="60" t="s">
        <v>5991</v>
      </c>
      <c r="C1042" s="60" t="s">
        <v>5993</v>
      </c>
      <c r="D1042" s="40">
        <v>44479</v>
      </c>
      <c r="E1042" s="61"/>
      <c r="F1042" s="62"/>
      <c r="G1042" s="63" t="s">
        <v>256</v>
      </c>
      <c r="H1042" s="64" t="s">
        <v>3776</v>
      </c>
      <c r="I1042" s="64" t="s">
        <v>2713</v>
      </c>
      <c r="J1042" s="63" t="s">
        <v>3771</v>
      </c>
      <c r="K1042" s="64" t="s">
        <v>3778</v>
      </c>
      <c r="L1042" s="63" t="s">
        <v>4200</v>
      </c>
      <c r="M1042" s="63">
        <v>0</v>
      </c>
      <c r="N1042" s="65">
        <v>45230</v>
      </c>
    </row>
    <row r="1043" spans="1:14" customFormat="1" ht="14.45" customHeight="1" x14ac:dyDescent="0.2">
      <c r="A1043" s="59" t="s">
        <v>5086</v>
      </c>
      <c r="B1043" s="60" t="s">
        <v>5991</v>
      </c>
      <c r="C1043" s="60" t="s">
        <v>5994</v>
      </c>
      <c r="D1043" s="40">
        <v>44479</v>
      </c>
      <c r="E1043" s="61"/>
      <c r="F1043" s="62"/>
      <c r="G1043" s="63" t="s">
        <v>256</v>
      </c>
      <c r="H1043" s="64" t="s">
        <v>3776</v>
      </c>
      <c r="I1043" s="64" t="s">
        <v>2713</v>
      </c>
      <c r="J1043" s="63" t="s">
        <v>3771</v>
      </c>
      <c r="K1043" s="64" t="s">
        <v>3779</v>
      </c>
      <c r="L1043" s="63" t="s">
        <v>4200</v>
      </c>
      <c r="M1043" s="63">
        <v>0</v>
      </c>
      <c r="N1043" s="65">
        <v>45230</v>
      </c>
    </row>
    <row r="1044" spans="1:14" customFormat="1" ht="14.45" customHeight="1" x14ac:dyDescent="0.2">
      <c r="A1044" s="59" t="s">
        <v>5089</v>
      </c>
      <c r="B1044" s="60" t="s">
        <v>5991</v>
      </c>
      <c r="C1044" s="60" t="s">
        <v>5995</v>
      </c>
      <c r="D1044" s="40">
        <v>44479</v>
      </c>
      <c r="E1044" s="61"/>
      <c r="F1044" s="62"/>
      <c r="G1044" s="63" t="s">
        <v>256</v>
      </c>
      <c r="H1044" s="64" t="s">
        <v>3776</v>
      </c>
      <c r="I1044" s="64" t="s">
        <v>2713</v>
      </c>
      <c r="J1044" s="63" t="s">
        <v>3771</v>
      </c>
      <c r="K1044" s="64" t="s">
        <v>3779</v>
      </c>
      <c r="L1044" s="63" t="s">
        <v>4200</v>
      </c>
      <c r="M1044" s="63">
        <v>0</v>
      </c>
      <c r="N1044" s="65">
        <v>45230</v>
      </c>
    </row>
    <row r="1045" spans="1:14" customFormat="1" ht="14.45" customHeight="1" x14ac:dyDescent="0.2">
      <c r="A1045" s="59" t="s">
        <v>5084</v>
      </c>
      <c r="B1045" s="60" t="s">
        <v>5991</v>
      </c>
      <c r="C1045" s="60" t="s">
        <v>5996</v>
      </c>
      <c r="D1045" s="40">
        <v>44479</v>
      </c>
      <c r="E1045" s="61"/>
      <c r="F1045" s="62"/>
      <c r="G1045" s="63" t="s">
        <v>256</v>
      </c>
      <c r="H1045" s="64" t="s">
        <v>3776</v>
      </c>
      <c r="I1045" s="64" t="s">
        <v>2713</v>
      </c>
      <c r="J1045" s="63" t="s">
        <v>3771</v>
      </c>
      <c r="K1045" s="64" t="s">
        <v>3780</v>
      </c>
      <c r="L1045" s="63" t="s">
        <v>4200</v>
      </c>
      <c r="M1045" s="63">
        <v>0</v>
      </c>
      <c r="N1045" s="65">
        <v>45230</v>
      </c>
    </row>
    <row r="1046" spans="1:14" customFormat="1" ht="14.45" customHeight="1" x14ac:dyDescent="0.2">
      <c r="A1046" s="59" t="s">
        <v>5090</v>
      </c>
      <c r="B1046" s="60" t="s">
        <v>5991</v>
      </c>
      <c r="C1046" s="60" t="s">
        <v>5997</v>
      </c>
      <c r="D1046" s="40">
        <v>44479</v>
      </c>
      <c r="E1046" s="61"/>
      <c r="F1046" s="62"/>
      <c r="G1046" s="63" t="s">
        <v>256</v>
      </c>
      <c r="H1046" s="64" t="s">
        <v>3781</v>
      </c>
      <c r="I1046" s="64" t="s">
        <v>2713</v>
      </c>
      <c r="J1046" s="63" t="s">
        <v>3771</v>
      </c>
      <c r="K1046" s="64" t="s">
        <v>3782</v>
      </c>
      <c r="L1046" s="63" t="s">
        <v>4200</v>
      </c>
      <c r="M1046" s="63">
        <v>0</v>
      </c>
      <c r="N1046" s="65">
        <v>45230</v>
      </c>
    </row>
    <row r="1047" spans="1:14" customFormat="1" ht="14.45" customHeight="1" x14ac:dyDescent="0.2">
      <c r="A1047" s="59" t="s">
        <v>5085</v>
      </c>
      <c r="B1047" s="60" t="s">
        <v>5991</v>
      </c>
      <c r="C1047" s="60" t="s">
        <v>5998</v>
      </c>
      <c r="D1047" s="40">
        <v>44479</v>
      </c>
      <c r="E1047" s="61"/>
      <c r="F1047" s="62"/>
      <c r="G1047" s="63" t="s">
        <v>256</v>
      </c>
      <c r="H1047" s="64" t="s">
        <v>3776</v>
      </c>
      <c r="I1047" s="64" t="s">
        <v>2713</v>
      </c>
      <c r="J1047" s="63" t="s">
        <v>3783</v>
      </c>
      <c r="K1047" s="64" t="s">
        <v>3784</v>
      </c>
      <c r="L1047" s="63" t="s">
        <v>4200</v>
      </c>
      <c r="M1047" s="63">
        <v>0</v>
      </c>
      <c r="N1047" s="65">
        <v>45230</v>
      </c>
    </row>
    <row r="1048" spans="1:14" customFormat="1" ht="14.45" customHeight="1" x14ac:dyDescent="0.2">
      <c r="A1048" s="59" t="s">
        <v>5088</v>
      </c>
      <c r="B1048" s="60" t="s">
        <v>5991</v>
      </c>
      <c r="C1048" s="60" t="s">
        <v>5999</v>
      </c>
      <c r="D1048" s="40">
        <v>44479</v>
      </c>
      <c r="E1048" s="61"/>
      <c r="F1048" s="62"/>
      <c r="G1048" s="63" t="s">
        <v>256</v>
      </c>
      <c r="H1048" s="64" t="s">
        <v>3776</v>
      </c>
      <c r="I1048" s="64" t="s">
        <v>2713</v>
      </c>
      <c r="J1048" s="63" t="s">
        <v>3783</v>
      </c>
      <c r="K1048" s="64" t="s">
        <v>3785</v>
      </c>
      <c r="L1048" s="63" t="s">
        <v>4200</v>
      </c>
      <c r="M1048" s="63">
        <v>0</v>
      </c>
      <c r="N1048" s="65">
        <v>45230</v>
      </c>
    </row>
    <row r="1049" spans="1:14" customFormat="1" ht="14.45" customHeight="1" x14ac:dyDescent="0.2">
      <c r="A1049" s="59" t="s">
        <v>5091</v>
      </c>
      <c r="B1049" s="60" t="s">
        <v>5991</v>
      </c>
      <c r="C1049" s="60" t="s">
        <v>6000</v>
      </c>
      <c r="D1049" s="40">
        <v>44479</v>
      </c>
      <c r="E1049" s="61"/>
      <c r="F1049" s="62"/>
      <c r="G1049" s="63" t="s">
        <v>256</v>
      </c>
      <c r="H1049" s="64" t="s">
        <v>3776</v>
      </c>
      <c r="I1049" s="64" t="s">
        <v>2713</v>
      </c>
      <c r="J1049" s="63" t="s">
        <v>3786</v>
      </c>
      <c r="K1049" s="64" t="s">
        <v>3787</v>
      </c>
      <c r="L1049" s="63" t="s">
        <v>4207</v>
      </c>
      <c r="M1049" s="63">
        <v>0</v>
      </c>
      <c r="N1049" s="65">
        <v>45230</v>
      </c>
    </row>
    <row r="1050" spans="1:14" customFormat="1" ht="14.45" customHeight="1" x14ac:dyDescent="0.2">
      <c r="A1050" s="59" t="s">
        <v>5083</v>
      </c>
      <c r="B1050" s="60" t="s">
        <v>5991</v>
      </c>
      <c r="C1050" s="60" t="s">
        <v>6001</v>
      </c>
      <c r="D1050" s="40">
        <v>44479</v>
      </c>
      <c r="E1050" s="61"/>
      <c r="F1050" s="62"/>
      <c r="G1050" s="63" t="s">
        <v>256</v>
      </c>
      <c r="H1050" s="64" t="s">
        <v>3776</v>
      </c>
      <c r="I1050" s="64" t="s">
        <v>2713</v>
      </c>
      <c r="J1050" s="63" t="s">
        <v>3771</v>
      </c>
      <c r="K1050" s="64" t="s">
        <v>3782</v>
      </c>
      <c r="L1050" s="63" t="s">
        <v>4200</v>
      </c>
      <c r="M1050" s="63">
        <v>0</v>
      </c>
      <c r="N1050" s="65">
        <v>45230</v>
      </c>
    </row>
    <row r="1051" spans="1:14" customFormat="1" ht="14.45" customHeight="1" x14ac:dyDescent="0.2">
      <c r="A1051" s="59" t="s">
        <v>5348</v>
      </c>
      <c r="B1051" s="60" t="s">
        <v>7322</v>
      </c>
      <c r="C1051" s="60" t="s">
        <v>3788</v>
      </c>
      <c r="D1051" s="40">
        <v>44523</v>
      </c>
      <c r="E1051" s="61"/>
      <c r="F1051" s="62"/>
      <c r="G1051" s="63" t="s">
        <v>253</v>
      </c>
      <c r="H1051" s="64" t="s">
        <v>7306</v>
      </c>
      <c r="I1051" s="64" t="s">
        <v>2713</v>
      </c>
      <c r="J1051" s="63" t="s">
        <v>3461</v>
      </c>
      <c r="K1051" s="64" t="s">
        <v>4912</v>
      </c>
      <c r="L1051" s="63" t="s">
        <v>4167</v>
      </c>
      <c r="M1051" s="63" t="s">
        <v>5781</v>
      </c>
      <c r="N1051" s="65">
        <v>45961</v>
      </c>
    </row>
    <row r="1052" spans="1:14" customFormat="1" ht="14.45" customHeight="1" x14ac:dyDescent="0.2">
      <c r="A1052" s="59" t="s">
        <v>3757</v>
      </c>
      <c r="B1052" s="60" t="s">
        <v>5990</v>
      </c>
      <c r="C1052" s="60" t="s">
        <v>4795</v>
      </c>
      <c r="D1052" s="40">
        <v>44480</v>
      </c>
      <c r="E1052" s="61"/>
      <c r="F1052" s="62"/>
      <c r="G1052" s="63" t="s">
        <v>256</v>
      </c>
      <c r="H1052" s="64" t="s">
        <v>3773</v>
      </c>
      <c r="I1052" s="64" t="s">
        <v>2713</v>
      </c>
      <c r="J1052" s="63" t="s">
        <v>4201</v>
      </c>
      <c r="K1052" s="64" t="s">
        <v>4209</v>
      </c>
      <c r="L1052" s="63" t="s">
        <v>4206</v>
      </c>
      <c r="M1052" s="63">
        <v>0</v>
      </c>
      <c r="N1052" s="65">
        <v>45138</v>
      </c>
    </row>
    <row r="1053" spans="1:14" customFormat="1" ht="14.45" customHeight="1" x14ac:dyDescent="0.2">
      <c r="A1053" s="59" t="s">
        <v>3758</v>
      </c>
      <c r="B1053" s="60" t="s">
        <v>5990</v>
      </c>
      <c r="C1053" s="60" t="s">
        <v>4796</v>
      </c>
      <c r="D1053" s="40">
        <v>44480</v>
      </c>
      <c r="E1053" s="61"/>
      <c r="F1053" s="62"/>
      <c r="G1053" s="63" t="s">
        <v>253</v>
      </c>
      <c r="H1053" s="64" t="s">
        <v>3773</v>
      </c>
      <c r="I1053" s="64" t="s">
        <v>2713</v>
      </c>
      <c r="J1053" s="63" t="s">
        <v>4201</v>
      </c>
      <c r="K1053" s="64" t="s">
        <v>4210</v>
      </c>
      <c r="L1053" s="63" t="s">
        <v>4200</v>
      </c>
      <c r="M1053" s="63">
        <v>0</v>
      </c>
      <c r="N1053" s="65">
        <v>45138</v>
      </c>
    </row>
    <row r="1054" spans="1:14" customFormat="1" ht="14.45" customHeight="1" x14ac:dyDescent="0.2">
      <c r="A1054" s="59" t="s">
        <v>5350</v>
      </c>
      <c r="B1054" s="60" t="s">
        <v>3388</v>
      </c>
      <c r="C1054" s="60" t="s">
        <v>3790</v>
      </c>
      <c r="D1054" s="40">
        <v>44489</v>
      </c>
      <c r="E1054" s="61" t="s">
        <v>5959</v>
      </c>
      <c r="F1054" s="62" t="s">
        <v>5959</v>
      </c>
      <c r="G1054" s="63" t="s">
        <v>124</v>
      </c>
      <c r="H1054" s="64" t="s">
        <v>2741</v>
      </c>
      <c r="I1054" s="64" t="s">
        <v>2713</v>
      </c>
      <c r="J1054" s="63" t="s">
        <v>531</v>
      </c>
      <c r="K1054" s="64" t="s">
        <v>4211</v>
      </c>
      <c r="L1054" s="63" t="s">
        <v>157</v>
      </c>
      <c r="M1054" s="63" t="s">
        <v>5781</v>
      </c>
      <c r="N1054" s="65">
        <v>45504</v>
      </c>
    </row>
    <row r="1055" spans="1:14" customFormat="1" ht="14.45" customHeight="1" x14ac:dyDescent="0.2">
      <c r="A1055" s="59" t="s">
        <v>3759</v>
      </c>
      <c r="B1055" s="60" t="s">
        <v>3791</v>
      </c>
      <c r="C1055" s="60" t="s">
        <v>3792</v>
      </c>
      <c r="D1055" s="40">
        <v>44491</v>
      </c>
      <c r="E1055" s="61">
        <v>20</v>
      </c>
      <c r="F1055" s="62">
        <v>20</v>
      </c>
      <c r="G1055" s="63" t="s">
        <v>55</v>
      </c>
      <c r="H1055" s="64" t="s">
        <v>2640</v>
      </c>
      <c r="I1055" s="64" t="s">
        <v>2713</v>
      </c>
      <c r="J1055" s="63"/>
      <c r="K1055" s="64" t="s">
        <v>4536</v>
      </c>
      <c r="L1055" s="63" t="s">
        <v>34</v>
      </c>
      <c r="M1055" s="63">
        <v>0</v>
      </c>
      <c r="N1055" s="65">
        <v>45169</v>
      </c>
    </row>
    <row r="1056" spans="1:14" customFormat="1" ht="14.45" customHeight="1" x14ac:dyDescent="0.2">
      <c r="A1056" s="59" t="s">
        <v>6065</v>
      </c>
      <c r="B1056" s="60" t="s">
        <v>3791</v>
      </c>
      <c r="C1056" s="60" t="s">
        <v>6066</v>
      </c>
      <c r="D1056" s="40">
        <v>44491</v>
      </c>
      <c r="E1056" s="61">
        <v>20</v>
      </c>
      <c r="F1056" s="62">
        <v>20</v>
      </c>
      <c r="G1056" s="63" t="s">
        <v>55</v>
      </c>
      <c r="H1056" s="64" t="s">
        <v>2699</v>
      </c>
      <c r="I1056" s="64" t="s">
        <v>2713</v>
      </c>
      <c r="J1056" s="63" t="s">
        <v>471</v>
      </c>
      <c r="K1056" s="64" t="s">
        <v>6067</v>
      </c>
      <c r="L1056" s="63" t="s">
        <v>157</v>
      </c>
      <c r="M1056" s="63" t="s">
        <v>5781</v>
      </c>
      <c r="N1056" s="65">
        <v>45351</v>
      </c>
    </row>
    <row r="1057" spans="1:20" customFormat="1" ht="14.45" customHeight="1" x14ac:dyDescent="0.2">
      <c r="A1057" s="59" t="s">
        <v>3760</v>
      </c>
      <c r="B1057" s="42" t="s">
        <v>3453</v>
      </c>
      <c r="C1057" s="42" t="s">
        <v>3793</v>
      </c>
      <c r="D1057" s="40">
        <v>44495</v>
      </c>
      <c r="E1057" s="41">
        <v>40</v>
      </c>
      <c r="F1057" s="46">
        <v>40</v>
      </c>
      <c r="G1057" s="44" t="s">
        <v>55</v>
      </c>
      <c r="H1057" s="43" t="s">
        <v>2808</v>
      </c>
      <c r="I1057" s="43" t="s">
        <v>2713</v>
      </c>
      <c r="J1057" s="44" t="s">
        <v>471</v>
      </c>
      <c r="K1057" s="48" t="s">
        <v>3819</v>
      </c>
      <c r="L1057" s="52" t="s">
        <v>157</v>
      </c>
      <c r="M1057" s="56">
        <v>0</v>
      </c>
      <c r="N1057" s="45">
        <v>44895</v>
      </c>
      <c r="O1057" s="4"/>
      <c r="P1057" s="4"/>
      <c r="Q1057" s="4"/>
      <c r="R1057" s="4"/>
      <c r="S1057" s="4"/>
      <c r="T1057" s="4"/>
    </row>
    <row r="1058" spans="1:20" customFormat="1" ht="14.45" customHeight="1" x14ac:dyDescent="0.2">
      <c r="A1058" s="59" t="s">
        <v>3761</v>
      </c>
      <c r="B1058" s="42" t="s">
        <v>3638</v>
      </c>
      <c r="C1058" s="42" t="s">
        <v>3794</v>
      </c>
      <c r="D1058" s="40">
        <v>44497</v>
      </c>
      <c r="E1058" s="41">
        <v>20</v>
      </c>
      <c r="F1058" s="46">
        <v>20</v>
      </c>
      <c r="G1058" s="44" t="s">
        <v>615</v>
      </c>
      <c r="H1058" s="43" t="s">
        <v>2756</v>
      </c>
      <c r="I1058" s="43" t="s">
        <v>2713</v>
      </c>
      <c r="J1058" s="44" t="s">
        <v>533</v>
      </c>
      <c r="K1058" s="48"/>
      <c r="L1058" s="52" t="s">
        <v>403</v>
      </c>
      <c r="M1058" s="56">
        <v>0</v>
      </c>
      <c r="N1058" s="45">
        <v>44530</v>
      </c>
      <c r="O1058" s="4"/>
      <c r="P1058" s="4"/>
      <c r="Q1058" s="4"/>
      <c r="R1058" s="4"/>
      <c r="S1058" s="4"/>
      <c r="T1058" s="4"/>
    </row>
    <row r="1059" spans="1:20" customFormat="1" ht="14.45" customHeight="1" x14ac:dyDescent="0.2">
      <c r="A1059" s="59" t="s">
        <v>3762</v>
      </c>
      <c r="B1059" s="42" t="s">
        <v>3795</v>
      </c>
      <c r="C1059" s="42" t="s">
        <v>3726</v>
      </c>
      <c r="D1059" s="40">
        <v>44498</v>
      </c>
      <c r="E1059" s="41">
        <v>20</v>
      </c>
      <c r="F1059" s="46">
        <v>20</v>
      </c>
      <c r="G1059" s="44" t="s">
        <v>615</v>
      </c>
      <c r="H1059" s="43" t="s">
        <v>2717</v>
      </c>
      <c r="I1059" s="43" t="s">
        <v>2713</v>
      </c>
      <c r="J1059" s="44" t="s">
        <v>539</v>
      </c>
      <c r="K1059" s="48" t="s">
        <v>3820</v>
      </c>
      <c r="L1059" s="52" t="s">
        <v>1162</v>
      </c>
      <c r="M1059" s="56">
        <v>0</v>
      </c>
      <c r="N1059" s="45">
        <v>44592</v>
      </c>
      <c r="O1059" s="4"/>
      <c r="P1059" s="4"/>
      <c r="Q1059" s="4"/>
      <c r="R1059" s="4"/>
      <c r="S1059" s="4"/>
      <c r="T1059" s="4"/>
    </row>
    <row r="1060" spans="1:20" customFormat="1" ht="14.45" customHeight="1" x14ac:dyDescent="0.2">
      <c r="A1060" s="59" t="s">
        <v>3763</v>
      </c>
      <c r="B1060" s="42" t="s">
        <v>3638</v>
      </c>
      <c r="C1060" s="42" t="s">
        <v>3796</v>
      </c>
      <c r="D1060" s="40">
        <v>44498</v>
      </c>
      <c r="E1060" s="41">
        <v>20</v>
      </c>
      <c r="F1060" s="46">
        <v>20</v>
      </c>
      <c r="G1060" s="44" t="s">
        <v>615</v>
      </c>
      <c r="H1060" s="43" t="s">
        <v>2640</v>
      </c>
      <c r="I1060" s="43" t="s">
        <v>2713</v>
      </c>
      <c r="J1060" s="44" t="s">
        <v>533</v>
      </c>
      <c r="K1060" s="48"/>
      <c r="L1060" s="52" t="s">
        <v>403</v>
      </c>
      <c r="M1060" s="56">
        <v>0</v>
      </c>
      <c r="N1060" s="45">
        <v>44530</v>
      </c>
      <c r="O1060" s="4"/>
      <c r="P1060" s="4"/>
      <c r="Q1060" s="4"/>
      <c r="R1060" s="4"/>
      <c r="S1060" s="4"/>
      <c r="T1060" s="4"/>
    </row>
    <row r="1061" spans="1:20" customFormat="1" ht="14.45" customHeight="1" x14ac:dyDescent="0.2">
      <c r="A1061" s="59" t="s">
        <v>3764</v>
      </c>
      <c r="B1061" s="42" t="s">
        <v>3797</v>
      </c>
      <c r="C1061" s="42" t="s">
        <v>3798</v>
      </c>
      <c r="D1061" s="40">
        <v>44498</v>
      </c>
      <c r="E1061" s="41">
        <v>20</v>
      </c>
      <c r="F1061" s="46">
        <v>20</v>
      </c>
      <c r="G1061" s="44" t="s">
        <v>615</v>
      </c>
      <c r="H1061" s="43" t="s">
        <v>2763</v>
      </c>
      <c r="I1061" s="43" t="s">
        <v>2713</v>
      </c>
      <c r="J1061" s="44" t="s">
        <v>393</v>
      </c>
      <c r="K1061" s="48" t="s">
        <v>3822</v>
      </c>
      <c r="L1061" s="52" t="s">
        <v>34</v>
      </c>
      <c r="M1061" s="56">
        <v>0</v>
      </c>
      <c r="N1061" s="45">
        <v>44804</v>
      </c>
      <c r="O1061" s="4"/>
      <c r="P1061" s="4"/>
      <c r="Q1061" s="4"/>
      <c r="R1061" s="4"/>
      <c r="S1061" s="4"/>
      <c r="T1061" s="4"/>
    </row>
    <row r="1062" spans="1:20" customFormat="1" ht="14.45" customHeight="1" x14ac:dyDescent="0.2">
      <c r="A1062" s="59" t="s">
        <v>3789</v>
      </c>
      <c r="B1062" s="42" t="s">
        <v>2913</v>
      </c>
      <c r="C1062" s="42" t="s">
        <v>2913</v>
      </c>
      <c r="D1062" s="40">
        <v>44502</v>
      </c>
      <c r="E1062" s="41">
        <v>6</v>
      </c>
      <c r="F1062" s="46">
        <v>6</v>
      </c>
      <c r="G1062" s="44" t="s">
        <v>615</v>
      </c>
      <c r="H1062" s="43" t="s">
        <v>2640</v>
      </c>
      <c r="I1062" s="43" t="s">
        <v>2713</v>
      </c>
      <c r="J1062" s="44" t="s">
        <v>540</v>
      </c>
      <c r="K1062" s="48" t="s">
        <v>3821</v>
      </c>
      <c r="L1062" s="52" t="s">
        <v>191</v>
      </c>
      <c r="M1062" s="56">
        <v>0</v>
      </c>
      <c r="N1062" s="45">
        <v>44561</v>
      </c>
      <c r="O1062" s="4"/>
      <c r="P1062" s="4"/>
      <c r="Q1062" s="4"/>
      <c r="R1062" s="4"/>
      <c r="S1062" s="4"/>
      <c r="T1062" s="4"/>
    </row>
    <row r="1063" spans="1:20" customFormat="1" ht="14.45" customHeight="1" x14ac:dyDescent="0.2">
      <c r="A1063" s="59" t="s">
        <v>5351</v>
      </c>
      <c r="B1063" s="60" t="s">
        <v>3807</v>
      </c>
      <c r="C1063" s="60" t="s">
        <v>3808</v>
      </c>
      <c r="D1063" s="40">
        <v>44509</v>
      </c>
      <c r="E1063" s="61" t="s">
        <v>5814</v>
      </c>
      <c r="F1063" s="62" t="s">
        <v>5814</v>
      </c>
      <c r="G1063" s="63" t="s">
        <v>615</v>
      </c>
      <c r="H1063" s="64" t="s">
        <v>2716</v>
      </c>
      <c r="I1063" s="64" t="s">
        <v>2713</v>
      </c>
      <c r="J1063" s="63" t="s">
        <v>532</v>
      </c>
      <c r="K1063" s="64" t="s">
        <v>4537</v>
      </c>
      <c r="L1063" s="63" t="s">
        <v>87</v>
      </c>
      <c r="M1063" s="63" t="s">
        <v>5781</v>
      </c>
      <c r="N1063" s="65">
        <v>45443</v>
      </c>
    </row>
    <row r="1064" spans="1:20" customFormat="1" ht="14.45" customHeight="1" x14ac:dyDescent="0.2">
      <c r="A1064" s="59" t="s">
        <v>3806</v>
      </c>
      <c r="B1064" s="42" t="s">
        <v>1710</v>
      </c>
      <c r="C1064" s="42" t="s">
        <v>3809</v>
      </c>
      <c r="D1064" s="40">
        <v>44510</v>
      </c>
      <c r="E1064" s="41">
        <v>102.3</v>
      </c>
      <c r="F1064" s="46">
        <v>100</v>
      </c>
      <c r="G1064" s="44" t="s">
        <v>55</v>
      </c>
      <c r="H1064" s="43" t="s">
        <v>2744</v>
      </c>
      <c r="I1064" s="43" t="s">
        <v>2713</v>
      </c>
      <c r="J1064" s="44" t="s">
        <v>530</v>
      </c>
      <c r="K1064" s="48" t="s">
        <v>3810</v>
      </c>
      <c r="L1064" s="52" t="s">
        <v>157</v>
      </c>
      <c r="M1064" s="56">
        <v>0</v>
      </c>
      <c r="N1064" s="45">
        <v>44651</v>
      </c>
      <c r="O1064" s="4"/>
      <c r="P1064" s="4"/>
      <c r="Q1064" s="4"/>
      <c r="R1064" s="4"/>
      <c r="S1064" s="4"/>
      <c r="T1064" s="4"/>
    </row>
    <row r="1065" spans="1:20" customFormat="1" ht="14.45" customHeight="1" x14ac:dyDescent="0.2">
      <c r="A1065" s="59" t="s">
        <v>5352</v>
      </c>
      <c r="B1065" s="60" t="s">
        <v>3811</v>
      </c>
      <c r="C1065" s="60" t="s">
        <v>3812</v>
      </c>
      <c r="D1065" s="40">
        <v>44512</v>
      </c>
      <c r="E1065" s="61" t="s">
        <v>5796</v>
      </c>
      <c r="F1065" s="62" t="s">
        <v>5796</v>
      </c>
      <c r="G1065" s="63" t="s">
        <v>615</v>
      </c>
      <c r="H1065" s="64" t="s">
        <v>2773</v>
      </c>
      <c r="I1065" s="64" t="s">
        <v>2713</v>
      </c>
      <c r="J1065" s="63" t="s">
        <v>539</v>
      </c>
      <c r="K1065" s="64" t="s">
        <v>4538</v>
      </c>
      <c r="L1065" s="63" t="s">
        <v>2558</v>
      </c>
      <c r="M1065" s="63" t="s">
        <v>5781</v>
      </c>
      <c r="N1065" s="65">
        <v>45443</v>
      </c>
    </row>
    <row r="1066" spans="1:20" customFormat="1" ht="14.45" customHeight="1" x14ac:dyDescent="0.2">
      <c r="A1066" s="59" t="s">
        <v>5353</v>
      </c>
      <c r="B1066" s="60" t="s">
        <v>3712</v>
      </c>
      <c r="C1066" s="60" t="s">
        <v>3813</v>
      </c>
      <c r="D1066" s="40">
        <v>44512</v>
      </c>
      <c r="E1066" s="61" t="s">
        <v>5793</v>
      </c>
      <c r="F1066" s="62" t="s">
        <v>5793</v>
      </c>
      <c r="G1066" s="63" t="s">
        <v>615</v>
      </c>
      <c r="H1066" s="64" t="s">
        <v>2756</v>
      </c>
      <c r="I1066" s="64" t="s">
        <v>2713</v>
      </c>
      <c r="J1066" s="63" t="s">
        <v>393</v>
      </c>
      <c r="K1066" s="64" t="s">
        <v>4539</v>
      </c>
      <c r="L1066" s="63" t="s">
        <v>34</v>
      </c>
      <c r="M1066" s="63" t="s">
        <v>5781</v>
      </c>
      <c r="N1066" s="65">
        <v>45443</v>
      </c>
    </row>
    <row r="1067" spans="1:20" customFormat="1" ht="14.45" customHeight="1" x14ac:dyDescent="0.2">
      <c r="A1067" s="59" t="s">
        <v>5354</v>
      </c>
      <c r="B1067" s="60" t="s">
        <v>3712</v>
      </c>
      <c r="C1067" s="60" t="s">
        <v>3814</v>
      </c>
      <c r="D1067" s="40">
        <v>44512</v>
      </c>
      <c r="E1067" s="61" t="s">
        <v>5801</v>
      </c>
      <c r="F1067" s="62" t="s">
        <v>5801</v>
      </c>
      <c r="G1067" s="63" t="s">
        <v>615</v>
      </c>
      <c r="H1067" s="64" t="s">
        <v>401</v>
      </c>
      <c r="I1067" s="64" t="s">
        <v>2713</v>
      </c>
      <c r="J1067" s="63" t="s">
        <v>393</v>
      </c>
      <c r="K1067" s="64" t="s">
        <v>4988</v>
      </c>
      <c r="L1067" s="63" t="s">
        <v>157</v>
      </c>
      <c r="M1067" s="63" t="s">
        <v>5781</v>
      </c>
      <c r="N1067" s="65">
        <v>45443</v>
      </c>
    </row>
    <row r="1068" spans="1:20" customFormat="1" ht="14.45" customHeight="1" x14ac:dyDescent="0.2">
      <c r="A1068" s="59" t="s">
        <v>5355</v>
      </c>
      <c r="B1068" s="60" t="s">
        <v>3712</v>
      </c>
      <c r="C1068" s="60" t="s">
        <v>3815</v>
      </c>
      <c r="D1068" s="40">
        <v>44512</v>
      </c>
      <c r="E1068" s="61" t="s">
        <v>5796</v>
      </c>
      <c r="F1068" s="62" t="s">
        <v>5796</v>
      </c>
      <c r="G1068" s="63" t="s">
        <v>615</v>
      </c>
      <c r="H1068" s="64" t="s">
        <v>2717</v>
      </c>
      <c r="I1068" s="64" t="s">
        <v>2713</v>
      </c>
      <c r="J1068" s="63" t="s">
        <v>539</v>
      </c>
      <c r="K1068" s="64" t="s">
        <v>4540</v>
      </c>
      <c r="L1068" s="63" t="s">
        <v>2558</v>
      </c>
      <c r="M1068" s="63" t="s">
        <v>5781</v>
      </c>
      <c r="N1068" s="65">
        <v>45443</v>
      </c>
    </row>
    <row r="1069" spans="1:20" customFormat="1" ht="14.45" customHeight="1" x14ac:dyDescent="0.2">
      <c r="A1069" s="59" t="s">
        <v>5356</v>
      </c>
      <c r="B1069" s="60" t="s">
        <v>3816</v>
      </c>
      <c r="C1069" s="60" t="s">
        <v>3817</v>
      </c>
      <c r="D1069" s="40">
        <v>44516</v>
      </c>
      <c r="E1069" s="61" t="s">
        <v>5793</v>
      </c>
      <c r="F1069" s="62" t="s">
        <v>5793</v>
      </c>
      <c r="G1069" s="63" t="s">
        <v>615</v>
      </c>
      <c r="H1069" s="64" t="s">
        <v>2716</v>
      </c>
      <c r="I1069" s="64" t="s">
        <v>2713</v>
      </c>
      <c r="J1069" s="63" t="s">
        <v>532</v>
      </c>
      <c r="K1069" s="64" t="s">
        <v>4212</v>
      </c>
      <c r="L1069" s="63" t="s">
        <v>87</v>
      </c>
      <c r="M1069" s="63" t="s">
        <v>5781</v>
      </c>
      <c r="N1069" s="65">
        <v>45443</v>
      </c>
    </row>
    <row r="1070" spans="1:20" customFormat="1" ht="14.45" customHeight="1" x14ac:dyDescent="0.2">
      <c r="A1070" s="59" t="s">
        <v>3823</v>
      </c>
      <c r="B1070" s="42" t="s">
        <v>3795</v>
      </c>
      <c r="C1070" s="42" t="s">
        <v>3830</v>
      </c>
      <c r="D1070" s="40">
        <v>44537</v>
      </c>
      <c r="E1070" s="41">
        <v>48.7</v>
      </c>
      <c r="F1070" s="46">
        <v>48.7</v>
      </c>
      <c r="G1070" s="44" t="s">
        <v>615</v>
      </c>
      <c r="H1070" s="43" t="s">
        <v>2716</v>
      </c>
      <c r="I1070" s="43" t="s">
        <v>2713</v>
      </c>
      <c r="J1070" s="44" t="s">
        <v>532</v>
      </c>
      <c r="K1070" s="48" t="s">
        <v>3831</v>
      </c>
      <c r="L1070" s="52" t="s">
        <v>87</v>
      </c>
      <c r="M1070" s="56">
        <v>0</v>
      </c>
      <c r="N1070" s="45">
        <v>44651</v>
      </c>
      <c r="O1070" s="4"/>
      <c r="P1070" s="4"/>
      <c r="Q1070" s="4"/>
      <c r="R1070" s="4"/>
      <c r="S1070" s="4"/>
      <c r="T1070" s="4"/>
    </row>
    <row r="1071" spans="1:20" customFormat="1" ht="14.45" customHeight="1" x14ac:dyDescent="0.2">
      <c r="A1071" s="59" t="s">
        <v>3824</v>
      </c>
      <c r="B1071" s="60" t="s">
        <v>3832</v>
      </c>
      <c r="C1071" s="60" t="s">
        <v>3832</v>
      </c>
      <c r="D1071" s="40">
        <v>44538</v>
      </c>
      <c r="E1071" s="61" t="s">
        <v>5812</v>
      </c>
      <c r="F1071" s="62" t="s">
        <v>5812</v>
      </c>
      <c r="G1071" s="63" t="s">
        <v>615</v>
      </c>
      <c r="H1071" s="64" t="s">
        <v>3833</v>
      </c>
      <c r="I1071" s="64" t="s">
        <v>2713</v>
      </c>
      <c r="J1071" s="63" t="s">
        <v>532</v>
      </c>
      <c r="K1071" s="64" t="s">
        <v>3834</v>
      </c>
      <c r="L1071" s="63" t="s">
        <v>87</v>
      </c>
      <c r="M1071" s="63" t="s">
        <v>5781</v>
      </c>
      <c r="N1071" s="65">
        <v>45504</v>
      </c>
    </row>
    <row r="1072" spans="1:20" customFormat="1" ht="14.45" customHeight="1" x14ac:dyDescent="0.2">
      <c r="A1072" s="59" t="s">
        <v>5358</v>
      </c>
      <c r="B1072" s="60" t="s">
        <v>3835</v>
      </c>
      <c r="C1072" s="60" t="s">
        <v>3835</v>
      </c>
      <c r="D1072" s="40">
        <v>44538</v>
      </c>
      <c r="E1072" s="61" t="s">
        <v>5812</v>
      </c>
      <c r="F1072" s="62" t="s">
        <v>5812</v>
      </c>
      <c r="G1072" s="63" t="s">
        <v>615</v>
      </c>
      <c r="H1072" s="64" t="s">
        <v>2712</v>
      </c>
      <c r="I1072" s="64" t="s">
        <v>2713</v>
      </c>
      <c r="J1072" s="63" t="s">
        <v>533</v>
      </c>
      <c r="K1072" s="64" t="s">
        <v>4964</v>
      </c>
      <c r="L1072" s="63" t="s">
        <v>403</v>
      </c>
      <c r="M1072" s="63" t="s">
        <v>5781</v>
      </c>
      <c r="N1072" s="65">
        <v>45443</v>
      </c>
    </row>
    <row r="1073" spans="1:20" customFormat="1" ht="14.45" customHeight="1" x14ac:dyDescent="0.2">
      <c r="A1073" s="59" t="s">
        <v>3825</v>
      </c>
      <c r="B1073" s="42" t="s">
        <v>1810</v>
      </c>
      <c r="C1073" s="42" t="s">
        <v>3836</v>
      </c>
      <c r="D1073" s="40">
        <v>44540</v>
      </c>
      <c r="E1073" s="41">
        <v>15</v>
      </c>
      <c r="F1073" s="46">
        <v>15</v>
      </c>
      <c r="G1073" s="44" t="s">
        <v>615</v>
      </c>
      <c r="H1073" s="43" t="s">
        <v>2716</v>
      </c>
      <c r="I1073" s="43" t="s">
        <v>2713</v>
      </c>
      <c r="J1073" s="44" t="s">
        <v>532</v>
      </c>
      <c r="K1073" s="48" t="s">
        <v>3837</v>
      </c>
      <c r="L1073" s="52" t="s">
        <v>87</v>
      </c>
      <c r="M1073" s="56">
        <v>0</v>
      </c>
      <c r="N1073" s="45">
        <v>44620</v>
      </c>
      <c r="O1073" s="4"/>
      <c r="P1073" s="4"/>
      <c r="Q1073" s="4"/>
      <c r="R1073" s="4"/>
      <c r="S1073" s="4"/>
      <c r="T1073" s="4"/>
    </row>
    <row r="1074" spans="1:20" customFormat="1" ht="14.45" customHeight="1" x14ac:dyDescent="0.2">
      <c r="A1074" s="59" t="s">
        <v>5359</v>
      </c>
      <c r="B1074" s="60" t="s">
        <v>1810</v>
      </c>
      <c r="C1074" s="60" t="s">
        <v>3838</v>
      </c>
      <c r="D1074" s="40">
        <v>44542</v>
      </c>
      <c r="E1074" s="61">
        <v>20</v>
      </c>
      <c r="F1074" s="62">
        <v>20</v>
      </c>
      <c r="G1074" s="63" t="s">
        <v>615</v>
      </c>
      <c r="H1074" s="64" t="s">
        <v>3159</v>
      </c>
      <c r="I1074" s="64" t="s">
        <v>2713</v>
      </c>
      <c r="J1074" s="63" t="s">
        <v>471</v>
      </c>
      <c r="K1074" s="64" t="s">
        <v>4541</v>
      </c>
      <c r="L1074" s="63" t="s">
        <v>157</v>
      </c>
      <c r="M1074" s="63" t="s">
        <v>5781</v>
      </c>
      <c r="N1074" s="65">
        <v>45443</v>
      </c>
    </row>
    <row r="1075" spans="1:20" customFormat="1" ht="14.45" customHeight="1" x14ac:dyDescent="0.2">
      <c r="A1075" s="59" t="s">
        <v>3826</v>
      </c>
      <c r="B1075" s="42" t="s">
        <v>3839</v>
      </c>
      <c r="C1075" s="42" t="s">
        <v>3840</v>
      </c>
      <c r="D1075" s="40">
        <v>44545</v>
      </c>
      <c r="E1075" s="41">
        <v>0.5</v>
      </c>
      <c r="F1075" s="46">
        <v>0.5</v>
      </c>
      <c r="G1075" s="44" t="s">
        <v>55</v>
      </c>
      <c r="H1075" s="43" t="s">
        <v>2796</v>
      </c>
      <c r="I1075" s="43" t="s">
        <v>2713</v>
      </c>
      <c r="J1075" s="44" t="s">
        <v>471</v>
      </c>
      <c r="K1075" s="48" t="s">
        <v>3841</v>
      </c>
      <c r="L1075" s="52" t="s">
        <v>157</v>
      </c>
      <c r="M1075" s="56">
        <v>0</v>
      </c>
      <c r="N1075" s="45">
        <v>44651</v>
      </c>
      <c r="O1075" s="4"/>
      <c r="P1075" s="4"/>
      <c r="Q1075" s="4"/>
      <c r="R1075" s="4"/>
      <c r="S1075" s="4"/>
      <c r="T1075" s="4"/>
    </row>
    <row r="1076" spans="1:20" customFormat="1" ht="14.45" customHeight="1" x14ac:dyDescent="0.2">
      <c r="A1076" s="59" t="s">
        <v>5361</v>
      </c>
      <c r="B1076" s="60" t="s">
        <v>3844</v>
      </c>
      <c r="C1076" s="60" t="s">
        <v>3845</v>
      </c>
      <c r="D1076" s="40">
        <v>44550</v>
      </c>
      <c r="E1076" s="61" t="s">
        <v>5796</v>
      </c>
      <c r="F1076" s="62" t="s">
        <v>5796</v>
      </c>
      <c r="G1076" s="63" t="s">
        <v>55</v>
      </c>
      <c r="H1076" s="64" t="s">
        <v>2740</v>
      </c>
      <c r="I1076" s="64" t="s">
        <v>2713</v>
      </c>
      <c r="J1076" s="63" t="s">
        <v>530</v>
      </c>
      <c r="K1076" s="64" t="s">
        <v>4990</v>
      </c>
      <c r="L1076" s="63" t="s">
        <v>157</v>
      </c>
      <c r="M1076" s="63" t="s">
        <v>5781</v>
      </c>
      <c r="N1076" s="65">
        <v>45504</v>
      </c>
    </row>
    <row r="1077" spans="1:20" customFormat="1" ht="14.45" customHeight="1" x14ac:dyDescent="0.2">
      <c r="A1077" s="59" t="s">
        <v>3827</v>
      </c>
      <c r="B1077" s="42" t="s">
        <v>3846</v>
      </c>
      <c r="C1077" s="42" t="s">
        <v>3847</v>
      </c>
      <c r="D1077" s="40">
        <v>44551</v>
      </c>
      <c r="E1077" s="41">
        <v>13</v>
      </c>
      <c r="F1077" s="46">
        <v>13</v>
      </c>
      <c r="G1077" s="44" t="s">
        <v>615</v>
      </c>
      <c r="H1077" s="43" t="s">
        <v>2806</v>
      </c>
      <c r="I1077" s="43" t="s">
        <v>2713</v>
      </c>
      <c r="J1077" s="44" t="s">
        <v>539</v>
      </c>
      <c r="K1077" s="48" t="s">
        <v>3848</v>
      </c>
      <c r="L1077" s="52" t="s">
        <v>673</v>
      </c>
      <c r="M1077" s="56">
        <v>0</v>
      </c>
      <c r="N1077" s="45">
        <v>44620</v>
      </c>
      <c r="O1077" s="4"/>
      <c r="P1077" s="4"/>
      <c r="Q1077" s="4"/>
      <c r="R1077" s="4"/>
      <c r="S1077" s="4"/>
      <c r="T1077" s="4"/>
    </row>
    <row r="1078" spans="1:20" customFormat="1" ht="14.45" customHeight="1" x14ac:dyDescent="0.2">
      <c r="A1078" s="59" t="s">
        <v>3828</v>
      </c>
      <c r="B1078" s="42" t="s">
        <v>3795</v>
      </c>
      <c r="C1078" s="42" t="s">
        <v>3849</v>
      </c>
      <c r="D1078" s="40">
        <v>44551</v>
      </c>
      <c r="E1078" s="41">
        <v>12.9</v>
      </c>
      <c r="F1078" s="46">
        <v>12.9</v>
      </c>
      <c r="G1078" s="44" t="s">
        <v>615</v>
      </c>
      <c r="H1078" s="43" t="s">
        <v>2806</v>
      </c>
      <c r="I1078" s="43" t="s">
        <v>2713</v>
      </c>
      <c r="J1078" s="44" t="s">
        <v>539</v>
      </c>
      <c r="K1078" s="48" t="s">
        <v>3850</v>
      </c>
      <c r="L1078" s="52" t="s">
        <v>673</v>
      </c>
      <c r="M1078" s="56">
        <v>0</v>
      </c>
      <c r="N1078" s="45">
        <v>44592</v>
      </c>
      <c r="O1078" s="4"/>
      <c r="P1078" s="4"/>
      <c r="Q1078" s="4"/>
      <c r="R1078" s="4"/>
      <c r="S1078" s="4"/>
      <c r="T1078" s="4"/>
    </row>
    <row r="1079" spans="1:20" customFormat="1" ht="14.45" customHeight="1" x14ac:dyDescent="0.2">
      <c r="A1079" s="59" t="s">
        <v>5362</v>
      </c>
      <c r="B1079" s="60" t="s">
        <v>4214</v>
      </c>
      <c r="C1079" s="60" t="s">
        <v>3851</v>
      </c>
      <c r="D1079" s="40">
        <v>44553</v>
      </c>
      <c r="E1079" s="61">
        <v>100</v>
      </c>
      <c r="F1079" s="62">
        <v>100</v>
      </c>
      <c r="G1079" s="63" t="s">
        <v>615</v>
      </c>
      <c r="H1079" s="64" t="s">
        <v>2717</v>
      </c>
      <c r="I1079" s="64" t="s">
        <v>2713</v>
      </c>
      <c r="J1079" s="63" t="s">
        <v>539</v>
      </c>
      <c r="K1079" s="64" t="s">
        <v>4215</v>
      </c>
      <c r="L1079" s="63" t="s">
        <v>2558</v>
      </c>
      <c r="M1079" s="63">
        <v>0</v>
      </c>
      <c r="N1079" s="65">
        <v>45291</v>
      </c>
    </row>
    <row r="1080" spans="1:20" customFormat="1" ht="14.45" customHeight="1" x14ac:dyDescent="0.2">
      <c r="A1080" s="59" t="s">
        <v>5363</v>
      </c>
      <c r="B1080" s="60" t="s">
        <v>4216</v>
      </c>
      <c r="C1080" s="60" t="s">
        <v>3852</v>
      </c>
      <c r="D1080" s="40">
        <v>44553</v>
      </c>
      <c r="E1080" s="61">
        <v>100</v>
      </c>
      <c r="F1080" s="62">
        <v>100</v>
      </c>
      <c r="G1080" s="63" t="s">
        <v>615</v>
      </c>
      <c r="H1080" s="64" t="s">
        <v>2716</v>
      </c>
      <c r="I1080" s="64" t="s">
        <v>2713</v>
      </c>
      <c r="J1080" s="63" t="s">
        <v>532</v>
      </c>
      <c r="K1080" s="64" t="s">
        <v>4542</v>
      </c>
      <c r="L1080" s="63" t="s">
        <v>87</v>
      </c>
      <c r="M1080" s="63">
        <v>0</v>
      </c>
      <c r="N1080" s="65">
        <v>45322</v>
      </c>
    </row>
    <row r="1081" spans="1:20" customFormat="1" ht="14.45" customHeight="1" x14ac:dyDescent="0.2">
      <c r="A1081" s="59" t="s">
        <v>5364</v>
      </c>
      <c r="B1081" s="60" t="s">
        <v>4217</v>
      </c>
      <c r="C1081" s="60" t="s">
        <v>3853</v>
      </c>
      <c r="D1081" s="40">
        <v>44553</v>
      </c>
      <c r="E1081" s="61" t="s">
        <v>5793</v>
      </c>
      <c r="F1081" s="62" t="s">
        <v>5793</v>
      </c>
      <c r="G1081" s="63" t="s">
        <v>615</v>
      </c>
      <c r="H1081" s="64" t="s">
        <v>2716</v>
      </c>
      <c r="I1081" s="64" t="s">
        <v>2713</v>
      </c>
      <c r="J1081" s="63" t="s">
        <v>532</v>
      </c>
      <c r="K1081" s="64" t="s">
        <v>4218</v>
      </c>
      <c r="L1081" s="63" t="s">
        <v>87</v>
      </c>
      <c r="M1081" s="63" t="s">
        <v>5781</v>
      </c>
      <c r="N1081" s="65">
        <v>45443</v>
      </c>
    </row>
    <row r="1082" spans="1:20" customFormat="1" ht="14.45" customHeight="1" x14ac:dyDescent="0.2">
      <c r="A1082" s="59" t="s">
        <v>5365</v>
      </c>
      <c r="B1082" s="60" t="s">
        <v>4219</v>
      </c>
      <c r="C1082" s="60" t="s">
        <v>4220</v>
      </c>
      <c r="D1082" s="40">
        <v>44553</v>
      </c>
      <c r="E1082" s="61" t="s">
        <v>5794</v>
      </c>
      <c r="F1082" s="62" t="s">
        <v>5794</v>
      </c>
      <c r="G1082" s="63" t="s">
        <v>615</v>
      </c>
      <c r="H1082" s="64" t="s">
        <v>2716</v>
      </c>
      <c r="I1082" s="64" t="s">
        <v>2713</v>
      </c>
      <c r="J1082" s="63" t="s">
        <v>532</v>
      </c>
      <c r="K1082" s="64" t="s">
        <v>4543</v>
      </c>
      <c r="L1082" s="63" t="s">
        <v>87</v>
      </c>
      <c r="M1082" s="63" t="s">
        <v>5781</v>
      </c>
      <c r="N1082" s="65">
        <v>45504</v>
      </c>
    </row>
    <row r="1083" spans="1:20" customFormat="1" ht="14.45" customHeight="1" x14ac:dyDescent="0.2">
      <c r="A1083" s="59" t="s">
        <v>5366</v>
      </c>
      <c r="B1083" s="60" t="s">
        <v>3640</v>
      </c>
      <c r="C1083" s="60" t="s">
        <v>3641</v>
      </c>
      <c r="D1083" s="40">
        <v>44568</v>
      </c>
      <c r="E1083" s="61" t="s">
        <v>5793</v>
      </c>
      <c r="F1083" s="62" t="s">
        <v>5793</v>
      </c>
      <c r="G1083" s="63" t="s">
        <v>615</v>
      </c>
      <c r="H1083" s="64" t="s">
        <v>4221</v>
      </c>
      <c r="I1083" s="64" t="s">
        <v>2713</v>
      </c>
      <c r="J1083" s="63" t="s">
        <v>532</v>
      </c>
      <c r="K1083" s="64" t="s">
        <v>3935</v>
      </c>
      <c r="L1083" s="63" t="s">
        <v>87</v>
      </c>
      <c r="M1083" s="63" t="s">
        <v>5781</v>
      </c>
      <c r="N1083" s="65">
        <v>45443</v>
      </c>
    </row>
    <row r="1084" spans="1:20" customFormat="1" ht="14.45" customHeight="1" x14ac:dyDescent="0.2">
      <c r="A1084" s="59" t="s">
        <v>3856</v>
      </c>
      <c r="B1084" s="42" t="s">
        <v>3858</v>
      </c>
      <c r="C1084" s="42" t="s">
        <v>3859</v>
      </c>
      <c r="D1084" s="40">
        <v>44581</v>
      </c>
      <c r="E1084" s="41">
        <v>212</v>
      </c>
      <c r="F1084" s="46">
        <v>212</v>
      </c>
      <c r="G1084" s="44" t="s">
        <v>256</v>
      </c>
      <c r="H1084" s="43" t="s">
        <v>3860</v>
      </c>
      <c r="I1084" s="43" t="s">
        <v>2713</v>
      </c>
      <c r="J1084" s="44" t="s">
        <v>531</v>
      </c>
      <c r="K1084" s="48" t="s">
        <v>3896</v>
      </c>
      <c r="L1084" s="52" t="s">
        <v>34</v>
      </c>
      <c r="M1084" s="56">
        <v>0</v>
      </c>
      <c r="N1084" s="45">
        <v>44651</v>
      </c>
      <c r="O1084" s="4"/>
      <c r="P1084" s="4"/>
      <c r="Q1084" s="4"/>
      <c r="R1084" s="4"/>
      <c r="S1084" s="4"/>
      <c r="T1084" s="4"/>
    </row>
    <row r="1085" spans="1:20" customFormat="1" ht="14.45" customHeight="1" x14ac:dyDescent="0.2">
      <c r="A1085" s="59" t="s">
        <v>5367</v>
      </c>
      <c r="B1085" s="60" t="s">
        <v>3861</v>
      </c>
      <c r="C1085" s="60" t="s">
        <v>4222</v>
      </c>
      <c r="D1085" s="40">
        <v>44581</v>
      </c>
      <c r="E1085" s="61" t="s">
        <v>5827</v>
      </c>
      <c r="F1085" s="62" t="s">
        <v>5827</v>
      </c>
      <c r="G1085" s="63" t="s">
        <v>3505</v>
      </c>
      <c r="H1085" s="64" t="s">
        <v>3862</v>
      </c>
      <c r="I1085" s="64" t="s">
        <v>2749</v>
      </c>
      <c r="J1085" s="63" t="s">
        <v>531</v>
      </c>
      <c r="K1085" s="64" t="s">
        <v>4496</v>
      </c>
      <c r="L1085" s="63" t="s">
        <v>34</v>
      </c>
      <c r="M1085" s="63" t="s">
        <v>5781</v>
      </c>
      <c r="N1085" s="65">
        <v>45443</v>
      </c>
    </row>
    <row r="1086" spans="1:20" customFormat="1" ht="14.45" customHeight="1" x14ac:dyDescent="0.2">
      <c r="A1086" s="59" t="s">
        <v>5368</v>
      </c>
      <c r="B1086" s="60" t="s">
        <v>3861</v>
      </c>
      <c r="C1086" s="60" t="s">
        <v>4223</v>
      </c>
      <c r="D1086" s="40">
        <v>44581</v>
      </c>
      <c r="E1086" s="61" t="s">
        <v>5827</v>
      </c>
      <c r="F1086" s="62" t="s">
        <v>5827</v>
      </c>
      <c r="G1086" s="63" t="s">
        <v>3505</v>
      </c>
      <c r="H1086" s="64" t="s">
        <v>3862</v>
      </c>
      <c r="I1086" s="64" t="s">
        <v>2749</v>
      </c>
      <c r="J1086" s="63" t="s">
        <v>531</v>
      </c>
      <c r="K1086" s="64" t="s">
        <v>4496</v>
      </c>
      <c r="L1086" s="63" t="s">
        <v>34</v>
      </c>
      <c r="M1086" s="63" t="s">
        <v>5781</v>
      </c>
      <c r="N1086" s="65">
        <v>45443</v>
      </c>
    </row>
    <row r="1087" spans="1:20" customFormat="1" ht="14.45" customHeight="1" x14ac:dyDescent="0.2">
      <c r="A1087" s="59" t="s">
        <v>3857</v>
      </c>
      <c r="B1087" s="42" t="s">
        <v>3861</v>
      </c>
      <c r="C1087" s="42" t="s">
        <v>3864</v>
      </c>
      <c r="D1087" s="40">
        <v>44581</v>
      </c>
      <c r="E1087" s="41">
        <v>170</v>
      </c>
      <c r="F1087" s="46">
        <v>170</v>
      </c>
      <c r="G1087" s="44" t="s">
        <v>615</v>
      </c>
      <c r="H1087" s="43" t="s">
        <v>3862</v>
      </c>
      <c r="I1087" s="43" t="s">
        <v>2749</v>
      </c>
      <c r="J1087" s="44" t="s">
        <v>531</v>
      </c>
      <c r="K1087" s="48" t="s">
        <v>3863</v>
      </c>
      <c r="L1087" s="52" t="s">
        <v>34</v>
      </c>
      <c r="M1087" s="56">
        <v>0</v>
      </c>
      <c r="N1087" s="45">
        <v>44681</v>
      </c>
      <c r="O1087" s="4"/>
      <c r="P1087" s="4"/>
      <c r="Q1087" s="4"/>
      <c r="R1087" s="4"/>
      <c r="S1087" s="4"/>
      <c r="T1087" s="4"/>
    </row>
    <row r="1088" spans="1:20" customFormat="1" ht="14.45" customHeight="1" x14ac:dyDescent="0.2">
      <c r="A1088" s="59" t="s">
        <v>5369</v>
      </c>
      <c r="B1088" s="60" t="s">
        <v>3865</v>
      </c>
      <c r="C1088" s="60" t="s">
        <v>3866</v>
      </c>
      <c r="D1088" s="40">
        <v>44587</v>
      </c>
      <c r="E1088" s="61" t="s">
        <v>5799</v>
      </c>
      <c r="F1088" s="62" t="s">
        <v>5799</v>
      </c>
      <c r="G1088" s="63" t="s">
        <v>55</v>
      </c>
      <c r="H1088" s="64" t="s">
        <v>2732</v>
      </c>
      <c r="I1088" s="64" t="s">
        <v>2713</v>
      </c>
      <c r="J1088" s="63" t="s">
        <v>393</v>
      </c>
      <c r="K1088" s="64" t="s">
        <v>4224</v>
      </c>
      <c r="L1088" s="63" t="s">
        <v>34</v>
      </c>
      <c r="M1088" s="63" t="s">
        <v>5781</v>
      </c>
      <c r="N1088" s="65">
        <v>45443</v>
      </c>
    </row>
    <row r="1089" spans="1:20" customFormat="1" ht="14.45" customHeight="1" x14ac:dyDescent="0.2">
      <c r="A1089" s="59" t="s">
        <v>3875</v>
      </c>
      <c r="B1089" s="42" t="s">
        <v>3881</v>
      </c>
      <c r="C1089" s="42" t="s">
        <v>3882</v>
      </c>
      <c r="D1089" s="40">
        <v>44609</v>
      </c>
      <c r="E1089" s="41">
        <v>1600</v>
      </c>
      <c r="F1089" s="46">
        <v>1600</v>
      </c>
      <c r="G1089" s="44" t="s">
        <v>124</v>
      </c>
      <c r="H1089" s="43" t="s">
        <v>2715</v>
      </c>
      <c r="I1089" s="43" t="s">
        <v>2713</v>
      </c>
      <c r="J1089" s="44" t="s">
        <v>533</v>
      </c>
      <c r="K1089" s="48" t="s">
        <v>3883</v>
      </c>
      <c r="L1089" s="52" t="s">
        <v>403</v>
      </c>
      <c r="M1089" s="56">
        <v>0</v>
      </c>
      <c r="N1089" s="45">
        <v>44681</v>
      </c>
      <c r="O1089" s="4"/>
      <c r="P1089" s="4"/>
      <c r="Q1089" s="4"/>
      <c r="R1089" s="4"/>
      <c r="S1089" s="4"/>
      <c r="T1089" s="4"/>
    </row>
    <row r="1090" spans="1:20" customFormat="1" ht="14.45" customHeight="1" x14ac:dyDescent="0.2">
      <c r="A1090" s="59" t="s">
        <v>5031</v>
      </c>
      <c r="B1090" s="60" t="s">
        <v>5032</v>
      </c>
      <c r="C1090" s="60" t="s">
        <v>5033</v>
      </c>
      <c r="D1090" s="40">
        <v>44609</v>
      </c>
      <c r="E1090" s="61">
        <v>117.8</v>
      </c>
      <c r="F1090" s="62">
        <v>117.8</v>
      </c>
      <c r="G1090" s="63" t="s">
        <v>55</v>
      </c>
      <c r="H1090" s="64" t="s">
        <v>2753</v>
      </c>
      <c r="I1090" s="64" t="s">
        <v>2713</v>
      </c>
      <c r="J1090" s="63"/>
      <c r="K1090" s="64" t="s">
        <v>5041</v>
      </c>
      <c r="L1090" s="63" t="s">
        <v>34</v>
      </c>
      <c r="M1090" s="63">
        <v>0</v>
      </c>
      <c r="N1090" s="65">
        <v>45169</v>
      </c>
    </row>
    <row r="1091" spans="1:20" customFormat="1" ht="14.45" customHeight="1" x14ac:dyDescent="0.2">
      <c r="A1091" s="59" t="s">
        <v>3876</v>
      </c>
      <c r="B1091" s="42" t="s">
        <v>3881</v>
      </c>
      <c r="C1091" s="42" t="s">
        <v>3884</v>
      </c>
      <c r="D1091" s="40">
        <v>44609</v>
      </c>
      <c r="E1091" s="41">
        <v>1600</v>
      </c>
      <c r="F1091" s="46">
        <v>1600</v>
      </c>
      <c r="G1091" s="44" t="s">
        <v>124</v>
      </c>
      <c r="H1091" s="43" t="s">
        <v>2714</v>
      </c>
      <c r="I1091" s="43" t="s">
        <v>2713</v>
      </c>
      <c r="J1091" s="44" t="s">
        <v>533</v>
      </c>
      <c r="K1091" s="48" t="s">
        <v>3885</v>
      </c>
      <c r="L1091" s="52" t="s">
        <v>403</v>
      </c>
      <c r="M1091" s="56">
        <v>0</v>
      </c>
      <c r="N1091" s="45">
        <v>44681</v>
      </c>
      <c r="O1091" s="3"/>
      <c r="P1091" s="3"/>
      <c r="Q1091" s="3"/>
      <c r="R1091" s="3"/>
      <c r="S1091" s="3"/>
      <c r="T1091" s="3"/>
    </row>
    <row r="1092" spans="1:20" customFormat="1" ht="14.45" customHeight="1" x14ac:dyDescent="0.2">
      <c r="A1092" s="59" t="s">
        <v>6068</v>
      </c>
      <c r="B1092" s="60" t="s">
        <v>6069</v>
      </c>
      <c r="C1092" s="60" t="s">
        <v>6070</v>
      </c>
      <c r="D1092" s="40">
        <v>44613</v>
      </c>
      <c r="E1092" s="61">
        <v>250</v>
      </c>
      <c r="F1092" s="62">
        <v>250</v>
      </c>
      <c r="G1092" s="63" t="s">
        <v>615</v>
      </c>
      <c r="H1092" s="64" t="s">
        <v>2746</v>
      </c>
      <c r="I1092" s="64" t="s">
        <v>2713</v>
      </c>
      <c r="J1092" s="63" t="s">
        <v>532</v>
      </c>
      <c r="K1092" s="64" t="s">
        <v>6071</v>
      </c>
      <c r="L1092" s="63" t="s">
        <v>87</v>
      </c>
      <c r="M1092" s="63" t="s">
        <v>5781</v>
      </c>
      <c r="N1092" s="65">
        <v>45382</v>
      </c>
    </row>
    <row r="1093" spans="1:20" customFormat="1" ht="14.45" customHeight="1" x14ac:dyDescent="0.2">
      <c r="A1093" s="59" t="s">
        <v>5371</v>
      </c>
      <c r="B1093" s="60" t="s">
        <v>3865</v>
      </c>
      <c r="C1093" s="60" t="s">
        <v>3886</v>
      </c>
      <c r="D1093" s="40">
        <v>44615</v>
      </c>
      <c r="E1093" s="61" t="s">
        <v>5810</v>
      </c>
      <c r="F1093" s="62" t="s">
        <v>5810</v>
      </c>
      <c r="G1093" s="63" t="s">
        <v>55</v>
      </c>
      <c r="H1093" s="64" t="s">
        <v>2731</v>
      </c>
      <c r="I1093" s="64" t="s">
        <v>2713</v>
      </c>
      <c r="J1093" s="63" t="s">
        <v>393</v>
      </c>
      <c r="K1093" s="64" t="s">
        <v>2859</v>
      </c>
      <c r="L1093" s="63" t="s">
        <v>34</v>
      </c>
      <c r="M1093" s="63" t="s">
        <v>5781</v>
      </c>
      <c r="N1093" s="65">
        <v>45443</v>
      </c>
    </row>
    <row r="1094" spans="1:20" customFormat="1" ht="14.45" customHeight="1" x14ac:dyDescent="0.2">
      <c r="A1094" s="59" t="s">
        <v>5372</v>
      </c>
      <c r="B1094" s="60" t="s">
        <v>3388</v>
      </c>
      <c r="C1094" s="60" t="s">
        <v>3887</v>
      </c>
      <c r="D1094" s="40">
        <v>44616</v>
      </c>
      <c r="E1094" s="61" t="s">
        <v>5828</v>
      </c>
      <c r="F1094" s="62" t="s">
        <v>5828</v>
      </c>
      <c r="G1094" s="63" t="s">
        <v>124</v>
      </c>
      <c r="H1094" s="64" t="s">
        <v>2729</v>
      </c>
      <c r="I1094" s="64" t="s">
        <v>2713</v>
      </c>
      <c r="J1094" s="63" t="s">
        <v>393</v>
      </c>
      <c r="K1094" s="64" t="s">
        <v>5120</v>
      </c>
      <c r="L1094" s="63" t="s">
        <v>157</v>
      </c>
      <c r="M1094" s="63" t="s">
        <v>5781</v>
      </c>
      <c r="N1094" s="65">
        <v>45443</v>
      </c>
    </row>
    <row r="1095" spans="1:20" customFormat="1" ht="14.45" customHeight="1" x14ac:dyDescent="0.2">
      <c r="A1095" s="59" t="s">
        <v>3877</v>
      </c>
      <c r="B1095" s="60" t="s">
        <v>1264</v>
      </c>
      <c r="C1095" s="60" t="s">
        <v>3888</v>
      </c>
      <c r="D1095" s="40">
        <v>44616</v>
      </c>
      <c r="E1095" s="61">
        <v>20</v>
      </c>
      <c r="F1095" s="62">
        <v>20</v>
      </c>
      <c r="G1095" s="63" t="s">
        <v>55</v>
      </c>
      <c r="H1095" s="64" t="s">
        <v>2800</v>
      </c>
      <c r="I1095" s="64" t="s">
        <v>2713</v>
      </c>
      <c r="J1095" s="63"/>
      <c r="K1095" s="64" t="s">
        <v>4226</v>
      </c>
      <c r="L1095" s="63" t="s">
        <v>157</v>
      </c>
      <c r="M1095" s="63">
        <v>0</v>
      </c>
      <c r="N1095" s="65">
        <v>45169</v>
      </c>
    </row>
    <row r="1096" spans="1:20" customFormat="1" ht="14.45" customHeight="1" x14ac:dyDescent="0.2">
      <c r="A1096" s="59" t="s">
        <v>5373</v>
      </c>
      <c r="B1096" s="60" t="s">
        <v>3889</v>
      </c>
      <c r="C1096" s="60" t="s">
        <v>3890</v>
      </c>
      <c r="D1096" s="40">
        <v>44617</v>
      </c>
      <c r="E1096" s="61" t="s">
        <v>5960</v>
      </c>
      <c r="F1096" s="62" t="s">
        <v>5960</v>
      </c>
      <c r="G1096" s="63" t="s">
        <v>124</v>
      </c>
      <c r="H1096" s="64" t="s">
        <v>2715</v>
      </c>
      <c r="I1096" s="64" t="s">
        <v>2713</v>
      </c>
      <c r="J1096" s="63" t="s">
        <v>533</v>
      </c>
      <c r="K1096" s="64" t="s">
        <v>4227</v>
      </c>
      <c r="L1096" s="63" t="s">
        <v>403</v>
      </c>
      <c r="M1096" s="63" t="s">
        <v>5781</v>
      </c>
      <c r="N1096" s="65">
        <v>45504</v>
      </c>
    </row>
    <row r="1097" spans="1:20" customFormat="1" ht="14.45" customHeight="1" x14ac:dyDescent="0.2">
      <c r="A1097" s="59" t="s">
        <v>5374</v>
      </c>
      <c r="B1097" s="60" t="s">
        <v>3889</v>
      </c>
      <c r="C1097" s="60" t="s">
        <v>3891</v>
      </c>
      <c r="D1097" s="40">
        <v>44617</v>
      </c>
      <c r="E1097" s="61" t="s">
        <v>5960</v>
      </c>
      <c r="F1097" s="62" t="s">
        <v>5960</v>
      </c>
      <c r="G1097" s="63" t="s">
        <v>124</v>
      </c>
      <c r="H1097" s="64" t="s">
        <v>2714</v>
      </c>
      <c r="I1097" s="64" t="s">
        <v>2713</v>
      </c>
      <c r="J1097" s="63" t="s">
        <v>533</v>
      </c>
      <c r="K1097" s="64" t="s">
        <v>3911</v>
      </c>
      <c r="L1097" s="63" t="s">
        <v>403</v>
      </c>
      <c r="M1097" s="63" t="s">
        <v>5781</v>
      </c>
      <c r="N1097" s="65">
        <v>45504</v>
      </c>
    </row>
    <row r="1098" spans="1:20" customFormat="1" ht="14.45" customHeight="1" x14ac:dyDescent="0.2">
      <c r="A1098" s="59" t="s">
        <v>3878</v>
      </c>
      <c r="B1098" s="42" t="s">
        <v>3889</v>
      </c>
      <c r="C1098" s="42" t="s">
        <v>3892</v>
      </c>
      <c r="D1098" s="40">
        <v>44617</v>
      </c>
      <c r="E1098" s="41">
        <v>2100</v>
      </c>
      <c r="F1098" s="46">
        <v>2100</v>
      </c>
      <c r="G1098" s="44" t="s">
        <v>124</v>
      </c>
      <c r="H1098" s="43" t="s">
        <v>2716</v>
      </c>
      <c r="I1098" s="43" t="s">
        <v>2713</v>
      </c>
      <c r="J1098" s="44" t="s">
        <v>532</v>
      </c>
      <c r="K1098" s="48" t="s">
        <v>538</v>
      </c>
      <c r="L1098" s="52" t="s">
        <v>87</v>
      </c>
      <c r="M1098" s="56">
        <v>0</v>
      </c>
      <c r="N1098" s="45">
        <v>44742</v>
      </c>
      <c r="O1098" s="3"/>
      <c r="P1098" s="3"/>
      <c r="Q1098" s="3"/>
      <c r="R1098" s="3"/>
      <c r="S1098" s="3"/>
      <c r="T1098" s="3"/>
    </row>
    <row r="1099" spans="1:20" customFormat="1" ht="14.45" customHeight="1" x14ac:dyDescent="0.2">
      <c r="A1099" s="59" t="s">
        <v>5375</v>
      </c>
      <c r="B1099" s="60" t="s">
        <v>3889</v>
      </c>
      <c r="C1099" s="60" t="s">
        <v>3893</v>
      </c>
      <c r="D1099" s="40">
        <v>44617</v>
      </c>
      <c r="E1099" s="61" t="s">
        <v>5960</v>
      </c>
      <c r="F1099" s="62" t="s">
        <v>5960</v>
      </c>
      <c r="G1099" s="63" t="s">
        <v>124</v>
      </c>
      <c r="H1099" s="64" t="s">
        <v>2715</v>
      </c>
      <c r="I1099" s="64" t="s">
        <v>2713</v>
      </c>
      <c r="J1099" s="63" t="s">
        <v>533</v>
      </c>
      <c r="K1099" s="64" t="s">
        <v>5043</v>
      </c>
      <c r="L1099" s="63" t="s">
        <v>403</v>
      </c>
      <c r="M1099" s="63" t="s">
        <v>5781</v>
      </c>
      <c r="N1099" s="65">
        <v>45504</v>
      </c>
    </row>
    <row r="1100" spans="1:20" customFormat="1" ht="14.45" customHeight="1" x14ac:dyDescent="0.2">
      <c r="A1100" s="59" t="s">
        <v>5376</v>
      </c>
      <c r="B1100" s="60" t="s">
        <v>3889</v>
      </c>
      <c r="C1100" s="60" t="s">
        <v>3894</v>
      </c>
      <c r="D1100" s="40">
        <v>44617</v>
      </c>
      <c r="E1100" s="61" t="s">
        <v>5960</v>
      </c>
      <c r="F1100" s="62" t="s">
        <v>5960</v>
      </c>
      <c r="G1100" s="63" t="s">
        <v>124</v>
      </c>
      <c r="H1100" s="64" t="s">
        <v>2714</v>
      </c>
      <c r="I1100" s="64" t="s">
        <v>2713</v>
      </c>
      <c r="J1100" s="63" t="s">
        <v>533</v>
      </c>
      <c r="K1100" s="64" t="s">
        <v>4228</v>
      </c>
      <c r="L1100" s="63" t="s">
        <v>403</v>
      </c>
      <c r="M1100" s="63" t="s">
        <v>5781</v>
      </c>
      <c r="N1100" s="65">
        <v>45504</v>
      </c>
    </row>
    <row r="1101" spans="1:20" customFormat="1" ht="14.45" customHeight="1" x14ac:dyDescent="0.2">
      <c r="A1101" s="59" t="s">
        <v>5377</v>
      </c>
      <c r="B1101" s="60" t="s">
        <v>3903</v>
      </c>
      <c r="C1101" s="60" t="s">
        <v>3904</v>
      </c>
      <c r="D1101" s="40">
        <v>44623</v>
      </c>
      <c r="E1101" s="61" t="s">
        <v>5804</v>
      </c>
      <c r="F1101" s="62" t="s">
        <v>5804</v>
      </c>
      <c r="G1101" s="63" t="s">
        <v>615</v>
      </c>
      <c r="H1101" s="64" t="s">
        <v>2719</v>
      </c>
      <c r="I1101" s="64" t="s">
        <v>2713</v>
      </c>
      <c r="J1101" s="63" t="s">
        <v>533</v>
      </c>
      <c r="K1101" s="64" t="s">
        <v>4716</v>
      </c>
      <c r="L1101" s="63" t="s">
        <v>41</v>
      </c>
      <c r="M1101" s="63" t="s">
        <v>5781</v>
      </c>
      <c r="N1101" s="65">
        <v>45443</v>
      </c>
    </row>
    <row r="1102" spans="1:20" customFormat="1" ht="14.45" customHeight="1" x14ac:dyDescent="0.2">
      <c r="A1102" s="59" t="s">
        <v>5378</v>
      </c>
      <c r="B1102" s="60" t="s">
        <v>3905</v>
      </c>
      <c r="C1102" s="60" t="s">
        <v>3906</v>
      </c>
      <c r="D1102" s="40">
        <v>44624</v>
      </c>
      <c r="E1102" s="61" t="s">
        <v>5806</v>
      </c>
      <c r="F1102" s="62" t="s">
        <v>5806</v>
      </c>
      <c r="G1102" s="63" t="s">
        <v>55</v>
      </c>
      <c r="H1102" s="64" t="s">
        <v>3300</v>
      </c>
      <c r="I1102" s="64" t="s">
        <v>2749</v>
      </c>
      <c r="J1102" s="63" t="s">
        <v>393</v>
      </c>
      <c r="K1102" s="64" t="s">
        <v>4229</v>
      </c>
      <c r="L1102" s="63" t="s">
        <v>34</v>
      </c>
      <c r="M1102" s="63" t="s">
        <v>5781</v>
      </c>
      <c r="N1102" s="65">
        <v>45443</v>
      </c>
    </row>
    <row r="1103" spans="1:20" customFormat="1" ht="14.45" customHeight="1" x14ac:dyDescent="0.2">
      <c r="A1103" s="59" t="s">
        <v>5379</v>
      </c>
      <c r="B1103" s="60" t="s">
        <v>3907</v>
      </c>
      <c r="C1103" s="60" t="s">
        <v>3908</v>
      </c>
      <c r="D1103" s="40">
        <v>44628</v>
      </c>
      <c r="E1103" s="61" t="s">
        <v>5804</v>
      </c>
      <c r="F1103" s="62" t="s">
        <v>5804</v>
      </c>
      <c r="G1103" s="63" t="s">
        <v>615</v>
      </c>
      <c r="H1103" s="64" t="s">
        <v>2714</v>
      </c>
      <c r="I1103" s="64" t="s">
        <v>2713</v>
      </c>
      <c r="J1103" s="63" t="s">
        <v>533</v>
      </c>
      <c r="K1103" s="64" t="s">
        <v>4717</v>
      </c>
      <c r="L1103" s="63" t="s">
        <v>403</v>
      </c>
      <c r="M1103" s="63" t="s">
        <v>5781</v>
      </c>
      <c r="N1103" s="65">
        <v>45443</v>
      </c>
    </row>
    <row r="1104" spans="1:20" customFormat="1" ht="14.45" customHeight="1" x14ac:dyDescent="0.2">
      <c r="A1104" s="59" t="s">
        <v>5380</v>
      </c>
      <c r="B1104" s="60" t="s">
        <v>3909</v>
      </c>
      <c r="C1104" s="60" t="s">
        <v>3910</v>
      </c>
      <c r="D1104" s="40">
        <v>44628</v>
      </c>
      <c r="E1104" s="61" t="s">
        <v>5804</v>
      </c>
      <c r="F1104" s="62" t="s">
        <v>5804</v>
      </c>
      <c r="G1104" s="63" t="s">
        <v>615</v>
      </c>
      <c r="H1104" s="64" t="s">
        <v>2714</v>
      </c>
      <c r="I1104" s="64" t="s">
        <v>2713</v>
      </c>
      <c r="J1104" s="63" t="s">
        <v>533</v>
      </c>
      <c r="K1104" s="64" t="s">
        <v>3911</v>
      </c>
      <c r="L1104" s="63" t="s">
        <v>403</v>
      </c>
      <c r="M1104" s="63" t="s">
        <v>5781</v>
      </c>
      <c r="N1104" s="65">
        <v>45443</v>
      </c>
    </row>
    <row r="1105" spans="1:20" customFormat="1" ht="14.45" customHeight="1" x14ac:dyDescent="0.2">
      <c r="A1105" s="59" t="s">
        <v>3898</v>
      </c>
      <c r="B1105" s="60" t="s">
        <v>3912</v>
      </c>
      <c r="C1105" s="60" t="s">
        <v>3727</v>
      </c>
      <c r="D1105" s="40" t="s">
        <v>4230</v>
      </c>
      <c r="E1105" s="61">
        <v>100</v>
      </c>
      <c r="F1105" s="62">
        <v>100</v>
      </c>
      <c r="G1105" s="63" t="s">
        <v>615</v>
      </c>
      <c r="H1105" s="64" t="s">
        <v>2717</v>
      </c>
      <c r="I1105" s="64" t="s">
        <v>2713</v>
      </c>
      <c r="J1105" s="63" t="s">
        <v>539</v>
      </c>
      <c r="K1105" s="64" t="s">
        <v>4231</v>
      </c>
      <c r="L1105" s="63" t="s">
        <v>1162</v>
      </c>
      <c r="M1105" s="63">
        <v>0</v>
      </c>
      <c r="N1105" s="65">
        <v>45046</v>
      </c>
    </row>
    <row r="1106" spans="1:20" customFormat="1" ht="14.45" customHeight="1" x14ac:dyDescent="0.2">
      <c r="A1106" s="59" t="s">
        <v>3899</v>
      </c>
      <c r="B1106" s="42" t="s">
        <v>3712</v>
      </c>
      <c r="C1106" s="42" t="s">
        <v>3913</v>
      </c>
      <c r="D1106" s="40">
        <v>44631</v>
      </c>
      <c r="E1106" s="41">
        <v>191.1</v>
      </c>
      <c r="F1106" s="46">
        <v>191.1</v>
      </c>
      <c r="G1106" s="44" t="s">
        <v>615</v>
      </c>
      <c r="H1106" s="43" t="s">
        <v>2732</v>
      </c>
      <c r="I1106" s="43" t="s">
        <v>2713</v>
      </c>
      <c r="J1106" s="44" t="s">
        <v>393</v>
      </c>
      <c r="K1106" s="48" t="s">
        <v>3914</v>
      </c>
      <c r="L1106" s="52" t="s">
        <v>34</v>
      </c>
      <c r="M1106" s="56">
        <v>0</v>
      </c>
      <c r="N1106" s="45">
        <v>44742</v>
      </c>
      <c r="O1106" s="3"/>
      <c r="P1106" s="3"/>
      <c r="Q1106" s="3"/>
      <c r="R1106" s="3"/>
      <c r="S1106" s="3"/>
      <c r="T1106" s="3"/>
    </row>
    <row r="1107" spans="1:20" customFormat="1" ht="14.45" customHeight="1" x14ac:dyDescent="0.2">
      <c r="A1107" s="59" t="s">
        <v>5381</v>
      </c>
      <c r="B1107" s="60" t="s">
        <v>3712</v>
      </c>
      <c r="C1107" s="60" t="s">
        <v>3915</v>
      </c>
      <c r="D1107" s="40">
        <v>44631</v>
      </c>
      <c r="E1107" s="61" t="s">
        <v>5816</v>
      </c>
      <c r="F1107" s="62" t="s">
        <v>5816</v>
      </c>
      <c r="G1107" s="63" t="s">
        <v>615</v>
      </c>
      <c r="H1107" s="64" t="s">
        <v>2716</v>
      </c>
      <c r="I1107" s="64" t="s">
        <v>2713</v>
      </c>
      <c r="J1107" s="63" t="s">
        <v>532</v>
      </c>
      <c r="K1107" s="64" t="s">
        <v>3916</v>
      </c>
      <c r="L1107" s="63" t="s">
        <v>87</v>
      </c>
      <c r="M1107" s="63" t="s">
        <v>5781</v>
      </c>
      <c r="N1107" s="65">
        <v>45443</v>
      </c>
    </row>
    <row r="1108" spans="1:20" customFormat="1" ht="14.45" customHeight="1" x14ac:dyDescent="0.2">
      <c r="A1108" s="59" t="s">
        <v>5382</v>
      </c>
      <c r="B1108" s="60" t="s">
        <v>3712</v>
      </c>
      <c r="C1108" s="60" t="s">
        <v>3917</v>
      </c>
      <c r="D1108" s="40">
        <v>44631</v>
      </c>
      <c r="E1108" s="61" t="s">
        <v>5829</v>
      </c>
      <c r="F1108" s="62" t="s">
        <v>5829</v>
      </c>
      <c r="G1108" s="63" t="s">
        <v>615</v>
      </c>
      <c r="H1108" s="64" t="s">
        <v>2732</v>
      </c>
      <c r="I1108" s="64" t="s">
        <v>2713</v>
      </c>
      <c r="J1108" s="63" t="s">
        <v>393</v>
      </c>
      <c r="K1108" s="64" t="s">
        <v>4718</v>
      </c>
      <c r="L1108" s="63" t="s">
        <v>34</v>
      </c>
      <c r="M1108" s="63" t="s">
        <v>5781</v>
      </c>
      <c r="N1108" s="65">
        <v>45443</v>
      </c>
    </row>
    <row r="1109" spans="1:20" customFormat="1" ht="14.45" customHeight="1" x14ac:dyDescent="0.2">
      <c r="A1109" s="59" t="s">
        <v>5383</v>
      </c>
      <c r="B1109" s="60" t="s">
        <v>3918</v>
      </c>
      <c r="C1109" s="60" t="s">
        <v>3919</v>
      </c>
      <c r="D1109" s="40">
        <v>44631</v>
      </c>
      <c r="E1109" s="61" t="s">
        <v>5804</v>
      </c>
      <c r="F1109" s="62" t="s">
        <v>5804</v>
      </c>
      <c r="G1109" s="63" t="s">
        <v>615</v>
      </c>
      <c r="H1109" s="64" t="s">
        <v>2811</v>
      </c>
      <c r="I1109" s="64" t="s">
        <v>2713</v>
      </c>
      <c r="J1109" s="63" t="s">
        <v>318</v>
      </c>
      <c r="K1109" s="64" t="s">
        <v>4913</v>
      </c>
      <c r="L1109" s="63" t="s">
        <v>403</v>
      </c>
      <c r="M1109" s="63" t="s">
        <v>5781</v>
      </c>
      <c r="N1109" s="65">
        <v>45443</v>
      </c>
    </row>
    <row r="1110" spans="1:20" customFormat="1" ht="14.45" customHeight="1" x14ac:dyDescent="0.2">
      <c r="A1110" s="59" t="s">
        <v>5384</v>
      </c>
      <c r="B1110" s="60" t="s">
        <v>3920</v>
      </c>
      <c r="C1110" s="60" t="s">
        <v>3921</v>
      </c>
      <c r="D1110" s="40">
        <v>44633</v>
      </c>
      <c r="E1110" s="61" t="s">
        <v>5804</v>
      </c>
      <c r="F1110" s="62" t="s">
        <v>5804</v>
      </c>
      <c r="G1110" s="63" t="s">
        <v>615</v>
      </c>
      <c r="H1110" s="64" t="s">
        <v>2811</v>
      </c>
      <c r="I1110" s="64" t="s">
        <v>2713</v>
      </c>
      <c r="J1110" s="63" t="s">
        <v>1596</v>
      </c>
      <c r="K1110" s="64" t="s">
        <v>4544</v>
      </c>
      <c r="L1110" s="63" t="s">
        <v>403</v>
      </c>
      <c r="M1110" s="63" t="s">
        <v>5781</v>
      </c>
      <c r="N1110" s="65">
        <v>45443</v>
      </c>
    </row>
    <row r="1111" spans="1:20" customFormat="1" ht="14.45" customHeight="1" x14ac:dyDescent="0.2">
      <c r="A1111" s="59" t="s">
        <v>5385</v>
      </c>
      <c r="B1111" s="60" t="s">
        <v>3922</v>
      </c>
      <c r="C1111" s="60" t="s">
        <v>4232</v>
      </c>
      <c r="D1111" s="40">
        <v>44633</v>
      </c>
      <c r="E1111" s="61" t="s">
        <v>5804</v>
      </c>
      <c r="F1111" s="62" t="s">
        <v>5804</v>
      </c>
      <c r="G1111" s="63" t="s">
        <v>615</v>
      </c>
      <c r="H1111" s="64" t="s">
        <v>2811</v>
      </c>
      <c r="I1111" s="64" t="s">
        <v>2713</v>
      </c>
      <c r="J1111" s="63" t="s">
        <v>318</v>
      </c>
      <c r="K1111" s="64" t="s">
        <v>4545</v>
      </c>
      <c r="L1111" s="63" t="s">
        <v>403</v>
      </c>
      <c r="M1111" s="63" t="s">
        <v>5781</v>
      </c>
      <c r="N1111" s="65">
        <v>45443</v>
      </c>
    </row>
    <row r="1112" spans="1:20" customFormat="1" ht="14.45" customHeight="1" x14ac:dyDescent="0.2">
      <c r="A1112" s="59" t="s">
        <v>5386</v>
      </c>
      <c r="B1112" s="60" t="s">
        <v>3923</v>
      </c>
      <c r="C1112" s="60" t="s">
        <v>3924</v>
      </c>
      <c r="D1112" s="40">
        <v>44634</v>
      </c>
      <c r="E1112" s="61" t="s">
        <v>5830</v>
      </c>
      <c r="F1112" s="62" t="s">
        <v>5830</v>
      </c>
      <c r="G1112" s="63" t="s">
        <v>615</v>
      </c>
      <c r="H1112" s="64" t="s">
        <v>2811</v>
      </c>
      <c r="I1112" s="64" t="s">
        <v>2713</v>
      </c>
      <c r="J1112" s="63" t="s">
        <v>1596</v>
      </c>
      <c r="K1112" s="64" t="s">
        <v>4914</v>
      </c>
      <c r="L1112" s="63" t="s">
        <v>403</v>
      </c>
      <c r="M1112" s="63" t="s">
        <v>5781</v>
      </c>
      <c r="N1112" s="65">
        <v>45443</v>
      </c>
    </row>
    <row r="1113" spans="1:20" customFormat="1" ht="14.45" customHeight="1" x14ac:dyDescent="0.2">
      <c r="A1113" s="59" t="s">
        <v>5387</v>
      </c>
      <c r="B1113" s="60" t="s">
        <v>3925</v>
      </c>
      <c r="C1113" s="60" t="s">
        <v>3926</v>
      </c>
      <c r="D1113" s="40">
        <v>44638</v>
      </c>
      <c r="E1113" s="61" t="s">
        <v>5804</v>
      </c>
      <c r="F1113" s="62" t="s">
        <v>5804</v>
      </c>
      <c r="G1113" s="63" t="s">
        <v>55</v>
      </c>
      <c r="H1113" s="64" t="s">
        <v>2737</v>
      </c>
      <c r="I1113" s="64" t="s">
        <v>2713</v>
      </c>
      <c r="J1113" s="63" t="s">
        <v>530</v>
      </c>
      <c r="K1113" s="64" t="s">
        <v>4233</v>
      </c>
      <c r="L1113" s="63" t="s">
        <v>157</v>
      </c>
      <c r="M1113" s="63" t="s">
        <v>5781</v>
      </c>
      <c r="N1113" s="65">
        <v>45443</v>
      </c>
    </row>
    <row r="1114" spans="1:20" customFormat="1" ht="14.45" customHeight="1" x14ac:dyDescent="0.2">
      <c r="A1114" s="59" t="s">
        <v>3900</v>
      </c>
      <c r="B1114" s="42" t="s">
        <v>3927</v>
      </c>
      <c r="C1114" s="42" t="s">
        <v>3928</v>
      </c>
      <c r="D1114" s="40">
        <v>44643</v>
      </c>
      <c r="E1114" s="41">
        <v>20</v>
      </c>
      <c r="F1114" s="46">
        <v>20</v>
      </c>
      <c r="G1114" s="44" t="s">
        <v>615</v>
      </c>
      <c r="H1114" s="43" t="s">
        <v>2800</v>
      </c>
      <c r="I1114" s="43" t="s">
        <v>2713</v>
      </c>
      <c r="J1114" s="44" t="s">
        <v>530</v>
      </c>
      <c r="K1114" s="48" t="s">
        <v>3228</v>
      </c>
      <c r="L1114" s="52" t="s">
        <v>41</v>
      </c>
      <c r="M1114" s="56">
        <v>0</v>
      </c>
      <c r="N1114" s="45">
        <v>44926</v>
      </c>
      <c r="O1114" s="3"/>
      <c r="P1114" s="3"/>
      <c r="Q1114" s="3"/>
      <c r="R1114" s="3"/>
      <c r="S1114" s="3"/>
      <c r="T1114" s="3"/>
    </row>
    <row r="1115" spans="1:20" customFormat="1" ht="14.45" customHeight="1" x14ac:dyDescent="0.2">
      <c r="A1115" s="59" t="s">
        <v>4633</v>
      </c>
      <c r="B1115" s="60" t="s">
        <v>1710</v>
      </c>
      <c r="C1115" s="60" t="s">
        <v>3809</v>
      </c>
      <c r="D1115" s="40" t="s">
        <v>4635</v>
      </c>
      <c r="E1115" s="61">
        <v>100</v>
      </c>
      <c r="F1115" s="62">
        <v>100</v>
      </c>
      <c r="G1115" s="63" t="s">
        <v>55</v>
      </c>
      <c r="H1115" s="64" t="s">
        <v>2744</v>
      </c>
      <c r="I1115" s="64" t="s">
        <v>2713</v>
      </c>
      <c r="J1115" s="63" t="s">
        <v>530</v>
      </c>
      <c r="K1115" s="64" t="s">
        <v>4634</v>
      </c>
      <c r="L1115" s="63" t="s">
        <v>157</v>
      </c>
      <c r="M1115" s="63">
        <v>0</v>
      </c>
      <c r="N1115" s="65">
        <v>45016</v>
      </c>
    </row>
    <row r="1116" spans="1:20" customFormat="1" ht="14.45" customHeight="1" x14ac:dyDescent="0.2">
      <c r="A1116" s="59" t="s">
        <v>3901</v>
      </c>
      <c r="B1116" s="60" t="s">
        <v>3929</v>
      </c>
      <c r="C1116" s="60" t="s">
        <v>80</v>
      </c>
      <c r="D1116" s="40" t="s">
        <v>4234</v>
      </c>
      <c r="E1116" s="61">
        <v>100</v>
      </c>
      <c r="F1116" s="62">
        <v>100</v>
      </c>
      <c r="G1116" s="63" t="s">
        <v>615</v>
      </c>
      <c r="H1116" s="64" t="s">
        <v>2716</v>
      </c>
      <c r="I1116" s="64" t="s">
        <v>2713</v>
      </c>
      <c r="J1116" s="63" t="s">
        <v>532</v>
      </c>
      <c r="K1116" s="64" t="s">
        <v>3183</v>
      </c>
      <c r="L1116" s="63" t="s">
        <v>87</v>
      </c>
      <c r="M1116" s="63">
        <v>0</v>
      </c>
      <c r="N1116" s="65">
        <v>45046</v>
      </c>
    </row>
    <row r="1117" spans="1:20" customFormat="1" ht="14.45" customHeight="1" x14ac:dyDescent="0.2">
      <c r="A1117" s="59" t="s">
        <v>4370</v>
      </c>
      <c r="B1117" s="42" t="s">
        <v>3929</v>
      </c>
      <c r="C1117" s="42" t="s">
        <v>3930</v>
      </c>
      <c r="D1117" s="40">
        <v>44645</v>
      </c>
      <c r="E1117" s="41">
        <v>130</v>
      </c>
      <c r="F1117" s="46">
        <v>130</v>
      </c>
      <c r="G1117" s="44" t="s">
        <v>615</v>
      </c>
      <c r="H1117" s="43" t="s">
        <v>2746</v>
      </c>
      <c r="I1117" s="43" t="s">
        <v>2713</v>
      </c>
      <c r="J1117" s="44" t="s">
        <v>532</v>
      </c>
      <c r="K1117" s="48" t="s">
        <v>3931</v>
      </c>
      <c r="L1117" s="52" t="s">
        <v>87</v>
      </c>
      <c r="M1117" s="56">
        <v>0</v>
      </c>
      <c r="N1117" s="45">
        <v>44865</v>
      </c>
      <c r="O1117" s="3"/>
      <c r="P1117" s="3"/>
      <c r="Q1117" s="3"/>
      <c r="R1117" s="3"/>
      <c r="S1117" s="3"/>
      <c r="T1117" s="3"/>
    </row>
    <row r="1118" spans="1:20" customFormat="1" ht="14.45" customHeight="1" x14ac:dyDescent="0.2">
      <c r="A1118" s="59" t="s">
        <v>3902</v>
      </c>
      <c r="B1118" s="42" t="s">
        <v>3927</v>
      </c>
      <c r="C1118" s="42" t="s">
        <v>3932</v>
      </c>
      <c r="D1118" s="40">
        <v>44651</v>
      </c>
      <c r="E1118" s="46">
        <v>20</v>
      </c>
      <c r="F1118" s="46">
        <v>20</v>
      </c>
      <c r="G1118" s="44" t="s">
        <v>615</v>
      </c>
      <c r="H1118" s="43" t="s">
        <v>2737</v>
      </c>
      <c r="I1118" s="43" t="s">
        <v>2713</v>
      </c>
      <c r="J1118" s="44" t="s">
        <v>530</v>
      </c>
      <c r="K1118" s="48" t="s">
        <v>3976</v>
      </c>
      <c r="L1118" s="52" t="s">
        <v>41</v>
      </c>
      <c r="M1118" s="56">
        <v>0</v>
      </c>
      <c r="N1118" s="45">
        <v>44926</v>
      </c>
      <c r="O1118" s="3"/>
      <c r="P1118" s="3"/>
      <c r="Q1118" s="3"/>
      <c r="R1118" s="3"/>
      <c r="S1118" s="3"/>
      <c r="T1118" s="3"/>
    </row>
    <row r="1119" spans="1:20" customFormat="1" ht="14.45" customHeight="1" x14ac:dyDescent="0.2">
      <c r="A1119" s="59" t="s">
        <v>5388</v>
      </c>
      <c r="B1119" s="60" t="s">
        <v>3922</v>
      </c>
      <c r="C1119" s="60" t="s">
        <v>3944</v>
      </c>
      <c r="D1119" s="40">
        <v>44658</v>
      </c>
      <c r="E1119" s="61" t="s">
        <v>5804</v>
      </c>
      <c r="F1119" s="62" t="s">
        <v>5804</v>
      </c>
      <c r="G1119" s="63" t="s">
        <v>615</v>
      </c>
      <c r="H1119" s="64" t="s">
        <v>2811</v>
      </c>
      <c r="I1119" s="64" t="s">
        <v>2713</v>
      </c>
      <c r="J1119" s="63" t="s">
        <v>318</v>
      </c>
      <c r="K1119" s="64" t="s">
        <v>4546</v>
      </c>
      <c r="L1119" s="63" t="s">
        <v>403</v>
      </c>
      <c r="M1119" s="63" t="s">
        <v>5781</v>
      </c>
      <c r="N1119" s="65">
        <v>45443</v>
      </c>
    </row>
    <row r="1120" spans="1:20" customFormat="1" ht="14.45" customHeight="1" x14ac:dyDescent="0.2">
      <c r="A1120" s="59" t="s">
        <v>6195</v>
      </c>
      <c r="B1120" s="60" t="s">
        <v>6196</v>
      </c>
      <c r="C1120" s="60" t="s">
        <v>6197</v>
      </c>
      <c r="D1120" s="40">
        <v>44663</v>
      </c>
      <c r="E1120" s="61">
        <v>200</v>
      </c>
      <c r="F1120" s="62">
        <v>200</v>
      </c>
      <c r="G1120" s="63" t="s">
        <v>3505</v>
      </c>
      <c r="H1120" s="64" t="s">
        <v>2729</v>
      </c>
      <c r="I1120" s="64" t="s">
        <v>2713</v>
      </c>
      <c r="J1120" s="63" t="s">
        <v>393</v>
      </c>
      <c r="K1120" s="64" t="s">
        <v>6198</v>
      </c>
      <c r="L1120" s="63" t="s">
        <v>41</v>
      </c>
      <c r="M1120" s="63" t="s">
        <v>5781</v>
      </c>
      <c r="N1120" s="65">
        <v>45596</v>
      </c>
    </row>
    <row r="1121" spans="1:20" customFormat="1" ht="14.45" customHeight="1" x14ac:dyDescent="0.2">
      <c r="A1121" s="59" t="s">
        <v>5389</v>
      </c>
      <c r="B1121" s="60" t="s">
        <v>3865</v>
      </c>
      <c r="C1121" s="60" t="s">
        <v>3945</v>
      </c>
      <c r="D1121" s="40">
        <v>44663</v>
      </c>
      <c r="E1121" s="61" t="s">
        <v>5796</v>
      </c>
      <c r="F1121" s="62" t="s">
        <v>5796</v>
      </c>
      <c r="G1121" s="63" t="s">
        <v>615</v>
      </c>
      <c r="H1121" s="64" t="s">
        <v>2734</v>
      </c>
      <c r="I1121" s="64" t="s">
        <v>2713</v>
      </c>
      <c r="J1121" s="63" t="s">
        <v>530</v>
      </c>
      <c r="K1121" s="64" t="s">
        <v>4547</v>
      </c>
      <c r="L1121" s="63" t="s">
        <v>34</v>
      </c>
      <c r="M1121" s="63" t="s">
        <v>5781</v>
      </c>
      <c r="N1121" s="65">
        <v>45443</v>
      </c>
    </row>
    <row r="1122" spans="1:20" customFormat="1" ht="14.45" customHeight="1" x14ac:dyDescent="0.2">
      <c r="A1122" s="59" t="s">
        <v>3936</v>
      </c>
      <c r="B1122" s="42" t="s">
        <v>3239</v>
      </c>
      <c r="C1122" s="42" t="s">
        <v>3946</v>
      </c>
      <c r="D1122" s="40">
        <v>44665</v>
      </c>
      <c r="E1122" s="41">
        <v>20</v>
      </c>
      <c r="F1122" s="46">
        <v>20</v>
      </c>
      <c r="G1122" s="44" t="s">
        <v>55</v>
      </c>
      <c r="H1122" s="43" t="s">
        <v>2718</v>
      </c>
      <c r="I1122" s="43" t="s">
        <v>2713</v>
      </c>
      <c r="J1122" s="44" t="s">
        <v>530</v>
      </c>
      <c r="K1122" s="48" t="s">
        <v>3947</v>
      </c>
      <c r="L1122" s="52" t="s">
        <v>34</v>
      </c>
      <c r="M1122" s="56">
        <v>0</v>
      </c>
      <c r="N1122" s="45">
        <v>44834</v>
      </c>
      <c r="O1122" s="3"/>
      <c r="P1122" s="3"/>
      <c r="Q1122" s="3"/>
      <c r="R1122" s="3"/>
      <c r="S1122" s="3"/>
      <c r="T1122" s="3"/>
    </row>
    <row r="1123" spans="1:20" customFormat="1" ht="14.45" customHeight="1" x14ac:dyDescent="0.2">
      <c r="A1123" s="59" t="s">
        <v>3937</v>
      </c>
      <c r="B1123" s="60" t="s">
        <v>3948</v>
      </c>
      <c r="C1123" s="60" t="s">
        <v>3949</v>
      </c>
      <c r="D1123" s="40" t="s">
        <v>4235</v>
      </c>
      <c r="E1123" s="61">
        <v>40</v>
      </c>
      <c r="F1123" s="62">
        <v>40</v>
      </c>
      <c r="G1123" s="63" t="s">
        <v>615</v>
      </c>
      <c r="H1123" s="64" t="s">
        <v>3950</v>
      </c>
      <c r="I1123" s="64" t="s">
        <v>2713</v>
      </c>
      <c r="J1123" s="63" t="s">
        <v>539</v>
      </c>
      <c r="K1123" s="64" t="s">
        <v>4236</v>
      </c>
      <c r="L1123" s="63" t="s">
        <v>673</v>
      </c>
      <c r="M1123" s="63">
        <v>0</v>
      </c>
      <c r="N1123" s="65">
        <v>45016</v>
      </c>
      <c r="O1123" s="3"/>
      <c r="P1123" s="3"/>
      <c r="Q1123" s="3"/>
      <c r="R1123" s="3"/>
      <c r="S1123" s="3"/>
      <c r="T1123" s="3"/>
    </row>
    <row r="1124" spans="1:20" customFormat="1" ht="14.45" customHeight="1" x14ac:dyDescent="0.2">
      <c r="A1124" s="59" t="s">
        <v>3938</v>
      </c>
      <c r="B1124" s="60" t="s">
        <v>3951</v>
      </c>
      <c r="C1124" s="60" t="s">
        <v>3954</v>
      </c>
      <c r="D1124" s="40">
        <v>44666</v>
      </c>
      <c r="E1124" s="61" t="s">
        <v>54</v>
      </c>
      <c r="F1124" s="62" t="s">
        <v>54</v>
      </c>
      <c r="G1124" s="63" t="s">
        <v>256</v>
      </c>
      <c r="H1124" s="64" t="s">
        <v>2719</v>
      </c>
      <c r="I1124" s="64" t="s">
        <v>2713</v>
      </c>
      <c r="J1124" s="63" t="s">
        <v>533</v>
      </c>
      <c r="K1124" s="64" t="s">
        <v>3955</v>
      </c>
      <c r="L1124" s="63" t="s">
        <v>403</v>
      </c>
      <c r="M1124" s="63">
        <v>0</v>
      </c>
      <c r="N1124" s="65">
        <v>44985</v>
      </c>
      <c r="O1124" s="3"/>
      <c r="P1124" s="3"/>
      <c r="Q1124" s="3"/>
      <c r="R1124" s="3"/>
      <c r="S1124" s="3"/>
      <c r="T1124" s="3"/>
    </row>
    <row r="1125" spans="1:20" customFormat="1" ht="14.45" customHeight="1" x14ac:dyDescent="0.2">
      <c r="A1125" s="59" t="s">
        <v>3939</v>
      </c>
      <c r="B1125" s="42" t="s">
        <v>3956</v>
      </c>
      <c r="C1125" s="42" t="s">
        <v>3957</v>
      </c>
      <c r="D1125" s="40">
        <v>44670</v>
      </c>
      <c r="E1125" s="41">
        <v>90</v>
      </c>
      <c r="F1125" s="46">
        <v>90</v>
      </c>
      <c r="G1125" s="44" t="s">
        <v>615</v>
      </c>
      <c r="H1125" s="43" t="s">
        <v>2716</v>
      </c>
      <c r="I1125" s="43" t="s">
        <v>2713</v>
      </c>
      <c r="J1125" s="44" t="s">
        <v>532</v>
      </c>
      <c r="K1125" s="48" t="s">
        <v>4044</v>
      </c>
      <c r="L1125" s="52" t="s">
        <v>87</v>
      </c>
      <c r="M1125" s="56">
        <v>0</v>
      </c>
      <c r="N1125" s="45">
        <v>44895</v>
      </c>
      <c r="O1125" s="3"/>
      <c r="P1125" s="3"/>
      <c r="Q1125" s="3"/>
      <c r="R1125" s="3"/>
      <c r="S1125" s="3"/>
      <c r="T1125" s="3"/>
    </row>
    <row r="1126" spans="1:20" customFormat="1" ht="14.45" customHeight="1" x14ac:dyDescent="0.2">
      <c r="A1126" s="59" t="s">
        <v>3940</v>
      </c>
      <c r="B1126" s="42" t="s">
        <v>4029</v>
      </c>
      <c r="C1126" s="42" t="s">
        <v>3958</v>
      </c>
      <c r="D1126" s="40">
        <v>44671</v>
      </c>
      <c r="E1126" s="41">
        <v>1100</v>
      </c>
      <c r="F1126" s="46">
        <v>1100</v>
      </c>
      <c r="G1126" s="44" t="s">
        <v>124</v>
      </c>
      <c r="H1126" s="43" t="s">
        <v>2746</v>
      </c>
      <c r="I1126" s="43" t="s">
        <v>2713</v>
      </c>
      <c r="J1126" s="44" t="s">
        <v>532</v>
      </c>
      <c r="K1126" s="48" t="s">
        <v>3959</v>
      </c>
      <c r="L1126" s="52" t="s">
        <v>87</v>
      </c>
      <c r="M1126" s="56">
        <v>0</v>
      </c>
      <c r="N1126" s="45">
        <v>44834</v>
      </c>
      <c r="O1126" s="3"/>
      <c r="P1126" s="3"/>
      <c r="Q1126" s="3"/>
      <c r="R1126" s="3"/>
      <c r="S1126" s="3"/>
      <c r="T1126" s="3"/>
    </row>
    <row r="1127" spans="1:20" customFormat="1" ht="14.45" customHeight="1" x14ac:dyDescent="0.2">
      <c r="A1127" s="59" t="s">
        <v>5392</v>
      </c>
      <c r="B1127" s="60" t="s">
        <v>4029</v>
      </c>
      <c r="C1127" s="60" t="s">
        <v>3960</v>
      </c>
      <c r="D1127" s="40">
        <v>44671</v>
      </c>
      <c r="E1127" s="61" t="s">
        <v>3321</v>
      </c>
      <c r="F1127" s="62" t="s">
        <v>3321</v>
      </c>
      <c r="G1127" s="63" t="s">
        <v>124</v>
      </c>
      <c r="H1127" s="64" t="s">
        <v>2716</v>
      </c>
      <c r="I1127" s="64" t="s">
        <v>2713</v>
      </c>
      <c r="J1127" s="63" t="s">
        <v>532</v>
      </c>
      <c r="K1127" s="64" t="s">
        <v>538</v>
      </c>
      <c r="L1127" s="63" t="s">
        <v>87</v>
      </c>
      <c r="M1127" s="63" t="s">
        <v>5781</v>
      </c>
      <c r="N1127" s="65">
        <v>45443</v>
      </c>
    </row>
    <row r="1128" spans="1:20" customFormat="1" ht="14.45" customHeight="1" x14ac:dyDescent="0.2">
      <c r="A1128" s="59" t="s">
        <v>5393</v>
      </c>
      <c r="B1128" s="60" t="s">
        <v>4029</v>
      </c>
      <c r="C1128" s="60" t="s">
        <v>3961</v>
      </c>
      <c r="D1128" s="40">
        <v>44671</v>
      </c>
      <c r="E1128" s="61" t="s">
        <v>3321</v>
      </c>
      <c r="F1128" s="62" t="s">
        <v>3321</v>
      </c>
      <c r="G1128" s="63" t="s">
        <v>124</v>
      </c>
      <c r="H1128" s="64" t="s">
        <v>3962</v>
      </c>
      <c r="I1128" s="64" t="s">
        <v>2713</v>
      </c>
      <c r="J1128" s="63" t="s">
        <v>533</v>
      </c>
      <c r="K1128" s="64" t="s">
        <v>3911</v>
      </c>
      <c r="L1128" s="63" t="s">
        <v>403</v>
      </c>
      <c r="M1128" s="63" t="s">
        <v>5781</v>
      </c>
      <c r="N1128" s="65">
        <v>45443</v>
      </c>
    </row>
    <row r="1129" spans="1:20" customFormat="1" ht="14.45" customHeight="1" x14ac:dyDescent="0.2">
      <c r="A1129" s="59" t="s">
        <v>5394</v>
      </c>
      <c r="B1129" s="60" t="s">
        <v>4029</v>
      </c>
      <c r="C1129" s="60" t="s">
        <v>4953</v>
      </c>
      <c r="D1129" s="40">
        <v>44671</v>
      </c>
      <c r="E1129" s="61" t="s">
        <v>3321</v>
      </c>
      <c r="F1129" s="62" t="s">
        <v>3321</v>
      </c>
      <c r="G1129" s="63" t="s">
        <v>124</v>
      </c>
      <c r="H1129" s="64" t="s">
        <v>3554</v>
      </c>
      <c r="I1129" s="64" t="s">
        <v>2713</v>
      </c>
      <c r="J1129" s="63" t="s">
        <v>533</v>
      </c>
      <c r="K1129" s="64" t="s">
        <v>5014</v>
      </c>
      <c r="L1129" s="63" t="s">
        <v>403</v>
      </c>
      <c r="M1129" s="63" t="s">
        <v>5781</v>
      </c>
      <c r="N1129" s="65">
        <v>45443</v>
      </c>
    </row>
    <row r="1130" spans="1:20" customFormat="1" ht="14.45" customHeight="1" x14ac:dyDescent="0.2">
      <c r="A1130" s="59" t="s">
        <v>3941</v>
      </c>
      <c r="B1130" s="60" t="s">
        <v>4029</v>
      </c>
      <c r="C1130" s="60" t="s">
        <v>3963</v>
      </c>
      <c r="D1130" s="40">
        <v>44671</v>
      </c>
      <c r="E1130" s="61">
        <v>1100</v>
      </c>
      <c r="F1130" s="62">
        <v>1100</v>
      </c>
      <c r="G1130" s="63" t="s">
        <v>124</v>
      </c>
      <c r="H1130" s="64" t="s">
        <v>2746</v>
      </c>
      <c r="I1130" s="64" t="s">
        <v>2713</v>
      </c>
      <c r="J1130" s="63"/>
      <c r="K1130" s="64" t="s">
        <v>3029</v>
      </c>
      <c r="L1130" s="63" t="s">
        <v>87</v>
      </c>
      <c r="M1130" s="63">
        <v>0</v>
      </c>
      <c r="N1130" s="65">
        <v>45169</v>
      </c>
    </row>
    <row r="1131" spans="1:20" customFormat="1" ht="14.45" customHeight="1" x14ac:dyDescent="0.2">
      <c r="A1131" s="59" t="s">
        <v>5395</v>
      </c>
      <c r="B1131" s="60" t="s">
        <v>4029</v>
      </c>
      <c r="C1131" s="60" t="s">
        <v>3964</v>
      </c>
      <c r="D1131" s="40">
        <v>44675</v>
      </c>
      <c r="E1131" s="61" t="s">
        <v>3321</v>
      </c>
      <c r="F1131" s="62" t="s">
        <v>3321</v>
      </c>
      <c r="G1131" s="63" t="s">
        <v>124</v>
      </c>
      <c r="H1131" s="64" t="s">
        <v>2746</v>
      </c>
      <c r="I1131" s="64" t="s">
        <v>2713</v>
      </c>
      <c r="J1131" s="63" t="s">
        <v>532</v>
      </c>
      <c r="K1131" s="64" t="s">
        <v>3552</v>
      </c>
      <c r="L1131" s="63" t="s">
        <v>41</v>
      </c>
      <c r="M1131" s="63" t="s">
        <v>5781</v>
      </c>
      <c r="N1131" s="65">
        <v>45443</v>
      </c>
    </row>
    <row r="1132" spans="1:20" customFormat="1" ht="14.45" customHeight="1" x14ac:dyDescent="0.2">
      <c r="A1132" s="59" t="s">
        <v>3942</v>
      </c>
      <c r="B1132" s="42" t="s">
        <v>4029</v>
      </c>
      <c r="C1132" s="42" t="s">
        <v>3965</v>
      </c>
      <c r="D1132" s="40">
        <v>44675</v>
      </c>
      <c r="E1132" s="41">
        <v>210</v>
      </c>
      <c r="F1132" s="46">
        <v>210</v>
      </c>
      <c r="G1132" s="44" t="s">
        <v>124</v>
      </c>
      <c r="H1132" s="43" t="s">
        <v>2746</v>
      </c>
      <c r="I1132" s="43" t="s">
        <v>2713</v>
      </c>
      <c r="J1132" s="44" t="s">
        <v>532</v>
      </c>
      <c r="K1132" s="48" t="s">
        <v>3959</v>
      </c>
      <c r="L1132" s="52" t="s">
        <v>87</v>
      </c>
      <c r="M1132" s="56">
        <v>0</v>
      </c>
      <c r="N1132" s="45">
        <v>44834</v>
      </c>
      <c r="O1132" s="3"/>
      <c r="P1132" s="3"/>
      <c r="Q1132" s="3"/>
      <c r="R1132" s="3"/>
      <c r="S1132" s="3"/>
      <c r="T1132" s="3"/>
    </row>
    <row r="1133" spans="1:20" customFormat="1" ht="14.45" customHeight="1" x14ac:dyDescent="0.2">
      <c r="A1133" s="59" t="s">
        <v>5583</v>
      </c>
      <c r="B1133" s="60" t="s">
        <v>4029</v>
      </c>
      <c r="C1133" s="60" t="s">
        <v>3966</v>
      </c>
      <c r="D1133" s="40">
        <v>44675</v>
      </c>
      <c r="E1133" s="61">
        <v>210</v>
      </c>
      <c r="F1133" s="62">
        <v>210</v>
      </c>
      <c r="G1133" s="63" t="s">
        <v>124</v>
      </c>
      <c r="H1133" s="64" t="s">
        <v>2716</v>
      </c>
      <c r="I1133" s="64" t="s">
        <v>2713</v>
      </c>
      <c r="J1133" s="63" t="s">
        <v>532</v>
      </c>
      <c r="K1133" s="64" t="s">
        <v>4238</v>
      </c>
      <c r="L1133" s="63" t="s">
        <v>87</v>
      </c>
      <c r="M1133" s="63">
        <v>0</v>
      </c>
      <c r="N1133" s="65">
        <v>45260</v>
      </c>
    </row>
    <row r="1134" spans="1:20" customFormat="1" ht="14.45" customHeight="1" x14ac:dyDescent="0.2">
      <c r="A1134" s="59" t="s">
        <v>5396</v>
      </c>
      <c r="B1134" s="60" t="s">
        <v>4029</v>
      </c>
      <c r="C1134" s="60" t="s">
        <v>3967</v>
      </c>
      <c r="D1134" s="40">
        <v>44675</v>
      </c>
      <c r="E1134" s="61" t="s">
        <v>5831</v>
      </c>
      <c r="F1134" s="62" t="s">
        <v>5831</v>
      </c>
      <c r="G1134" s="63" t="s">
        <v>124</v>
      </c>
      <c r="H1134" s="64" t="s">
        <v>3962</v>
      </c>
      <c r="I1134" s="64" t="s">
        <v>2713</v>
      </c>
      <c r="J1134" s="63" t="s">
        <v>533</v>
      </c>
      <c r="K1134" s="64" t="s">
        <v>3911</v>
      </c>
      <c r="L1134" s="63" t="s">
        <v>403</v>
      </c>
      <c r="M1134" s="63" t="s">
        <v>5781</v>
      </c>
      <c r="N1134" s="65">
        <v>45443</v>
      </c>
    </row>
    <row r="1135" spans="1:20" customFormat="1" ht="14.45" customHeight="1" x14ac:dyDescent="0.2">
      <c r="A1135" s="59" t="s">
        <v>5397</v>
      </c>
      <c r="B1135" s="60" t="s">
        <v>4029</v>
      </c>
      <c r="C1135" s="60" t="s">
        <v>4954</v>
      </c>
      <c r="D1135" s="40">
        <v>44675</v>
      </c>
      <c r="E1135" s="61" t="s">
        <v>5831</v>
      </c>
      <c r="F1135" s="62" t="s">
        <v>5831</v>
      </c>
      <c r="G1135" s="63" t="s">
        <v>124</v>
      </c>
      <c r="H1135" s="64" t="s">
        <v>3554</v>
      </c>
      <c r="I1135" s="64" t="s">
        <v>2713</v>
      </c>
      <c r="J1135" s="63" t="s">
        <v>533</v>
      </c>
      <c r="K1135" s="64" t="s">
        <v>5014</v>
      </c>
      <c r="L1135" s="63" t="s">
        <v>403</v>
      </c>
      <c r="M1135" s="63" t="s">
        <v>5781</v>
      </c>
      <c r="N1135" s="65">
        <v>45443</v>
      </c>
    </row>
    <row r="1136" spans="1:20" customFormat="1" ht="14.45" customHeight="1" x14ac:dyDescent="0.2">
      <c r="A1136" s="59" t="s">
        <v>3943</v>
      </c>
      <c r="B1136" s="60" t="s">
        <v>4029</v>
      </c>
      <c r="C1136" s="60" t="s">
        <v>3968</v>
      </c>
      <c r="D1136" s="40">
        <v>44675</v>
      </c>
      <c r="E1136" s="61">
        <v>210</v>
      </c>
      <c r="F1136" s="62">
        <v>210</v>
      </c>
      <c r="G1136" s="63" t="s">
        <v>124</v>
      </c>
      <c r="H1136" s="64" t="s">
        <v>2746</v>
      </c>
      <c r="I1136" s="64" t="s">
        <v>2713</v>
      </c>
      <c r="J1136" s="63"/>
      <c r="K1136" s="64" t="s">
        <v>3029</v>
      </c>
      <c r="L1136" s="63" t="s">
        <v>87</v>
      </c>
      <c r="M1136" s="63">
        <v>0</v>
      </c>
      <c r="N1136" s="65">
        <v>45169</v>
      </c>
    </row>
    <row r="1137" spans="1:20" customFormat="1" ht="14.45" customHeight="1" x14ac:dyDescent="0.2">
      <c r="A1137" s="59" t="s">
        <v>5398</v>
      </c>
      <c r="B1137" s="60" t="s">
        <v>4029</v>
      </c>
      <c r="C1137" s="60" t="s">
        <v>3969</v>
      </c>
      <c r="D1137" s="40">
        <v>44675</v>
      </c>
      <c r="E1137" s="61" t="s">
        <v>5831</v>
      </c>
      <c r="F1137" s="62" t="s">
        <v>5831</v>
      </c>
      <c r="G1137" s="63" t="s">
        <v>124</v>
      </c>
      <c r="H1137" s="64" t="s">
        <v>2746</v>
      </c>
      <c r="I1137" s="64" t="s">
        <v>2713</v>
      </c>
      <c r="J1137" s="63" t="s">
        <v>532</v>
      </c>
      <c r="K1137" s="64" t="s">
        <v>3552</v>
      </c>
      <c r="L1137" s="63" t="s">
        <v>41</v>
      </c>
      <c r="M1137" s="63" t="s">
        <v>5781</v>
      </c>
      <c r="N1137" s="65">
        <v>45443</v>
      </c>
    </row>
    <row r="1138" spans="1:20" customFormat="1" ht="14.45" customHeight="1" x14ac:dyDescent="0.2">
      <c r="A1138" s="59" t="s">
        <v>5399</v>
      </c>
      <c r="B1138" s="60" t="s">
        <v>3948</v>
      </c>
      <c r="C1138" s="60" t="s">
        <v>3970</v>
      </c>
      <c r="D1138" s="40">
        <v>44679</v>
      </c>
      <c r="E1138" s="61">
        <v>25.2</v>
      </c>
      <c r="F1138" s="62">
        <v>25.2</v>
      </c>
      <c r="G1138" s="63" t="s">
        <v>615</v>
      </c>
      <c r="H1138" s="64" t="s">
        <v>2796</v>
      </c>
      <c r="I1138" s="64" t="s">
        <v>2713</v>
      </c>
      <c r="J1138" s="63" t="s">
        <v>471</v>
      </c>
      <c r="K1138" s="64" t="s">
        <v>4810</v>
      </c>
      <c r="L1138" s="63" t="s">
        <v>157</v>
      </c>
      <c r="M1138" s="63">
        <v>0</v>
      </c>
      <c r="N1138" s="65">
        <v>45351</v>
      </c>
    </row>
    <row r="1139" spans="1:20" customFormat="1" ht="14.45" customHeight="1" x14ac:dyDescent="0.2">
      <c r="A1139" s="59" t="s">
        <v>5400</v>
      </c>
      <c r="B1139" s="60" t="s">
        <v>4239</v>
      </c>
      <c r="C1139" s="60" t="s">
        <v>4240</v>
      </c>
      <c r="D1139" s="40">
        <v>44683</v>
      </c>
      <c r="E1139" s="61" t="s">
        <v>5053</v>
      </c>
      <c r="F1139" s="62" t="s">
        <v>5053</v>
      </c>
      <c r="G1139" s="63" t="s">
        <v>124</v>
      </c>
      <c r="H1139" s="64" t="s">
        <v>2715</v>
      </c>
      <c r="I1139" s="64" t="s">
        <v>2713</v>
      </c>
      <c r="J1139" s="63" t="s">
        <v>533</v>
      </c>
      <c r="K1139" s="64" t="s">
        <v>3731</v>
      </c>
      <c r="L1139" s="63" t="s">
        <v>403</v>
      </c>
      <c r="M1139" s="63" t="s">
        <v>5781</v>
      </c>
      <c r="N1139" s="65">
        <v>45504</v>
      </c>
    </row>
    <row r="1140" spans="1:20" customFormat="1" ht="14.45" customHeight="1" x14ac:dyDescent="0.2">
      <c r="A1140" s="59" t="s">
        <v>3977</v>
      </c>
      <c r="B1140" s="42" t="s">
        <v>3948</v>
      </c>
      <c r="C1140" s="42" t="s">
        <v>3979</v>
      </c>
      <c r="D1140" s="40">
        <v>44686</v>
      </c>
      <c r="E1140" s="41">
        <v>25.2</v>
      </c>
      <c r="F1140" s="46">
        <v>25.2</v>
      </c>
      <c r="G1140" s="44" t="s">
        <v>615</v>
      </c>
      <c r="H1140" s="43" t="s">
        <v>2769</v>
      </c>
      <c r="I1140" s="43" t="s">
        <v>2713</v>
      </c>
      <c r="J1140" s="44" t="s">
        <v>471</v>
      </c>
      <c r="K1140" s="48" t="s">
        <v>4043</v>
      </c>
      <c r="L1140" s="52" t="s">
        <v>157</v>
      </c>
      <c r="M1140" s="56">
        <v>0</v>
      </c>
      <c r="N1140" s="45">
        <v>44895</v>
      </c>
      <c r="O1140" s="3"/>
      <c r="P1140" s="3"/>
      <c r="Q1140" s="3"/>
      <c r="R1140" s="3"/>
      <c r="S1140" s="3"/>
      <c r="T1140" s="3"/>
    </row>
    <row r="1141" spans="1:20" customFormat="1" ht="14.45" customHeight="1" x14ac:dyDescent="0.2">
      <c r="A1141" s="59" t="s">
        <v>3978</v>
      </c>
      <c r="B1141" s="42" t="s">
        <v>3980</v>
      </c>
      <c r="C1141" s="42" t="s">
        <v>3981</v>
      </c>
      <c r="D1141" s="40">
        <v>44700</v>
      </c>
      <c r="E1141" s="41"/>
      <c r="F1141" s="46"/>
      <c r="G1141" s="44"/>
      <c r="H1141" s="43" t="s">
        <v>2773</v>
      </c>
      <c r="I1141" s="43" t="s">
        <v>2713</v>
      </c>
      <c r="J1141" s="44" t="s">
        <v>318</v>
      </c>
      <c r="K1141" s="48" t="s">
        <v>3982</v>
      </c>
      <c r="L1141" s="52" t="s">
        <v>34</v>
      </c>
      <c r="M1141" s="56">
        <v>0</v>
      </c>
      <c r="N1141" s="45">
        <v>44804</v>
      </c>
    </row>
    <row r="1142" spans="1:20" customFormat="1" ht="14.45" customHeight="1" x14ac:dyDescent="0.2">
      <c r="A1142" s="59" t="s">
        <v>5401</v>
      </c>
      <c r="B1142" s="60" t="s">
        <v>3987</v>
      </c>
      <c r="C1142" s="60" t="s">
        <v>3988</v>
      </c>
      <c r="D1142" s="40">
        <v>44713</v>
      </c>
      <c r="E1142" s="61" t="s">
        <v>3824</v>
      </c>
      <c r="F1142" s="62" t="s">
        <v>3824</v>
      </c>
      <c r="G1142" s="63" t="s">
        <v>124</v>
      </c>
      <c r="H1142" s="64" t="s">
        <v>2716</v>
      </c>
      <c r="I1142" s="64" t="s">
        <v>2713</v>
      </c>
      <c r="J1142" s="63" t="s">
        <v>532</v>
      </c>
      <c r="K1142" s="64" t="s">
        <v>802</v>
      </c>
      <c r="L1142" s="63" t="s">
        <v>87</v>
      </c>
      <c r="M1142" s="63" t="s">
        <v>5781</v>
      </c>
      <c r="N1142" s="65">
        <v>45443</v>
      </c>
    </row>
    <row r="1143" spans="1:20" customFormat="1" ht="14.45" customHeight="1" x14ac:dyDescent="0.2">
      <c r="A1143" s="59" t="s">
        <v>5402</v>
      </c>
      <c r="B1143" s="60" t="s">
        <v>3987</v>
      </c>
      <c r="C1143" s="60" t="s">
        <v>3989</v>
      </c>
      <c r="D1143" s="40">
        <v>44713</v>
      </c>
      <c r="E1143" s="61" t="s">
        <v>3824</v>
      </c>
      <c r="F1143" s="62" t="s">
        <v>3824</v>
      </c>
      <c r="G1143" s="63" t="s">
        <v>124</v>
      </c>
      <c r="H1143" s="64" t="s">
        <v>3554</v>
      </c>
      <c r="I1143" s="64" t="s">
        <v>2713</v>
      </c>
      <c r="J1143" s="63" t="s">
        <v>533</v>
      </c>
      <c r="K1143" s="64" t="s">
        <v>4548</v>
      </c>
      <c r="L1143" s="63" t="s">
        <v>403</v>
      </c>
      <c r="M1143" s="63" t="s">
        <v>5781</v>
      </c>
      <c r="N1143" s="65">
        <v>45443</v>
      </c>
    </row>
    <row r="1144" spans="1:20" customFormat="1" ht="14.45" customHeight="1" x14ac:dyDescent="0.2">
      <c r="A1144" s="59" t="s">
        <v>3984</v>
      </c>
      <c r="B1144" s="42" t="s">
        <v>3990</v>
      </c>
      <c r="C1144" s="42" t="s">
        <v>3991</v>
      </c>
      <c r="D1144" s="40">
        <v>44721</v>
      </c>
      <c r="E1144" s="41">
        <v>20.100000000000001</v>
      </c>
      <c r="F1144" s="46">
        <v>20.100000000000001</v>
      </c>
      <c r="G1144" s="44" t="s">
        <v>615</v>
      </c>
      <c r="H1144" s="43" t="s">
        <v>2746</v>
      </c>
      <c r="I1144" s="43" t="s">
        <v>2713</v>
      </c>
      <c r="J1144" s="44" t="s">
        <v>532</v>
      </c>
      <c r="K1144" s="48" t="s">
        <v>3992</v>
      </c>
      <c r="L1144" s="52" t="s">
        <v>87</v>
      </c>
      <c r="M1144" s="56">
        <v>0</v>
      </c>
      <c r="N1144" s="45">
        <v>44804</v>
      </c>
      <c r="O1144" s="3"/>
      <c r="P1144" s="3"/>
      <c r="Q1144" s="3"/>
      <c r="R1144" s="3"/>
      <c r="S1144" s="3"/>
      <c r="T1144" s="3"/>
    </row>
    <row r="1145" spans="1:20" customFormat="1" ht="14.45" customHeight="1" x14ac:dyDescent="0.2">
      <c r="A1145" s="59" t="s">
        <v>3985</v>
      </c>
      <c r="B1145" s="42" t="s">
        <v>6002</v>
      </c>
      <c r="C1145" s="42" t="s">
        <v>3993</v>
      </c>
      <c r="D1145" s="40">
        <v>44721</v>
      </c>
      <c r="E1145" s="41"/>
      <c r="F1145" s="46"/>
      <c r="G1145" s="44"/>
      <c r="H1145" s="43" t="s">
        <v>2715</v>
      </c>
      <c r="I1145" s="43" t="s">
        <v>2713</v>
      </c>
      <c r="J1145" s="44" t="s">
        <v>533</v>
      </c>
      <c r="K1145" s="48" t="s">
        <v>3994</v>
      </c>
      <c r="L1145" s="52" t="s">
        <v>403</v>
      </c>
      <c r="M1145" s="56">
        <v>0</v>
      </c>
      <c r="N1145" s="45">
        <v>44773</v>
      </c>
      <c r="O1145" s="3"/>
      <c r="P1145" s="3"/>
      <c r="Q1145" s="3"/>
      <c r="R1145" s="3"/>
      <c r="S1145" s="3"/>
      <c r="T1145" s="3"/>
    </row>
    <row r="1146" spans="1:20" customFormat="1" ht="14.45" customHeight="1" x14ac:dyDescent="0.2">
      <c r="A1146" s="59" t="s">
        <v>3986</v>
      </c>
      <c r="B1146" s="42" t="s">
        <v>6003</v>
      </c>
      <c r="C1146" s="42" t="s">
        <v>3995</v>
      </c>
      <c r="D1146" s="40">
        <v>44721</v>
      </c>
      <c r="E1146" s="41"/>
      <c r="F1146" s="46"/>
      <c r="G1146" s="44"/>
      <c r="H1146" s="43" t="s">
        <v>2715</v>
      </c>
      <c r="I1146" s="43" t="s">
        <v>2713</v>
      </c>
      <c r="J1146" s="44" t="s">
        <v>533</v>
      </c>
      <c r="K1146" s="48" t="s">
        <v>3996</v>
      </c>
      <c r="L1146" s="52" t="s">
        <v>403</v>
      </c>
      <c r="M1146" s="56">
        <v>0</v>
      </c>
      <c r="N1146" s="45">
        <v>44773</v>
      </c>
    </row>
    <row r="1147" spans="1:20" customFormat="1" ht="14.45" customHeight="1" x14ac:dyDescent="0.2">
      <c r="A1147" s="59" t="s">
        <v>4371</v>
      </c>
      <c r="B1147" s="42" t="s">
        <v>1362</v>
      </c>
      <c r="C1147" s="42" t="s">
        <v>4313</v>
      </c>
      <c r="D1147" s="40">
        <v>44722</v>
      </c>
      <c r="E1147" s="41">
        <v>20</v>
      </c>
      <c r="F1147" s="46">
        <v>20</v>
      </c>
      <c r="G1147" s="44" t="s">
        <v>55</v>
      </c>
      <c r="H1147" s="43" t="s">
        <v>2722</v>
      </c>
      <c r="I1147" s="43" t="s">
        <v>2713</v>
      </c>
      <c r="J1147" s="44" t="s">
        <v>531</v>
      </c>
      <c r="K1147" s="48" t="s">
        <v>4314</v>
      </c>
      <c r="L1147" s="52" t="s">
        <v>34</v>
      </c>
      <c r="M1147" s="56">
        <v>0</v>
      </c>
      <c r="N1147" s="45">
        <v>44926</v>
      </c>
      <c r="O1147" s="3"/>
      <c r="P1147" s="3"/>
      <c r="Q1147" s="3"/>
      <c r="R1147" s="3"/>
      <c r="S1147" s="3"/>
      <c r="T1147" s="3"/>
    </row>
    <row r="1148" spans="1:20" customFormat="1" ht="14.45" customHeight="1" x14ac:dyDescent="0.2">
      <c r="A1148" s="59" t="s">
        <v>5403</v>
      </c>
      <c r="B1148" s="60" t="s">
        <v>3844</v>
      </c>
      <c r="C1148" s="60" t="s">
        <v>3997</v>
      </c>
      <c r="D1148" s="40">
        <v>44733</v>
      </c>
      <c r="E1148" s="61">
        <v>20</v>
      </c>
      <c r="F1148" s="62">
        <v>20</v>
      </c>
      <c r="G1148" s="63" t="s">
        <v>55</v>
      </c>
      <c r="H1148" s="64" t="s">
        <v>2728</v>
      </c>
      <c r="I1148" s="64" t="s">
        <v>2713</v>
      </c>
      <c r="J1148" s="63" t="s">
        <v>531</v>
      </c>
      <c r="K1148" s="64" t="s">
        <v>4241</v>
      </c>
      <c r="L1148" s="63" t="s">
        <v>157</v>
      </c>
      <c r="M1148" s="63">
        <v>0</v>
      </c>
      <c r="N1148" s="65">
        <v>45322</v>
      </c>
    </row>
    <row r="1149" spans="1:20" customFormat="1" ht="14.45" customHeight="1" x14ac:dyDescent="0.2">
      <c r="A1149" s="59" t="s">
        <v>5647</v>
      </c>
      <c r="B1149" s="60" t="s">
        <v>3998</v>
      </c>
      <c r="C1149" s="60" t="s">
        <v>3999</v>
      </c>
      <c r="D1149" s="40">
        <v>44735</v>
      </c>
      <c r="E1149" s="61" t="s">
        <v>5812</v>
      </c>
      <c r="F1149" s="62" t="s">
        <v>5812</v>
      </c>
      <c r="G1149" s="63" t="s">
        <v>3505</v>
      </c>
      <c r="H1149" s="64" t="s">
        <v>2737</v>
      </c>
      <c r="I1149" s="64" t="s">
        <v>2713</v>
      </c>
      <c r="J1149" s="63" t="s">
        <v>471</v>
      </c>
      <c r="K1149" s="64" t="s">
        <v>4991</v>
      </c>
      <c r="L1149" s="63" t="s">
        <v>41</v>
      </c>
      <c r="M1149" s="63" t="s">
        <v>5781</v>
      </c>
      <c r="N1149" s="65">
        <v>45443</v>
      </c>
    </row>
    <row r="1150" spans="1:20" customFormat="1" ht="14.45" customHeight="1" x14ac:dyDescent="0.2">
      <c r="A1150" s="59" t="s">
        <v>5404</v>
      </c>
      <c r="B1150" s="60" t="s">
        <v>4000</v>
      </c>
      <c r="C1150" s="60" t="s">
        <v>4001</v>
      </c>
      <c r="D1150" s="40">
        <v>44735</v>
      </c>
      <c r="E1150" s="61" t="s">
        <v>5832</v>
      </c>
      <c r="F1150" s="62" t="s">
        <v>5832</v>
      </c>
      <c r="G1150" s="63" t="s">
        <v>55</v>
      </c>
      <c r="H1150" s="64" t="s">
        <v>3300</v>
      </c>
      <c r="I1150" s="64" t="s">
        <v>2749</v>
      </c>
      <c r="J1150" s="63" t="s">
        <v>393</v>
      </c>
      <c r="K1150" s="64" t="s">
        <v>4497</v>
      </c>
      <c r="L1150" s="63" t="s">
        <v>34</v>
      </c>
      <c r="M1150" s="63" t="s">
        <v>5781</v>
      </c>
      <c r="N1150" s="65">
        <v>45443</v>
      </c>
    </row>
    <row r="1151" spans="1:20" customFormat="1" ht="14.45" customHeight="1" x14ac:dyDescent="0.2">
      <c r="A1151" s="59" t="s">
        <v>5405</v>
      </c>
      <c r="B1151" s="60" t="s">
        <v>3948</v>
      </c>
      <c r="C1151" s="60" t="s">
        <v>4002</v>
      </c>
      <c r="D1151" s="40">
        <v>44735</v>
      </c>
      <c r="E1151" s="61">
        <v>104.2</v>
      </c>
      <c r="F1151" s="62">
        <v>104.2</v>
      </c>
      <c r="G1151" s="63" t="s">
        <v>615</v>
      </c>
      <c r="H1151" s="64" t="s">
        <v>2769</v>
      </c>
      <c r="I1151" s="64" t="s">
        <v>2713</v>
      </c>
      <c r="J1151" s="63" t="s">
        <v>539</v>
      </c>
      <c r="K1151" s="64" t="s">
        <v>5705</v>
      </c>
      <c r="L1151" s="63" t="s">
        <v>157</v>
      </c>
      <c r="M1151" s="63">
        <v>0</v>
      </c>
      <c r="N1151" s="65">
        <v>45351</v>
      </c>
    </row>
    <row r="1152" spans="1:20" customFormat="1" ht="14.45" customHeight="1" x14ac:dyDescent="0.2">
      <c r="A1152" s="59" t="s">
        <v>5406</v>
      </c>
      <c r="B1152" s="60" t="s">
        <v>3208</v>
      </c>
      <c r="C1152" s="60" t="s">
        <v>4003</v>
      </c>
      <c r="D1152" s="40">
        <v>44735</v>
      </c>
      <c r="E1152" s="61">
        <v>20</v>
      </c>
      <c r="F1152" s="62">
        <v>20</v>
      </c>
      <c r="G1152" s="63" t="s">
        <v>615</v>
      </c>
      <c r="H1152" s="64" t="s">
        <v>3221</v>
      </c>
      <c r="I1152" s="64" t="s">
        <v>2713</v>
      </c>
      <c r="J1152" s="63" t="s">
        <v>530</v>
      </c>
      <c r="K1152" s="64" t="s">
        <v>5015</v>
      </c>
      <c r="L1152" s="63" t="s">
        <v>157</v>
      </c>
      <c r="M1152" s="63">
        <v>0</v>
      </c>
      <c r="N1152" s="65">
        <v>45351</v>
      </c>
    </row>
    <row r="1153" spans="1:20" customFormat="1" ht="14.45" customHeight="1" x14ac:dyDescent="0.2">
      <c r="A1153" s="59" t="s">
        <v>5407</v>
      </c>
      <c r="B1153" s="60" t="s">
        <v>3596</v>
      </c>
      <c r="C1153" s="60" t="s">
        <v>4004</v>
      </c>
      <c r="D1153" s="40">
        <v>44742</v>
      </c>
      <c r="E1153" s="61" t="s">
        <v>5833</v>
      </c>
      <c r="F1153" s="62" t="s">
        <v>5833</v>
      </c>
      <c r="G1153" s="63" t="s">
        <v>124</v>
      </c>
      <c r="H1153" s="64" t="s">
        <v>2713</v>
      </c>
      <c r="I1153" s="64" t="s">
        <v>2713</v>
      </c>
      <c r="J1153" s="63" t="s">
        <v>533</v>
      </c>
      <c r="K1153" s="64" t="s">
        <v>4549</v>
      </c>
      <c r="L1153" s="63" t="s">
        <v>403</v>
      </c>
      <c r="M1153" s="63" t="s">
        <v>5781</v>
      </c>
      <c r="N1153" s="65">
        <v>45443</v>
      </c>
    </row>
    <row r="1154" spans="1:20" customFormat="1" ht="14.45" customHeight="1" x14ac:dyDescent="0.2">
      <c r="A1154" s="59" t="s">
        <v>5408</v>
      </c>
      <c r="B1154" s="60" t="s">
        <v>4934</v>
      </c>
      <c r="C1154" s="60" t="s">
        <v>4654</v>
      </c>
      <c r="D1154" s="40">
        <v>44743</v>
      </c>
      <c r="E1154" s="61" t="s">
        <v>5834</v>
      </c>
      <c r="F1154" s="62" t="s">
        <v>5835</v>
      </c>
      <c r="G1154" s="63" t="s">
        <v>615</v>
      </c>
      <c r="H1154" s="64" t="s">
        <v>2712</v>
      </c>
      <c r="I1154" s="64" t="s">
        <v>2713</v>
      </c>
      <c r="J1154" s="63" t="s">
        <v>533</v>
      </c>
      <c r="K1154" s="64" t="s">
        <v>4655</v>
      </c>
      <c r="L1154" s="63" t="s">
        <v>41</v>
      </c>
      <c r="M1154" s="63" t="s">
        <v>5781</v>
      </c>
      <c r="N1154" s="65">
        <v>45443</v>
      </c>
    </row>
    <row r="1155" spans="1:20" customFormat="1" ht="14.45" customHeight="1" x14ac:dyDescent="0.2">
      <c r="A1155" s="59" t="s">
        <v>5409</v>
      </c>
      <c r="B1155" s="60" t="s">
        <v>4934</v>
      </c>
      <c r="C1155" s="60" t="s">
        <v>4719</v>
      </c>
      <c r="D1155" s="40">
        <v>44743</v>
      </c>
      <c r="E1155" s="61" t="s">
        <v>5836</v>
      </c>
      <c r="F1155" s="62" t="s">
        <v>5837</v>
      </c>
      <c r="G1155" s="63" t="s">
        <v>615</v>
      </c>
      <c r="H1155" s="64" t="s">
        <v>2712</v>
      </c>
      <c r="I1155" s="64" t="s">
        <v>2713</v>
      </c>
      <c r="J1155" s="63" t="s">
        <v>533</v>
      </c>
      <c r="K1155" s="64" t="s">
        <v>4720</v>
      </c>
      <c r="L1155" s="63" t="s">
        <v>41</v>
      </c>
      <c r="M1155" s="63" t="s">
        <v>5781</v>
      </c>
      <c r="N1155" s="65">
        <v>45443</v>
      </c>
    </row>
    <row r="1156" spans="1:20" customFormat="1" ht="14.45" customHeight="1" x14ac:dyDescent="0.2">
      <c r="A1156" s="59" t="s">
        <v>5410</v>
      </c>
      <c r="B1156" s="60" t="s">
        <v>4934</v>
      </c>
      <c r="C1156" s="60" t="s">
        <v>4656</v>
      </c>
      <c r="D1156" s="40">
        <v>44743</v>
      </c>
      <c r="E1156" s="61" t="s">
        <v>5838</v>
      </c>
      <c r="F1156" s="62" t="s">
        <v>5839</v>
      </c>
      <c r="G1156" s="63" t="s">
        <v>615</v>
      </c>
      <c r="H1156" s="64" t="s">
        <v>3962</v>
      </c>
      <c r="I1156" s="64" t="s">
        <v>2713</v>
      </c>
      <c r="J1156" s="63" t="s">
        <v>533</v>
      </c>
      <c r="K1156" s="64" t="s">
        <v>4556</v>
      </c>
      <c r="L1156" s="63" t="s">
        <v>403</v>
      </c>
      <c r="M1156" s="63" t="s">
        <v>5781</v>
      </c>
      <c r="N1156" s="65">
        <v>45443</v>
      </c>
    </row>
    <row r="1157" spans="1:20" customFormat="1" ht="14.45" customHeight="1" x14ac:dyDescent="0.2">
      <c r="A1157" s="59" t="s">
        <v>4629</v>
      </c>
      <c r="B1157" s="60" t="s">
        <v>4934</v>
      </c>
      <c r="C1157" s="60" t="s">
        <v>4630</v>
      </c>
      <c r="D1157" s="40" t="s">
        <v>4632</v>
      </c>
      <c r="E1157" s="61">
        <v>102</v>
      </c>
      <c r="F1157" s="62">
        <v>103</v>
      </c>
      <c r="G1157" s="63" t="s">
        <v>615</v>
      </c>
      <c r="H1157" s="64" t="s">
        <v>3554</v>
      </c>
      <c r="I1157" s="64" t="s">
        <v>2713</v>
      </c>
      <c r="J1157" s="63" t="s">
        <v>533</v>
      </c>
      <c r="K1157" s="64" t="s">
        <v>4631</v>
      </c>
      <c r="L1157" s="63" t="s">
        <v>403</v>
      </c>
      <c r="M1157" s="63">
        <v>0</v>
      </c>
      <c r="N1157" s="65">
        <v>45016</v>
      </c>
      <c r="O1157" s="4"/>
      <c r="P1157" s="4"/>
      <c r="Q1157" s="4"/>
      <c r="R1157" s="4"/>
      <c r="S1157" s="4"/>
      <c r="T1157" s="4"/>
    </row>
    <row r="1158" spans="1:20" customFormat="1" ht="14.45" customHeight="1" x14ac:dyDescent="0.2">
      <c r="A1158" s="59" t="s">
        <v>5411</v>
      </c>
      <c r="B1158" s="60" t="s">
        <v>4934</v>
      </c>
      <c r="C1158" s="60" t="s">
        <v>4657</v>
      </c>
      <c r="D1158" s="40">
        <v>44743</v>
      </c>
      <c r="E1158" s="61" t="s">
        <v>5838</v>
      </c>
      <c r="F1158" s="62" t="s">
        <v>5839</v>
      </c>
      <c r="G1158" s="63" t="s">
        <v>615</v>
      </c>
      <c r="H1158" s="64" t="s">
        <v>2716</v>
      </c>
      <c r="I1158" s="64" t="s">
        <v>2713</v>
      </c>
      <c r="J1158" s="63" t="s">
        <v>532</v>
      </c>
      <c r="K1158" s="64" t="s">
        <v>4811</v>
      </c>
      <c r="L1158" s="63" t="s">
        <v>87</v>
      </c>
      <c r="M1158" s="63" t="s">
        <v>5781</v>
      </c>
      <c r="N1158" s="65">
        <v>45443</v>
      </c>
    </row>
    <row r="1159" spans="1:20" customFormat="1" ht="14.45" customHeight="1" x14ac:dyDescent="0.2">
      <c r="A1159" s="59" t="s">
        <v>5412</v>
      </c>
      <c r="B1159" s="60" t="s">
        <v>4934</v>
      </c>
      <c r="C1159" s="60" t="s">
        <v>4797</v>
      </c>
      <c r="D1159" s="40">
        <v>44743</v>
      </c>
      <c r="E1159" s="61" t="s">
        <v>5813</v>
      </c>
      <c r="F1159" s="62" t="s">
        <v>5813</v>
      </c>
      <c r="G1159" s="63" t="s">
        <v>615</v>
      </c>
      <c r="H1159" s="64" t="s">
        <v>2716</v>
      </c>
      <c r="I1159" s="64" t="s">
        <v>2713</v>
      </c>
      <c r="J1159" s="63" t="s">
        <v>532</v>
      </c>
      <c r="K1159" s="64" t="s">
        <v>5413</v>
      </c>
      <c r="L1159" s="63" t="s">
        <v>87</v>
      </c>
      <c r="M1159" s="63" t="s">
        <v>5781</v>
      </c>
      <c r="N1159" s="65">
        <v>45443</v>
      </c>
    </row>
    <row r="1160" spans="1:20" customFormat="1" ht="14.45" customHeight="1" x14ac:dyDescent="0.2">
      <c r="A1160" s="59" t="s">
        <v>5263</v>
      </c>
      <c r="B1160" s="60" t="s">
        <v>4055</v>
      </c>
      <c r="C1160" s="60" t="s">
        <v>4056</v>
      </c>
      <c r="D1160" s="40">
        <v>44753</v>
      </c>
      <c r="E1160" s="61" t="s">
        <v>5800</v>
      </c>
      <c r="F1160" s="62" t="s">
        <v>5800</v>
      </c>
      <c r="G1160" s="63" t="s">
        <v>615</v>
      </c>
      <c r="H1160" s="64" t="s">
        <v>2716</v>
      </c>
      <c r="I1160" s="64" t="s">
        <v>2713</v>
      </c>
      <c r="J1160" s="63" t="s">
        <v>532</v>
      </c>
      <c r="K1160" s="64" t="s">
        <v>4242</v>
      </c>
      <c r="L1160" s="63" t="s">
        <v>87</v>
      </c>
      <c r="M1160" s="63" t="s">
        <v>5781</v>
      </c>
      <c r="N1160" s="65">
        <v>45443</v>
      </c>
    </row>
    <row r="1161" spans="1:20" customFormat="1" ht="14.45" customHeight="1" x14ac:dyDescent="0.2">
      <c r="A1161" s="59" t="s">
        <v>5414</v>
      </c>
      <c r="B1161" s="60" t="s">
        <v>4346</v>
      </c>
      <c r="C1161" s="60" t="s">
        <v>4347</v>
      </c>
      <c r="D1161" s="40">
        <v>44756</v>
      </c>
      <c r="E1161" s="61">
        <v>120</v>
      </c>
      <c r="F1161" s="62">
        <v>120</v>
      </c>
      <c r="G1161" s="63" t="s">
        <v>55</v>
      </c>
      <c r="H1161" s="64" t="s">
        <v>4348</v>
      </c>
      <c r="I1161" s="64" t="s">
        <v>2749</v>
      </c>
      <c r="J1161" s="63" t="s">
        <v>393</v>
      </c>
      <c r="K1161" s="64" t="s">
        <v>1545</v>
      </c>
      <c r="L1161" s="63" t="s">
        <v>34</v>
      </c>
      <c r="M1161" s="63">
        <v>0</v>
      </c>
      <c r="N1161" s="65">
        <v>45565</v>
      </c>
    </row>
    <row r="1162" spans="1:20" customFormat="1" ht="14.45" customHeight="1" x14ac:dyDescent="0.2">
      <c r="A1162" s="59" t="s">
        <v>5415</v>
      </c>
      <c r="B1162" s="60" t="s">
        <v>4007</v>
      </c>
      <c r="C1162" s="60" t="s">
        <v>4008</v>
      </c>
      <c r="D1162" s="40">
        <v>44758</v>
      </c>
      <c r="E1162" s="61" t="s">
        <v>5812</v>
      </c>
      <c r="F1162" s="62" t="s">
        <v>5812</v>
      </c>
      <c r="G1162" s="63" t="s">
        <v>615</v>
      </c>
      <c r="H1162" s="64" t="s">
        <v>2777</v>
      </c>
      <c r="I1162" s="64" t="s">
        <v>2713</v>
      </c>
      <c r="J1162" s="63" t="s">
        <v>471</v>
      </c>
      <c r="K1162" s="64" t="s">
        <v>4916</v>
      </c>
      <c r="L1162" s="63" t="s">
        <v>157</v>
      </c>
      <c r="M1162" s="63" t="s">
        <v>5781</v>
      </c>
      <c r="N1162" s="65">
        <v>45443</v>
      </c>
    </row>
    <row r="1163" spans="1:20" customFormat="1" ht="14.45" customHeight="1" x14ac:dyDescent="0.2">
      <c r="A1163" s="59" t="s">
        <v>5082</v>
      </c>
      <c r="B1163" s="60" t="s">
        <v>4009</v>
      </c>
      <c r="C1163" s="60" t="s">
        <v>4010</v>
      </c>
      <c r="D1163" s="40">
        <v>44764</v>
      </c>
      <c r="E1163" s="61">
        <v>19.899999999999999</v>
      </c>
      <c r="F1163" s="62">
        <v>19.899999999999999</v>
      </c>
      <c r="G1163" s="63" t="s">
        <v>615</v>
      </c>
      <c r="H1163" s="64" t="s">
        <v>401</v>
      </c>
      <c r="I1163" s="64" t="s">
        <v>2713</v>
      </c>
      <c r="J1163" s="63" t="s">
        <v>393</v>
      </c>
      <c r="K1163" s="64" t="s">
        <v>4243</v>
      </c>
      <c r="L1163" s="63" t="s">
        <v>157</v>
      </c>
      <c r="M1163" s="63">
        <v>0</v>
      </c>
      <c r="N1163" s="65">
        <v>45230</v>
      </c>
    </row>
    <row r="1164" spans="1:20" customFormat="1" ht="14.45" customHeight="1" x14ac:dyDescent="0.2">
      <c r="A1164" s="59" t="s">
        <v>4005</v>
      </c>
      <c r="B1164" s="60" t="s">
        <v>3581</v>
      </c>
      <c r="C1164" s="60" t="s">
        <v>4011</v>
      </c>
      <c r="D1164" s="40">
        <v>44764</v>
      </c>
      <c r="E1164" s="61">
        <v>19.899999999999999</v>
      </c>
      <c r="F1164" s="62">
        <v>19.899999999999999</v>
      </c>
      <c r="G1164" s="63" t="s">
        <v>615</v>
      </c>
      <c r="H1164" s="64" t="s">
        <v>2766</v>
      </c>
      <c r="I1164" s="64" t="s">
        <v>2713</v>
      </c>
      <c r="J1164" s="63" t="s">
        <v>393</v>
      </c>
      <c r="K1164" s="64" t="s">
        <v>4012</v>
      </c>
      <c r="L1164" s="63" t="s">
        <v>157</v>
      </c>
      <c r="M1164" s="63">
        <v>0</v>
      </c>
      <c r="N1164" s="65">
        <v>45138</v>
      </c>
    </row>
    <row r="1165" spans="1:20" customFormat="1" ht="14.45" customHeight="1" x14ac:dyDescent="0.2">
      <c r="A1165" s="59" t="s">
        <v>4006</v>
      </c>
      <c r="B1165" s="60" t="s">
        <v>3948</v>
      </c>
      <c r="C1165" s="60" t="s">
        <v>4013</v>
      </c>
      <c r="D1165" s="40" t="s">
        <v>4244</v>
      </c>
      <c r="E1165" s="61">
        <v>57</v>
      </c>
      <c r="F1165" s="62">
        <v>57</v>
      </c>
      <c r="G1165" s="63" t="s">
        <v>615</v>
      </c>
      <c r="H1165" s="64" t="s">
        <v>2796</v>
      </c>
      <c r="I1165" s="64" t="s">
        <v>2713</v>
      </c>
      <c r="J1165" s="63" t="s">
        <v>471</v>
      </c>
      <c r="K1165" s="64" t="s">
        <v>4245</v>
      </c>
      <c r="L1165" s="63" t="s">
        <v>4131</v>
      </c>
      <c r="M1165" s="63">
        <v>0</v>
      </c>
      <c r="N1165" s="65">
        <v>45016</v>
      </c>
      <c r="O1165" s="3"/>
      <c r="P1165" s="3"/>
      <c r="Q1165" s="3"/>
      <c r="R1165" s="3"/>
      <c r="S1165" s="3"/>
      <c r="T1165" s="3"/>
    </row>
    <row r="1166" spans="1:20" customFormat="1" ht="14.45" customHeight="1" x14ac:dyDescent="0.2">
      <c r="A1166" s="59" t="s">
        <v>5416</v>
      </c>
      <c r="B1166" s="60" t="s">
        <v>4214</v>
      </c>
      <c r="C1166" s="60" t="s">
        <v>3851</v>
      </c>
      <c r="D1166" s="40">
        <v>44799</v>
      </c>
      <c r="E1166" s="61">
        <v>250</v>
      </c>
      <c r="F1166" s="62">
        <v>250</v>
      </c>
      <c r="G1166" s="63" t="s">
        <v>615</v>
      </c>
      <c r="H1166" s="64" t="s">
        <v>2717</v>
      </c>
      <c r="I1166" s="64" t="s">
        <v>2713</v>
      </c>
      <c r="J1166" s="63" t="s">
        <v>539</v>
      </c>
      <c r="K1166" s="64" t="s">
        <v>4550</v>
      </c>
      <c r="L1166" s="63" t="s">
        <v>2558</v>
      </c>
      <c r="M1166" s="63" t="s">
        <v>5781</v>
      </c>
      <c r="N1166" s="65">
        <v>45504</v>
      </c>
    </row>
    <row r="1167" spans="1:20" customFormat="1" ht="14.45" customHeight="1" x14ac:dyDescent="0.2">
      <c r="A1167" s="59" t="s">
        <v>7288</v>
      </c>
      <c r="B1167" s="60" t="s">
        <v>1420</v>
      </c>
      <c r="C1167" s="60" t="s">
        <v>1420</v>
      </c>
      <c r="D1167" s="40">
        <v>44771</v>
      </c>
      <c r="E1167" s="61">
        <v>19.600000000000001</v>
      </c>
      <c r="F1167" s="62">
        <v>19.600000000000001</v>
      </c>
      <c r="G1167" s="63" t="s">
        <v>55</v>
      </c>
      <c r="H1167" s="64" t="s">
        <v>2766</v>
      </c>
      <c r="I1167" s="64" t="s">
        <v>2713</v>
      </c>
      <c r="J1167" s="63" t="s">
        <v>393</v>
      </c>
      <c r="K1167" s="64" t="s">
        <v>7287</v>
      </c>
      <c r="L1167" s="63" t="s">
        <v>34</v>
      </c>
      <c r="M1167" s="63" t="s">
        <v>5781</v>
      </c>
      <c r="N1167" s="65">
        <v>45626</v>
      </c>
    </row>
    <row r="1168" spans="1:20" customFormat="1" ht="14.45" customHeight="1" x14ac:dyDescent="0.2">
      <c r="A1168" s="59" t="s">
        <v>4642</v>
      </c>
      <c r="B1168" s="60" t="s">
        <v>3948</v>
      </c>
      <c r="C1168" s="60" t="s">
        <v>4643</v>
      </c>
      <c r="D1168" s="40" t="s">
        <v>4645</v>
      </c>
      <c r="E1168" s="61">
        <v>62.5</v>
      </c>
      <c r="F1168" s="62">
        <v>62.5</v>
      </c>
      <c r="G1168" s="63" t="s">
        <v>615</v>
      </c>
      <c r="H1168" s="64" t="s">
        <v>2699</v>
      </c>
      <c r="I1168" s="64" t="s">
        <v>2713</v>
      </c>
      <c r="J1168" s="63" t="s">
        <v>471</v>
      </c>
      <c r="K1168" s="64" t="s">
        <v>4644</v>
      </c>
      <c r="L1168" s="63" t="s">
        <v>157</v>
      </c>
      <c r="M1168" s="63">
        <v>0</v>
      </c>
      <c r="N1168" s="65">
        <v>45016</v>
      </c>
      <c r="O1168" s="3"/>
      <c r="P1168" s="3"/>
      <c r="Q1168" s="3"/>
      <c r="R1168" s="3"/>
      <c r="S1168" s="3"/>
      <c r="T1168" s="3"/>
    </row>
    <row r="1169" spans="1:20" customFormat="1" ht="14.45" customHeight="1" x14ac:dyDescent="0.2">
      <c r="A1169" s="59" t="s">
        <v>4016</v>
      </c>
      <c r="B1169" s="60" t="s">
        <v>4055</v>
      </c>
      <c r="C1169" s="60" t="s">
        <v>4057</v>
      </c>
      <c r="D1169" s="40">
        <v>44783</v>
      </c>
      <c r="E1169" s="61">
        <v>20</v>
      </c>
      <c r="F1169" s="62">
        <v>20</v>
      </c>
      <c r="G1169" s="63" t="s">
        <v>615</v>
      </c>
      <c r="H1169" s="64" t="s">
        <v>2716</v>
      </c>
      <c r="I1169" s="64" t="s">
        <v>2713</v>
      </c>
      <c r="J1169" s="63" t="s">
        <v>532</v>
      </c>
      <c r="K1169" s="64" t="s">
        <v>4145</v>
      </c>
      <c r="L1169" s="63" t="s">
        <v>87</v>
      </c>
      <c r="M1169" s="63">
        <v>0</v>
      </c>
      <c r="N1169" s="65">
        <v>44985</v>
      </c>
      <c r="O1169" s="3"/>
      <c r="P1169" s="3"/>
      <c r="Q1169" s="3"/>
      <c r="R1169" s="3"/>
      <c r="S1169" s="3"/>
      <c r="T1169" s="3"/>
    </row>
    <row r="1170" spans="1:20" customFormat="1" ht="14.45" customHeight="1" x14ac:dyDescent="0.2">
      <c r="A1170" s="59" t="s">
        <v>5417</v>
      </c>
      <c r="B1170" s="60" t="s">
        <v>4721</v>
      </c>
      <c r="C1170" s="60" t="s">
        <v>4019</v>
      </c>
      <c r="D1170" s="40">
        <v>44783</v>
      </c>
      <c r="E1170" s="61">
        <v>70</v>
      </c>
      <c r="F1170" s="62">
        <v>70</v>
      </c>
      <c r="G1170" s="63" t="s">
        <v>615</v>
      </c>
      <c r="H1170" s="64" t="s">
        <v>3154</v>
      </c>
      <c r="I1170" s="64" t="s">
        <v>2713</v>
      </c>
      <c r="J1170" s="63" t="s">
        <v>539</v>
      </c>
      <c r="K1170" s="64" t="s">
        <v>4722</v>
      </c>
      <c r="L1170" s="63" t="s">
        <v>1162</v>
      </c>
      <c r="M1170" s="63" t="s">
        <v>5781</v>
      </c>
      <c r="N1170" s="65">
        <v>45535</v>
      </c>
    </row>
    <row r="1171" spans="1:20" customFormat="1" ht="14.45" customHeight="1" x14ac:dyDescent="0.2">
      <c r="A1171" s="59" t="s">
        <v>4017</v>
      </c>
      <c r="B1171" s="42" t="s">
        <v>4020</v>
      </c>
      <c r="C1171" s="42" t="s">
        <v>4021</v>
      </c>
      <c r="D1171" s="40">
        <v>44783</v>
      </c>
      <c r="E1171" s="41">
        <v>100</v>
      </c>
      <c r="F1171" s="46">
        <v>100</v>
      </c>
      <c r="G1171" s="44" t="s">
        <v>55</v>
      </c>
      <c r="H1171" s="43" t="s">
        <v>2699</v>
      </c>
      <c r="I1171" s="43" t="s">
        <v>2713</v>
      </c>
      <c r="J1171" s="44" t="s">
        <v>471</v>
      </c>
      <c r="K1171" s="48" t="s">
        <v>4022</v>
      </c>
      <c r="L1171" s="52" t="s">
        <v>157</v>
      </c>
      <c r="M1171" s="56">
        <v>0</v>
      </c>
      <c r="N1171" s="45">
        <v>44834</v>
      </c>
    </row>
    <row r="1172" spans="1:20" customFormat="1" ht="14.45" customHeight="1" x14ac:dyDescent="0.2">
      <c r="A1172" s="59" t="s">
        <v>4372</v>
      </c>
      <c r="B1172" s="42" t="s">
        <v>3396</v>
      </c>
      <c r="C1172" s="42" t="s">
        <v>4315</v>
      </c>
      <c r="D1172" s="40">
        <v>44784</v>
      </c>
      <c r="E1172" s="41">
        <v>22.5</v>
      </c>
      <c r="F1172" s="46">
        <v>22.5</v>
      </c>
      <c r="G1172" s="44" t="s">
        <v>615</v>
      </c>
      <c r="H1172" s="43" t="s">
        <v>2719</v>
      </c>
      <c r="I1172" s="43" t="s">
        <v>2713</v>
      </c>
      <c r="J1172" s="44" t="s">
        <v>533</v>
      </c>
      <c r="K1172" s="48" t="s">
        <v>3747</v>
      </c>
      <c r="L1172" s="52" t="s">
        <v>403</v>
      </c>
      <c r="M1172" s="56">
        <v>0</v>
      </c>
      <c r="N1172" s="45">
        <v>44926</v>
      </c>
      <c r="O1172" s="3"/>
      <c r="P1172" s="3"/>
      <c r="Q1172" s="3"/>
      <c r="R1172" s="3"/>
      <c r="S1172" s="3"/>
      <c r="T1172" s="3"/>
    </row>
    <row r="1173" spans="1:20" customFormat="1" ht="14.45" customHeight="1" x14ac:dyDescent="0.2">
      <c r="A1173" s="59" t="s">
        <v>4018</v>
      </c>
      <c r="B1173" s="60" t="s">
        <v>3948</v>
      </c>
      <c r="C1173" s="60" t="s">
        <v>4023</v>
      </c>
      <c r="D1173" s="40">
        <v>44788</v>
      </c>
      <c r="E1173" s="61">
        <v>162.5</v>
      </c>
      <c r="F1173" s="62">
        <v>162.5</v>
      </c>
      <c r="G1173" s="63" t="s">
        <v>615</v>
      </c>
      <c r="H1173" s="64" t="s">
        <v>2794</v>
      </c>
      <c r="I1173" s="64" t="s">
        <v>2713</v>
      </c>
      <c r="J1173" s="63" t="s">
        <v>318</v>
      </c>
      <c r="K1173" s="64" t="s">
        <v>4247</v>
      </c>
      <c r="L1173" s="63" t="s">
        <v>34</v>
      </c>
      <c r="M1173" s="63">
        <v>0</v>
      </c>
      <c r="N1173" s="65">
        <v>44985</v>
      </c>
    </row>
    <row r="1174" spans="1:20" customFormat="1" ht="14.45" customHeight="1" x14ac:dyDescent="0.2">
      <c r="A1174" s="59" t="s">
        <v>5418</v>
      </c>
      <c r="B1174" s="60" t="s">
        <v>3388</v>
      </c>
      <c r="C1174" s="60" t="s">
        <v>4024</v>
      </c>
      <c r="D1174" s="40">
        <v>44792</v>
      </c>
      <c r="E1174" s="61">
        <v>118</v>
      </c>
      <c r="F1174" s="62">
        <v>118</v>
      </c>
      <c r="G1174" s="63" t="s">
        <v>124</v>
      </c>
      <c r="H1174" s="64" t="s">
        <v>2731</v>
      </c>
      <c r="I1174" s="64" t="s">
        <v>2713</v>
      </c>
      <c r="J1174" s="63" t="s">
        <v>393</v>
      </c>
      <c r="K1174" s="64" t="s">
        <v>4551</v>
      </c>
      <c r="L1174" s="63" t="s">
        <v>34</v>
      </c>
      <c r="M1174" s="63" t="s">
        <v>5781</v>
      </c>
      <c r="N1174" s="65">
        <v>45443</v>
      </c>
    </row>
    <row r="1175" spans="1:20" customFormat="1" ht="14.45" customHeight="1" x14ac:dyDescent="0.2">
      <c r="A1175" s="59" t="s">
        <v>5419</v>
      </c>
      <c r="B1175" s="42" t="s">
        <v>4658</v>
      </c>
      <c r="C1175" s="42" t="s">
        <v>4659</v>
      </c>
      <c r="D1175" s="40">
        <v>44795</v>
      </c>
      <c r="E1175" s="41">
        <v>20</v>
      </c>
      <c r="F1175" s="46">
        <v>20</v>
      </c>
      <c r="G1175" s="44" t="s">
        <v>3505</v>
      </c>
      <c r="H1175" s="43" t="s">
        <v>2788</v>
      </c>
      <c r="I1175" s="43" t="s">
        <v>2713</v>
      </c>
      <c r="J1175" s="44" t="s">
        <v>530</v>
      </c>
      <c r="K1175" s="48" t="s">
        <v>4723</v>
      </c>
      <c r="L1175" s="52" t="s">
        <v>157</v>
      </c>
      <c r="M1175" s="44" t="s">
        <v>5781</v>
      </c>
      <c r="N1175" s="45">
        <v>45473</v>
      </c>
      <c r="O1175" s="4"/>
      <c r="P1175" s="4"/>
      <c r="Q1175" s="4"/>
      <c r="R1175" s="4"/>
      <c r="S1175" s="4"/>
      <c r="T1175" s="4"/>
    </row>
    <row r="1176" spans="1:20" customFormat="1" ht="14.45" customHeight="1" x14ac:dyDescent="0.2">
      <c r="A1176" s="59" t="s">
        <v>5420</v>
      </c>
      <c r="B1176" s="60" t="s">
        <v>4025</v>
      </c>
      <c r="C1176" s="60" t="s">
        <v>4026</v>
      </c>
      <c r="D1176" s="40">
        <v>44797</v>
      </c>
      <c r="E1176" s="61">
        <v>1350</v>
      </c>
      <c r="F1176" s="62">
        <v>1350</v>
      </c>
      <c r="G1176" s="63" t="s">
        <v>124</v>
      </c>
      <c r="H1176" s="64" t="s">
        <v>2715</v>
      </c>
      <c r="I1176" s="64" t="s">
        <v>2713</v>
      </c>
      <c r="J1176" s="63" t="s">
        <v>533</v>
      </c>
      <c r="K1176" s="64" t="s">
        <v>3731</v>
      </c>
      <c r="L1176" s="63" t="s">
        <v>4027</v>
      </c>
      <c r="M1176" s="63" t="s">
        <v>5781</v>
      </c>
      <c r="N1176" s="65">
        <v>45443</v>
      </c>
    </row>
    <row r="1177" spans="1:20" customFormat="1" ht="14.45" customHeight="1" x14ac:dyDescent="0.2">
      <c r="A1177" s="59" t="s">
        <v>5421</v>
      </c>
      <c r="B1177" s="60" t="s">
        <v>4249</v>
      </c>
      <c r="C1177" s="60" t="s">
        <v>4250</v>
      </c>
      <c r="D1177" s="40">
        <v>44798</v>
      </c>
      <c r="E1177" s="61">
        <v>100</v>
      </c>
      <c r="F1177" s="62">
        <v>100</v>
      </c>
      <c r="G1177" s="63" t="s">
        <v>55</v>
      </c>
      <c r="H1177" s="64" t="s">
        <v>2699</v>
      </c>
      <c r="I1177" s="64" t="s">
        <v>2713</v>
      </c>
      <c r="J1177" s="63" t="s">
        <v>471</v>
      </c>
      <c r="K1177" s="64" t="s">
        <v>5016</v>
      </c>
      <c r="L1177" s="63" t="s">
        <v>157</v>
      </c>
      <c r="M1177" s="63" t="s">
        <v>5781</v>
      </c>
      <c r="N1177" s="65">
        <v>45443</v>
      </c>
    </row>
    <row r="1178" spans="1:20" customFormat="1" ht="14.45" customHeight="1" x14ac:dyDescent="0.2">
      <c r="A1178" s="59" t="s">
        <v>5422</v>
      </c>
      <c r="B1178" s="60" t="s">
        <v>4251</v>
      </c>
      <c r="C1178" s="60" t="s">
        <v>4252</v>
      </c>
      <c r="D1178" s="40">
        <v>44802</v>
      </c>
      <c r="E1178" s="61">
        <v>186.2</v>
      </c>
      <c r="F1178" s="62">
        <v>186.2</v>
      </c>
      <c r="G1178" s="63" t="s">
        <v>615</v>
      </c>
      <c r="H1178" s="64" t="s">
        <v>2722</v>
      </c>
      <c r="I1178" s="64" t="s">
        <v>2713</v>
      </c>
      <c r="J1178" s="63" t="s">
        <v>531</v>
      </c>
      <c r="K1178" s="64" t="s">
        <v>4552</v>
      </c>
      <c r="L1178" s="63" t="s">
        <v>34</v>
      </c>
      <c r="M1178" s="63" t="s">
        <v>5781</v>
      </c>
      <c r="N1178" s="65">
        <v>45443</v>
      </c>
    </row>
    <row r="1179" spans="1:20" customFormat="1" ht="14.45" customHeight="1" x14ac:dyDescent="0.2">
      <c r="A1179" s="59" t="s">
        <v>4553</v>
      </c>
      <c r="B1179" s="60" t="s">
        <v>4028</v>
      </c>
      <c r="C1179" s="60" t="s">
        <v>4554</v>
      </c>
      <c r="D1179" s="40" t="s">
        <v>4074</v>
      </c>
      <c r="E1179" s="61">
        <v>20</v>
      </c>
      <c r="F1179" s="62">
        <v>20</v>
      </c>
      <c r="G1179" s="63" t="s">
        <v>3505</v>
      </c>
      <c r="H1179" s="64" t="s">
        <v>2735</v>
      </c>
      <c r="I1179" s="64" t="s">
        <v>2713</v>
      </c>
      <c r="J1179" s="63" t="s">
        <v>420</v>
      </c>
      <c r="K1179" s="64" t="s">
        <v>4555</v>
      </c>
      <c r="L1179" s="63" t="s">
        <v>34</v>
      </c>
      <c r="M1179" s="63">
        <v>0</v>
      </c>
      <c r="N1179" s="65">
        <v>45046</v>
      </c>
    </row>
    <row r="1180" spans="1:20" customFormat="1" ht="14.45" customHeight="1" x14ac:dyDescent="0.2">
      <c r="A1180" s="59" t="s">
        <v>4253</v>
      </c>
      <c r="B1180" s="60" t="s">
        <v>4028</v>
      </c>
      <c r="C1180" s="60" t="s">
        <v>4254</v>
      </c>
      <c r="D1180" s="40" t="s">
        <v>4074</v>
      </c>
      <c r="E1180" s="61">
        <v>19.8</v>
      </c>
      <c r="F1180" s="62">
        <v>19.8</v>
      </c>
      <c r="G1180" s="63" t="s">
        <v>3505</v>
      </c>
      <c r="H1180" s="64" t="s">
        <v>2699</v>
      </c>
      <c r="I1180" s="64" t="s">
        <v>2713</v>
      </c>
      <c r="J1180" s="63" t="s">
        <v>471</v>
      </c>
      <c r="K1180" s="64" t="s">
        <v>4349</v>
      </c>
      <c r="L1180" s="63" t="s">
        <v>157</v>
      </c>
      <c r="M1180" s="63">
        <v>0</v>
      </c>
      <c r="N1180" s="65">
        <v>45016</v>
      </c>
      <c r="O1180" s="4"/>
      <c r="P1180" s="4"/>
      <c r="Q1180" s="4"/>
      <c r="R1180" s="4"/>
      <c r="S1180" s="4"/>
      <c r="T1180" s="4"/>
    </row>
    <row r="1181" spans="1:20" customFormat="1" ht="14.45" customHeight="1" x14ac:dyDescent="0.2">
      <c r="A1181" s="59" t="s">
        <v>4255</v>
      </c>
      <c r="B1181" s="60" t="s">
        <v>4028</v>
      </c>
      <c r="C1181" s="60" t="s">
        <v>4256</v>
      </c>
      <c r="D1181" s="40" t="s">
        <v>4074</v>
      </c>
      <c r="E1181" s="61">
        <v>20</v>
      </c>
      <c r="F1181" s="62">
        <v>20</v>
      </c>
      <c r="G1181" s="63" t="s">
        <v>3505</v>
      </c>
      <c r="H1181" s="64" t="s">
        <v>2788</v>
      </c>
      <c r="I1181" s="64" t="s">
        <v>2713</v>
      </c>
      <c r="J1181" s="63" t="s">
        <v>530</v>
      </c>
      <c r="K1181" s="64" t="s">
        <v>4691</v>
      </c>
      <c r="L1181" s="63" t="s">
        <v>157</v>
      </c>
      <c r="M1181" s="63">
        <v>0</v>
      </c>
      <c r="N1181" s="65">
        <v>45046</v>
      </c>
    </row>
    <row r="1182" spans="1:20" customFormat="1" ht="14.45" customHeight="1" x14ac:dyDescent="0.2">
      <c r="A1182" s="59" t="s">
        <v>5584</v>
      </c>
      <c r="B1182" s="60" t="s">
        <v>4028</v>
      </c>
      <c r="C1182" s="60" t="s">
        <v>4257</v>
      </c>
      <c r="D1182" s="40">
        <v>44804</v>
      </c>
      <c r="E1182" s="61">
        <v>19.8</v>
      </c>
      <c r="F1182" s="62">
        <v>19.8</v>
      </c>
      <c r="G1182" s="63" t="s">
        <v>615</v>
      </c>
      <c r="H1182" s="64" t="s">
        <v>2788</v>
      </c>
      <c r="I1182" s="64" t="s">
        <v>2713</v>
      </c>
      <c r="J1182" s="63" t="s">
        <v>530</v>
      </c>
      <c r="K1182" s="64" t="s">
        <v>4724</v>
      </c>
      <c r="L1182" s="63" t="s">
        <v>157</v>
      </c>
      <c r="M1182" s="63">
        <v>0</v>
      </c>
      <c r="N1182" s="65">
        <v>45260</v>
      </c>
    </row>
    <row r="1183" spans="1:20" customFormat="1" ht="14.45" customHeight="1" x14ac:dyDescent="0.2">
      <c r="A1183" s="59" t="s">
        <v>4636</v>
      </c>
      <c r="B1183" s="60" t="s">
        <v>4028</v>
      </c>
      <c r="C1183" s="60" t="s">
        <v>4637</v>
      </c>
      <c r="D1183" s="40" t="s">
        <v>4074</v>
      </c>
      <c r="E1183" s="61">
        <v>19.8</v>
      </c>
      <c r="F1183" s="62">
        <v>19.8</v>
      </c>
      <c r="G1183" s="63" t="s">
        <v>615</v>
      </c>
      <c r="H1183" s="64" t="s">
        <v>2699</v>
      </c>
      <c r="I1183" s="64" t="s">
        <v>2713</v>
      </c>
      <c r="J1183" s="63" t="s">
        <v>471</v>
      </c>
      <c r="K1183" s="64" t="s">
        <v>4638</v>
      </c>
      <c r="L1183" s="63" t="s">
        <v>157</v>
      </c>
      <c r="M1183" s="63">
        <v>0</v>
      </c>
      <c r="N1183" s="65">
        <v>45016</v>
      </c>
      <c r="O1183" s="4"/>
      <c r="P1183" s="4"/>
      <c r="Q1183" s="4"/>
      <c r="R1183" s="4"/>
      <c r="S1183" s="4"/>
      <c r="T1183" s="4"/>
    </row>
    <row r="1184" spans="1:20" customFormat="1" ht="14.45" customHeight="1" x14ac:dyDescent="0.2">
      <c r="A1184" s="59" t="s">
        <v>4639</v>
      </c>
      <c r="B1184" s="60" t="s">
        <v>4028</v>
      </c>
      <c r="C1184" s="60" t="s">
        <v>4640</v>
      </c>
      <c r="D1184" s="40" t="s">
        <v>4074</v>
      </c>
      <c r="E1184" s="61">
        <v>20</v>
      </c>
      <c r="F1184" s="62">
        <v>20</v>
      </c>
      <c r="G1184" s="63" t="s">
        <v>615</v>
      </c>
      <c r="H1184" s="64" t="s">
        <v>2735</v>
      </c>
      <c r="I1184" s="64" t="s">
        <v>2713</v>
      </c>
      <c r="J1184" s="63" t="s">
        <v>420</v>
      </c>
      <c r="K1184" s="64" t="s">
        <v>4641</v>
      </c>
      <c r="L1184" s="63" t="s">
        <v>34</v>
      </c>
      <c r="M1184" s="63">
        <v>0</v>
      </c>
      <c r="N1184" s="65">
        <v>45016</v>
      </c>
      <c r="O1184" s="4"/>
      <c r="P1184" s="4"/>
      <c r="Q1184" s="4"/>
      <c r="R1184" s="4"/>
      <c r="S1184" s="4"/>
      <c r="T1184" s="4"/>
    </row>
    <row r="1185" spans="1:20" customFormat="1" ht="14.45" customHeight="1" x14ac:dyDescent="0.2">
      <c r="A1185" s="59" t="s">
        <v>5423</v>
      </c>
      <c r="B1185" s="60" t="s">
        <v>4030</v>
      </c>
      <c r="C1185" s="60" t="s">
        <v>4031</v>
      </c>
      <c r="D1185" s="40">
        <v>44805</v>
      </c>
      <c r="E1185" s="61">
        <v>1350</v>
      </c>
      <c r="F1185" s="62">
        <v>1350</v>
      </c>
      <c r="G1185" s="63" t="s">
        <v>124</v>
      </c>
      <c r="H1185" s="64" t="s">
        <v>4350</v>
      </c>
      <c r="I1185" s="64" t="s">
        <v>2713</v>
      </c>
      <c r="J1185" s="63" t="s">
        <v>533</v>
      </c>
      <c r="K1185" s="64" t="s">
        <v>1780</v>
      </c>
      <c r="L1185" s="63" t="s">
        <v>403</v>
      </c>
      <c r="M1185" s="63" t="s">
        <v>5781</v>
      </c>
      <c r="N1185" s="65">
        <v>45443</v>
      </c>
    </row>
    <row r="1186" spans="1:20" customFormat="1" ht="14.45" customHeight="1" x14ac:dyDescent="0.2">
      <c r="A1186" s="59" t="s">
        <v>4259</v>
      </c>
      <c r="B1186" s="60" t="s">
        <v>3948</v>
      </c>
      <c r="C1186" s="60" t="s">
        <v>4260</v>
      </c>
      <c r="D1186" s="40" t="s">
        <v>4258</v>
      </c>
      <c r="E1186" s="61">
        <v>45.7</v>
      </c>
      <c r="F1186" s="62">
        <v>45.7</v>
      </c>
      <c r="G1186" s="63" t="s">
        <v>615</v>
      </c>
      <c r="H1186" s="64" t="s">
        <v>2716</v>
      </c>
      <c r="I1186" s="64" t="s">
        <v>2713</v>
      </c>
      <c r="J1186" s="63" t="s">
        <v>532</v>
      </c>
      <c r="K1186" s="64" t="s">
        <v>4261</v>
      </c>
      <c r="L1186" s="63" t="s">
        <v>87</v>
      </c>
      <c r="M1186" s="63">
        <v>0</v>
      </c>
      <c r="N1186" s="65">
        <v>45016</v>
      </c>
      <c r="O1186" s="4"/>
      <c r="P1186" s="4"/>
      <c r="Q1186" s="4"/>
      <c r="R1186" s="4"/>
      <c r="S1186" s="4"/>
      <c r="T1186" s="4"/>
    </row>
    <row r="1187" spans="1:20" customFormat="1" ht="14.45" customHeight="1" x14ac:dyDescent="0.2">
      <c r="A1187" s="59" t="s">
        <v>5424</v>
      </c>
      <c r="B1187" s="60" t="s">
        <v>4251</v>
      </c>
      <c r="C1187" s="60" t="s">
        <v>4262</v>
      </c>
      <c r="D1187" s="40">
        <v>44810</v>
      </c>
      <c r="E1187" s="61">
        <v>150</v>
      </c>
      <c r="F1187" s="62">
        <v>150</v>
      </c>
      <c r="G1187" s="63" t="s">
        <v>615</v>
      </c>
      <c r="H1187" s="64" t="s">
        <v>2728</v>
      </c>
      <c r="I1187" s="64" t="s">
        <v>2713</v>
      </c>
      <c r="J1187" s="63" t="s">
        <v>531</v>
      </c>
      <c r="K1187" s="64" t="s">
        <v>4351</v>
      </c>
      <c r="L1187" s="63" t="s">
        <v>157</v>
      </c>
      <c r="M1187" s="63" t="s">
        <v>5781</v>
      </c>
      <c r="N1187" s="65">
        <v>45443</v>
      </c>
    </row>
    <row r="1188" spans="1:20" customFormat="1" ht="14.45" customHeight="1" x14ac:dyDescent="0.2">
      <c r="A1188" s="59" t="s">
        <v>6072</v>
      </c>
      <c r="B1188" s="60" t="s">
        <v>6073</v>
      </c>
      <c r="C1188" s="60" t="s">
        <v>6074</v>
      </c>
      <c r="D1188" s="40">
        <v>44810</v>
      </c>
      <c r="E1188" s="61">
        <v>300</v>
      </c>
      <c r="F1188" s="62">
        <v>300</v>
      </c>
      <c r="G1188" s="63" t="s">
        <v>615</v>
      </c>
      <c r="H1188" s="64" t="s">
        <v>2746</v>
      </c>
      <c r="I1188" s="64" t="s">
        <v>2713</v>
      </c>
      <c r="J1188" s="63" t="s">
        <v>532</v>
      </c>
      <c r="K1188" s="64" t="s">
        <v>6075</v>
      </c>
      <c r="L1188" s="63" t="s">
        <v>87</v>
      </c>
      <c r="M1188" s="63" t="s">
        <v>5781</v>
      </c>
      <c r="N1188" s="65">
        <v>45046</v>
      </c>
    </row>
    <row r="1189" spans="1:20" customFormat="1" ht="14.45" customHeight="1" x14ac:dyDescent="0.2">
      <c r="A1189" s="59" t="s">
        <v>5425</v>
      </c>
      <c r="B1189" s="60" t="s">
        <v>5101</v>
      </c>
      <c r="C1189" s="60" t="s">
        <v>4032</v>
      </c>
      <c r="D1189" s="40">
        <v>44811</v>
      </c>
      <c r="E1189" s="61">
        <v>125</v>
      </c>
      <c r="F1189" s="62">
        <v>125</v>
      </c>
      <c r="G1189" s="63" t="s">
        <v>55</v>
      </c>
      <c r="H1189" s="64" t="s">
        <v>2736</v>
      </c>
      <c r="I1189" s="64" t="s">
        <v>2713</v>
      </c>
      <c r="J1189" s="63" t="s">
        <v>471</v>
      </c>
      <c r="K1189" s="64" t="s">
        <v>4263</v>
      </c>
      <c r="L1189" s="63" t="s">
        <v>41</v>
      </c>
      <c r="M1189" s="63" t="s">
        <v>5781</v>
      </c>
      <c r="N1189" s="65">
        <v>45443</v>
      </c>
    </row>
    <row r="1190" spans="1:20" customFormat="1" ht="14.45" customHeight="1" x14ac:dyDescent="0.2">
      <c r="A1190" s="59" t="s">
        <v>5426</v>
      </c>
      <c r="B1190" s="60" t="s">
        <v>3596</v>
      </c>
      <c r="C1190" s="60" t="s">
        <v>4033</v>
      </c>
      <c r="D1190" s="40">
        <v>44813</v>
      </c>
      <c r="E1190" s="61">
        <v>150</v>
      </c>
      <c r="F1190" s="62">
        <v>150</v>
      </c>
      <c r="G1190" s="63" t="s">
        <v>124</v>
      </c>
      <c r="H1190" s="64" t="s">
        <v>2713</v>
      </c>
      <c r="I1190" s="64" t="s">
        <v>2713</v>
      </c>
      <c r="J1190" s="63" t="s">
        <v>533</v>
      </c>
      <c r="K1190" s="64" t="s">
        <v>4556</v>
      </c>
      <c r="L1190" s="63" t="s">
        <v>403</v>
      </c>
      <c r="M1190" s="63" t="s">
        <v>5781</v>
      </c>
      <c r="N1190" s="65">
        <v>45443</v>
      </c>
    </row>
    <row r="1191" spans="1:20" customFormat="1" ht="14.45" customHeight="1" x14ac:dyDescent="0.2">
      <c r="A1191" s="59" t="s">
        <v>5427</v>
      </c>
      <c r="B1191" s="60" t="s">
        <v>3596</v>
      </c>
      <c r="C1191" s="60" t="s">
        <v>4034</v>
      </c>
      <c r="D1191" s="40">
        <v>44813</v>
      </c>
      <c r="E1191" s="61">
        <v>1050</v>
      </c>
      <c r="F1191" s="62">
        <v>1050</v>
      </c>
      <c r="G1191" s="63" t="s">
        <v>124</v>
      </c>
      <c r="H1191" s="64" t="s">
        <v>2714</v>
      </c>
      <c r="I1191" s="64" t="s">
        <v>2713</v>
      </c>
      <c r="J1191" s="63" t="s">
        <v>533</v>
      </c>
      <c r="K1191" s="64" t="s">
        <v>4264</v>
      </c>
      <c r="L1191" s="63" t="s">
        <v>403</v>
      </c>
      <c r="M1191" s="63" t="s">
        <v>5781</v>
      </c>
      <c r="N1191" s="65">
        <v>45443</v>
      </c>
    </row>
    <row r="1192" spans="1:20" customFormat="1" ht="14.45" customHeight="1" x14ac:dyDescent="0.2">
      <c r="A1192" s="59" t="s">
        <v>5428</v>
      </c>
      <c r="B1192" s="60" t="s">
        <v>7323</v>
      </c>
      <c r="C1192" s="60" t="s">
        <v>4035</v>
      </c>
      <c r="D1192" s="40">
        <v>44816</v>
      </c>
      <c r="E1192" s="61" t="s">
        <v>54</v>
      </c>
      <c r="F1192" s="62" t="s">
        <v>54</v>
      </c>
      <c r="G1192" s="63" t="s">
        <v>256</v>
      </c>
      <c r="H1192" s="64" t="s">
        <v>2715</v>
      </c>
      <c r="I1192" s="64" t="s">
        <v>2713</v>
      </c>
      <c r="J1192" s="63" t="s">
        <v>533</v>
      </c>
      <c r="K1192" s="64" t="s">
        <v>4265</v>
      </c>
      <c r="L1192" s="63" t="s">
        <v>403</v>
      </c>
      <c r="M1192" s="63">
        <v>0</v>
      </c>
      <c r="N1192" s="65">
        <v>45046</v>
      </c>
    </row>
    <row r="1193" spans="1:20" customFormat="1" ht="14.45" customHeight="1" x14ac:dyDescent="0.2">
      <c r="A1193" s="59" t="s">
        <v>5429</v>
      </c>
      <c r="B1193" s="60" t="s">
        <v>4036</v>
      </c>
      <c r="C1193" s="60" t="s">
        <v>4037</v>
      </c>
      <c r="D1193" s="40">
        <v>44817</v>
      </c>
      <c r="E1193" s="61">
        <v>100</v>
      </c>
      <c r="F1193" s="62">
        <v>100</v>
      </c>
      <c r="G1193" s="63" t="s">
        <v>55</v>
      </c>
      <c r="H1193" s="64" t="s">
        <v>4266</v>
      </c>
      <c r="I1193" s="64" t="s">
        <v>2713</v>
      </c>
      <c r="J1193" s="63" t="s">
        <v>420</v>
      </c>
      <c r="K1193" s="64" t="s">
        <v>4267</v>
      </c>
      <c r="L1193" s="63" t="s">
        <v>157</v>
      </c>
      <c r="M1193" s="63" t="s">
        <v>5781</v>
      </c>
      <c r="N1193" s="65">
        <v>45443</v>
      </c>
    </row>
    <row r="1194" spans="1:20" customFormat="1" ht="14.45" customHeight="1" x14ac:dyDescent="0.2">
      <c r="A1194" s="59" t="s">
        <v>5430</v>
      </c>
      <c r="B1194" s="60" t="s">
        <v>3328</v>
      </c>
      <c r="C1194" s="60" t="s">
        <v>4268</v>
      </c>
      <c r="D1194" s="40">
        <v>44818</v>
      </c>
      <c r="E1194" s="61">
        <v>120</v>
      </c>
      <c r="F1194" s="62">
        <v>120</v>
      </c>
      <c r="G1194" s="63" t="s">
        <v>3505</v>
      </c>
      <c r="H1194" s="64" t="s">
        <v>4352</v>
      </c>
      <c r="I1194" s="64" t="s">
        <v>2713</v>
      </c>
      <c r="J1194" s="63" t="s">
        <v>530</v>
      </c>
      <c r="K1194" s="64" t="s">
        <v>4269</v>
      </c>
      <c r="L1194" s="63" t="s">
        <v>34</v>
      </c>
      <c r="M1194" s="63" t="s">
        <v>5781</v>
      </c>
      <c r="N1194" s="65">
        <v>45443</v>
      </c>
    </row>
    <row r="1195" spans="1:20" customFormat="1" ht="14.45" customHeight="1" x14ac:dyDescent="0.2">
      <c r="A1195" s="59" t="s">
        <v>5431</v>
      </c>
      <c r="B1195" s="60" t="s">
        <v>3596</v>
      </c>
      <c r="C1195" s="60" t="s">
        <v>4038</v>
      </c>
      <c r="D1195" s="40">
        <v>44819</v>
      </c>
      <c r="E1195" s="61">
        <v>270</v>
      </c>
      <c r="F1195" s="62">
        <v>270</v>
      </c>
      <c r="G1195" s="63" t="s">
        <v>124</v>
      </c>
      <c r="H1195" s="64" t="s">
        <v>2714</v>
      </c>
      <c r="I1195" s="64" t="s">
        <v>2713</v>
      </c>
      <c r="J1195" s="63" t="s">
        <v>533</v>
      </c>
      <c r="K1195" s="64" t="s">
        <v>4039</v>
      </c>
      <c r="L1195" s="63" t="s">
        <v>403</v>
      </c>
      <c r="M1195" s="63" t="s">
        <v>5781</v>
      </c>
      <c r="N1195" s="65">
        <v>45443</v>
      </c>
    </row>
    <row r="1196" spans="1:20" customFormat="1" ht="14.45" customHeight="1" x14ac:dyDescent="0.2">
      <c r="A1196" s="59" t="s">
        <v>5432</v>
      </c>
      <c r="B1196" s="60" t="s">
        <v>4725</v>
      </c>
      <c r="C1196" s="60" t="s">
        <v>4040</v>
      </c>
      <c r="D1196" s="40">
        <v>44820</v>
      </c>
      <c r="E1196" s="61">
        <v>125</v>
      </c>
      <c r="F1196" s="62">
        <v>125</v>
      </c>
      <c r="G1196" s="63" t="s">
        <v>615</v>
      </c>
      <c r="H1196" s="64" t="s">
        <v>2718</v>
      </c>
      <c r="I1196" s="64" t="s">
        <v>2713</v>
      </c>
      <c r="J1196" s="63" t="s">
        <v>530</v>
      </c>
      <c r="K1196" s="64" t="s">
        <v>4270</v>
      </c>
      <c r="L1196" s="63" t="s">
        <v>34</v>
      </c>
      <c r="M1196" s="63">
        <v>0</v>
      </c>
      <c r="N1196" s="65">
        <v>45382</v>
      </c>
    </row>
    <row r="1197" spans="1:20" customFormat="1" ht="14.45" customHeight="1" x14ac:dyDescent="0.2">
      <c r="A1197" s="59" t="s">
        <v>5433</v>
      </c>
      <c r="B1197" s="60" t="s">
        <v>4271</v>
      </c>
      <c r="C1197" s="60" t="s">
        <v>4272</v>
      </c>
      <c r="D1197" s="40">
        <v>44825</v>
      </c>
      <c r="E1197" s="61">
        <v>50</v>
      </c>
      <c r="F1197" s="62">
        <v>50</v>
      </c>
      <c r="G1197" s="63" t="s">
        <v>615</v>
      </c>
      <c r="H1197" s="64" t="s">
        <v>2699</v>
      </c>
      <c r="I1197" s="64" t="s">
        <v>2713</v>
      </c>
      <c r="J1197" s="63" t="s">
        <v>471</v>
      </c>
      <c r="K1197" s="64" t="s">
        <v>4557</v>
      </c>
      <c r="L1197" s="63" t="s">
        <v>157</v>
      </c>
      <c r="M1197" s="63" t="s">
        <v>5781</v>
      </c>
      <c r="N1197" s="65">
        <v>45382</v>
      </c>
    </row>
    <row r="1198" spans="1:20" customFormat="1" ht="14.45" customHeight="1" x14ac:dyDescent="0.2">
      <c r="A1198" s="59" t="s">
        <v>4558</v>
      </c>
      <c r="B1198" s="60" t="s">
        <v>4559</v>
      </c>
      <c r="C1198" s="60" t="s">
        <v>4560</v>
      </c>
      <c r="D1198" s="40" t="s">
        <v>4561</v>
      </c>
      <c r="E1198" s="61">
        <v>11</v>
      </c>
      <c r="F1198" s="62">
        <v>11</v>
      </c>
      <c r="G1198" s="63" t="s">
        <v>318</v>
      </c>
      <c r="H1198" s="64" t="s">
        <v>2744</v>
      </c>
      <c r="I1198" s="64" t="s">
        <v>2713</v>
      </c>
      <c r="J1198" s="63" t="s">
        <v>530</v>
      </c>
      <c r="K1198" s="64" t="s">
        <v>4562</v>
      </c>
      <c r="L1198" s="63" t="s">
        <v>157</v>
      </c>
      <c r="M1198" s="63">
        <v>0</v>
      </c>
      <c r="N1198" s="65">
        <v>45046</v>
      </c>
    </row>
    <row r="1199" spans="1:20" customFormat="1" ht="14.45" customHeight="1" x14ac:dyDescent="0.2">
      <c r="A1199" s="59" t="s">
        <v>5434</v>
      </c>
      <c r="B1199" s="60" t="s">
        <v>4726</v>
      </c>
      <c r="C1199" s="60" t="s">
        <v>4041</v>
      </c>
      <c r="D1199" s="40">
        <v>44832</v>
      </c>
      <c r="E1199" s="61">
        <v>130</v>
      </c>
      <c r="F1199" s="62">
        <v>130</v>
      </c>
      <c r="G1199" s="63" t="s">
        <v>615</v>
      </c>
      <c r="H1199" s="64" t="s">
        <v>2723</v>
      </c>
      <c r="I1199" s="64" t="s">
        <v>2713</v>
      </c>
      <c r="J1199" s="63" t="s">
        <v>471</v>
      </c>
      <c r="K1199" s="64" t="s">
        <v>5435</v>
      </c>
      <c r="L1199" s="63" t="s">
        <v>157</v>
      </c>
      <c r="M1199" s="63" t="s">
        <v>5781</v>
      </c>
      <c r="N1199" s="65">
        <v>45412</v>
      </c>
    </row>
    <row r="1200" spans="1:20" customFormat="1" ht="14.45" customHeight="1" x14ac:dyDescent="0.2">
      <c r="A1200" s="59" t="s">
        <v>5436</v>
      </c>
      <c r="B1200" s="60" t="s">
        <v>4025</v>
      </c>
      <c r="C1200" s="60" t="s">
        <v>4042</v>
      </c>
      <c r="D1200" s="40">
        <v>44832</v>
      </c>
      <c r="E1200" s="61">
        <v>1330</v>
      </c>
      <c r="F1200" s="62">
        <v>1330</v>
      </c>
      <c r="G1200" s="63" t="s">
        <v>124</v>
      </c>
      <c r="H1200" s="64" t="s">
        <v>2746</v>
      </c>
      <c r="I1200" s="64" t="s">
        <v>2713</v>
      </c>
      <c r="J1200" s="63" t="s">
        <v>532</v>
      </c>
      <c r="K1200" s="64" t="s">
        <v>4575</v>
      </c>
      <c r="L1200" s="63" t="s">
        <v>41</v>
      </c>
      <c r="M1200" s="63" t="s">
        <v>5781</v>
      </c>
      <c r="N1200" s="65">
        <v>45504</v>
      </c>
    </row>
    <row r="1201" spans="1:20" customFormat="1" ht="14.45" customHeight="1" x14ac:dyDescent="0.2">
      <c r="A1201" s="59" t="s">
        <v>4363</v>
      </c>
      <c r="B1201" s="60" t="s">
        <v>1516</v>
      </c>
      <c r="C1201" s="60" t="s">
        <v>1517</v>
      </c>
      <c r="D1201" s="40">
        <v>44880</v>
      </c>
      <c r="E1201" s="61">
        <v>20</v>
      </c>
      <c r="F1201" s="62">
        <v>20</v>
      </c>
      <c r="G1201" s="63" t="s">
        <v>55</v>
      </c>
      <c r="H1201" s="64" t="s">
        <v>2759</v>
      </c>
      <c r="I1201" s="64" t="s">
        <v>2713</v>
      </c>
      <c r="J1201" s="63" t="s">
        <v>471</v>
      </c>
      <c r="K1201" s="64" t="s">
        <v>4364</v>
      </c>
      <c r="L1201" s="63" t="s">
        <v>157</v>
      </c>
      <c r="M1201" s="44">
        <v>0</v>
      </c>
      <c r="N1201" s="65">
        <v>44957</v>
      </c>
      <c r="O1201" s="4"/>
      <c r="P1201" s="4"/>
      <c r="Q1201" s="4"/>
      <c r="R1201" s="4"/>
      <c r="S1201" s="4"/>
      <c r="T1201" s="4"/>
    </row>
    <row r="1202" spans="1:20" customFormat="1" ht="14.45" customHeight="1" x14ac:dyDescent="0.2">
      <c r="A1202" s="59" t="s">
        <v>4660</v>
      </c>
      <c r="B1202" s="60" t="s">
        <v>4661</v>
      </c>
      <c r="C1202" s="60" t="s">
        <v>4662</v>
      </c>
      <c r="D1202" s="40">
        <v>44834</v>
      </c>
      <c r="E1202" s="61">
        <v>20</v>
      </c>
      <c r="F1202" s="62">
        <v>20</v>
      </c>
      <c r="G1202" s="63" t="s">
        <v>3505</v>
      </c>
      <c r="H1202" s="64" t="s">
        <v>2838</v>
      </c>
      <c r="I1202" s="64" t="s">
        <v>2713</v>
      </c>
      <c r="J1202" s="63" t="s">
        <v>540</v>
      </c>
      <c r="K1202" s="64" t="s">
        <v>5939</v>
      </c>
      <c r="L1202" s="63" t="s">
        <v>191</v>
      </c>
      <c r="M1202" s="63">
        <v>0</v>
      </c>
      <c r="N1202" s="65">
        <v>45077</v>
      </c>
    </row>
    <row r="1203" spans="1:20" customFormat="1" ht="14.45" customHeight="1" x14ac:dyDescent="0.2">
      <c r="A1203" s="59" t="s">
        <v>5437</v>
      </c>
      <c r="B1203" s="60" t="s">
        <v>4277</v>
      </c>
      <c r="C1203" s="60" t="s">
        <v>4278</v>
      </c>
      <c r="D1203" s="40">
        <v>44844</v>
      </c>
      <c r="E1203" s="61">
        <v>600</v>
      </c>
      <c r="F1203" s="62">
        <v>600</v>
      </c>
      <c r="G1203" s="63" t="s">
        <v>615</v>
      </c>
      <c r="H1203" s="64" t="s">
        <v>2759</v>
      </c>
      <c r="I1203" s="64" t="s">
        <v>2713</v>
      </c>
      <c r="J1203" s="63" t="s">
        <v>471</v>
      </c>
      <c r="K1203" s="64" t="s">
        <v>4764</v>
      </c>
      <c r="L1203" s="63" t="s">
        <v>157</v>
      </c>
      <c r="M1203" s="63">
        <v>0</v>
      </c>
      <c r="N1203" s="65">
        <v>45565</v>
      </c>
    </row>
    <row r="1204" spans="1:20" customFormat="1" ht="14.45" customHeight="1" x14ac:dyDescent="0.2">
      <c r="A1204" s="59" t="s">
        <v>5438</v>
      </c>
      <c r="B1204" s="60" t="s">
        <v>4279</v>
      </c>
      <c r="C1204" s="60" t="s">
        <v>4280</v>
      </c>
      <c r="D1204" s="40">
        <v>44845</v>
      </c>
      <c r="E1204" s="61">
        <v>50</v>
      </c>
      <c r="F1204" s="62">
        <v>50</v>
      </c>
      <c r="G1204" s="63" t="s">
        <v>615</v>
      </c>
      <c r="H1204" s="64" t="s">
        <v>2716</v>
      </c>
      <c r="I1204" s="64" t="s">
        <v>2713</v>
      </c>
      <c r="J1204" s="63" t="s">
        <v>532</v>
      </c>
      <c r="K1204" s="64" t="s">
        <v>4563</v>
      </c>
      <c r="L1204" s="63" t="s">
        <v>87</v>
      </c>
      <c r="M1204" s="63" t="s">
        <v>5781</v>
      </c>
      <c r="N1204" s="65">
        <v>45443</v>
      </c>
    </row>
    <row r="1205" spans="1:20" customFormat="1" ht="14.45" customHeight="1" x14ac:dyDescent="0.2">
      <c r="A1205" s="59" t="s">
        <v>5439</v>
      </c>
      <c r="B1205" s="60" t="s">
        <v>4281</v>
      </c>
      <c r="C1205" s="60" t="s">
        <v>4282</v>
      </c>
      <c r="D1205" s="40">
        <v>44845</v>
      </c>
      <c r="E1205" s="61">
        <v>50</v>
      </c>
      <c r="F1205" s="62">
        <v>50</v>
      </c>
      <c r="G1205" s="63" t="s">
        <v>615</v>
      </c>
      <c r="H1205" s="64" t="s">
        <v>2716</v>
      </c>
      <c r="I1205" s="64" t="s">
        <v>2713</v>
      </c>
      <c r="J1205" s="63" t="s">
        <v>532</v>
      </c>
      <c r="K1205" s="64" t="s">
        <v>3183</v>
      </c>
      <c r="L1205" s="63" t="s">
        <v>87</v>
      </c>
      <c r="M1205" s="63" t="s">
        <v>5781</v>
      </c>
      <c r="N1205" s="65">
        <v>45443</v>
      </c>
    </row>
    <row r="1206" spans="1:20" customFormat="1" ht="14.45" customHeight="1" x14ac:dyDescent="0.2">
      <c r="A1206" s="59" t="s">
        <v>5440</v>
      </c>
      <c r="B1206" s="60" t="s">
        <v>4283</v>
      </c>
      <c r="C1206" s="60" t="s">
        <v>4284</v>
      </c>
      <c r="D1206" s="40">
        <v>44845</v>
      </c>
      <c r="E1206" s="61">
        <v>150</v>
      </c>
      <c r="F1206" s="62">
        <v>150</v>
      </c>
      <c r="G1206" s="63" t="s">
        <v>615</v>
      </c>
      <c r="H1206" s="64" t="s">
        <v>2717</v>
      </c>
      <c r="I1206" s="64" t="s">
        <v>2713</v>
      </c>
      <c r="J1206" s="63" t="s">
        <v>539</v>
      </c>
      <c r="K1206" s="64" t="s">
        <v>4965</v>
      </c>
      <c r="L1206" s="63" t="s">
        <v>2558</v>
      </c>
      <c r="M1206" s="63">
        <v>0</v>
      </c>
      <c r="N1206" s="65">
        <v>45291</v>
      </c>
    </row>
    <row r="1207" spans="1:20" customFormat="1" ht="14.45" customHeight="1" x14ac:dyDescent="0.2">
      <c r="A1207" s="59" t="s">
        <v>5441</v>
      </c>
      <c r="B1207" s="60" t="s">
        <v>4046</v>
      </c>
      <c r="C1207" s="60" t="s">
        <v>4047</v>
      </c>
      <c r="D1207" s="40">
        <v>44847</v>
      </c>
      <c r="E1207" s="61">
        <v>50</v>
      </c>
      <c r="F1207" s="62">
        <v>50</v>
      </c>
      <c r="G1207" s="63" t="s">
        <v>615</v>
      </c>
      <c r="H1207" s="64" t="s">
        <v>2716</v>
      </c>
      <c r="I1207" s="64" t="s">
        <v>2713</v>
      </c>
      <c r="J1207" s="63" t="s">
        <v>532</v>
      </c>
      <c r="K1207" s="64" t="s">
        <v>4048</v>
      </c>
      <c r="L1207" s="63" t="s">
        <v>87</v>
      </c>
      <c r="M1207" s="63" t="s">
        <v>5781</v>
      </c>
      <c r="N1207" s="65">
        <v>45443</v>
      </c>
    </row>
    <row r="1208" spans="1:20" customFormat="1" ht="14.45" customHeight="1" x14ac:dyDescent="0.2">
      <c r="A1208" s="59" t="s">
        <v>5442</v>
      </c>
      <c r="B1208" s="60" t="s">
        <v>4285</v>
      </c>
      <c r="C1208" s="60" t="s">
        <v>4286</v>
      </c>
      <c r="D1208" s="40">
        <v>44851</v>
      </c>
      <c r="E1208" s="61">
        <v>80</v>
      </c>
      <c r="F1208" s="62">
        <v>80</v>
      </c>
      <c r="G1208" s="63" t="s">
        <v>55</v>
      </c>
      <c r="H1208" s="64" t="s">
        <v>4345</v>
      </c>
      <c r="I1208" s="64" t="s">
        <v>2713</v>
      </c>
      <c r="J1208" s="63" t="s">
        <v>530</v>
      </c>
      <c r="K1208" s="64" t="s">
        <v>4287</v>
      </c>
      <c r="L1208" s="63" t="s">
        <v>157</v>
      </c>
      <c r="M1208" s="63" t="s">
        <v>5781</v>
      </c>
      <c r="N1208" s="65">
        <v>45443</v>
      </c>
    </row>
    <row r="1209" spans="1:20" customFormat="1" ht="14.45" customHeight="1" x14ac:dyDescent="0.2">
      <c r="A1209" s="59" t="s">
        <v>4288</v>
      </c>
      <c r="B1209" s="60" t="s">
        <v>3239</v>
      </c>
      <c r="C1209" s="60" t="s">
        <v>4289</v>
      </c>
      <c r="D1209" s="40" t="s">
        <v>4290</v>
      </c>
      <c r="E1209" s="61">
        <v>20</v>
      </c>
      <c r="F1209" s="62">
        <v>20</v>
      </c>
      <c r="G1209" s="63" t="s">
        <v>55</v>
      </c>
      <c r="H1209" s="64" t="s">
        <v>2098</v>
      </c>
      <c r="I1209" s="64" t="s">
        <v>2713</v>
      </c>
      <c r="J1209" s="63" t="s">
        <v>393</v>
      </c>
      <c r="K1209" s="64" t="s">
        <v>4564</v>
      </c>
      <c r="L1209" s="63" t="s">
        <v>34</v>
      </c>
      <c r="M1209" s="63">
        <v>0</v>
      </c>
      <c r="N1209" s="65">
        <v>45046</v>
      </c>
    </row>
    <row r="1210" spans="1:20" customFormat="1" ht="14.45" customHeight="1" x14ac:dyDescent="0.2">
      <c r="A1210" s="59" t="s">
        <v>4607</v>
      </c>
      <c r="B1210" s="60" t="s">
        <v>4608</v>
      </c>
      <c r="C1210" s="60" t="s">
        <v>4609</v>
      </c>
      <c r="D1210" s="40">
        <v>44859</v>
      </c>
      <c r="E1210" s="61">
        <v>20</v>
      </c>
      <c r="F1210" s="62">
        <v>20</v>
      </c>
      <c r="G1210" s="63" t="s">
        <v>615</v>
      </c>
      <c r="H1210" s="64" t="s">
        <v>2731</v>
      </c>
      <c r="I1210" s="64" t="s">
        <v>2713</v>
      </c>
      <c r="J1210" s="63" t="s">
        <v>540</v>
      </c>
      <c r="K1210" s="64" t="s">
        <v>4610</v>
      </c>
      <c r="L1210" s="63" t="s">
        <v>191</v>
      </c>
      <c r="M1210" s="63">
        <v>0</v>
      </c>
      <c r="N1210" s="65">
        <v>44985</v>
      </c>
    </row>
    <row r="1211" spans="1:20" customFormat="1" ht="14.45" customHeight="1" x14ac:dyDescent="0.2">
      <c r="A1211" s="59" t="s">
        <v>5443</v>
      </c>
      <c r="B1211" s="60" t="s">
        <v>4291</v>
      </c>
      <c r="C1211" s="60" t="s">
        <v>4292</v>
      </c>
      <c r="D1211" s="40">
        <v>44865</v>
      </c>
      <c r="E1211" s="61">
        <v>1345</v>
      </c>
      <c r="F1211" s="62">
        <v>1345</v>
      </c>
      <c r="G1211" s="63" t="s">
        <v>124</v>
      </c>
      <c r="H1211" s="64" t="s">
        <v>2715</v>
      </c>
      <c r="I1211" s="64" t="s">
        <v>2713</v>
      </c>
      <c r="J1211" s="63" t="s">
        <v>533</v>
      </c>
      <c r="K1211" s="64" t="s">
        <v>4727</v>
      </c>
      <c r="L1211" s="63" t="s">
        <v>403</v>
      </c>
      <c r="M1211" s="63" t="s">
        <v>5781</v>
      </c>
      <c r="N1211" s="65">
        <v>45443</v>
      </c>
    </row>
    <row r="1212" spans="1:20" customFormat="1" ht="14.45" customHeight="1" x14ac:dyDescent="0.2">
      <c r="A1212" s="59" t="s">
        <v>4565</v>
      </c>
      <c r="B1212" s="60" t="s">
        <v>3948</v>
      </c>
      <c r="C1212" s="60" t="s">
        <v>4566</v>
      </c>
      <c r="D1212" s="40">
        <v>44865</v>
      </c>
      <c r="E1212" s="61">
        <v>114.8</v>
      </c>
      <c r="F1212" s="62">
        <v>114.8</v>
      </c>
      <c r="G1212" s="63" t="s">
        <v>615</v>
      </c>
      <c r="H1212" s="64" t="s">
        <v>2736</v>
      </c>
      <c r="I1212" s="64" t="s">
        <v>2713</v>
      </c>
      <c r="J1212" s="63" t="s">
        <v>471</v>
      </c>
      <c r="K1212" s="64" t="s">
        <v>4938</v>
      </c>
      <c r="L1212" s="63" t="s">
        <v>157</v>
      </c>
      <c r="M1212" s="63">
        <v>0</v>
      </c>
      <c r="N1212" s="65">
        <v>45107</v>
      </c>
    </row>
    <row r="1213" spans="1:20" customFormat="1" ht="14.45" customHeight="1" x14ac:dyDescent="0.2">
      <c r="A1213" s="59" t="s">
        <v>5444</v>
      </c>
      <c r="B1213" s="60" t="s">
        <v>4293</v>
      </c>
      <c r="C1213" s="60" t="s">
        <v>4294</v>
      </c>
      <c r="D1213" s="40">
        <v>44866</v>
      </c>
      <c r="E1213" s="61">
        <v>300</v>
      </c>
      <c r="F1213" s="62">
        <v>300</v>
      </c>
      <c r="G1213" s="63" t="s">
        <v>615</v>
      </c>
      <c r="H1213" s="64" t="s">
        <v>4295</v>
      </c>
      <c r="I1213" s="64" t="s">
        <v>2713</v>
      </c>
      <c r="J1213" s="63" t="s">
        <v>540</v>
      </c>
      <c r="K1213" s="64" t="s">
        <v>4728</v>
      </c>
      <c r="L1213" s="63" t="s">
        <v>191</v>
      </c>
      <c r="M1213" s="63" t="s">
        <v>5781</v>
      </c>
      <c r="N1213" s="65">
        <v>45443</v>
      </c>
    </row>
    <row r="1214" spans="1:20" customFormat="1" ht="14.45" customHeight="1" x14ac:dyDescent="0.2">
      <c r="A1214" s="59" t="s">
        <v>5445</v>
      </c>
      <c r="B1214" s="60" t="s">
        <v>1423</v>
      </c>
      <c r="C1214" s="60" t="s">
        <v>4353</v>
      </c>
      <c r="D1214" s="40">
        <v>44872</v>
      </c>
      <c r="E1214" s="61">
        <v>20</v>
      </c>
      <c r="F1214" s="62">
        <v>20</v>
      </c>
      <c r="G1214" s="63" t="s">
        <v>55</v>
      </c>
      <c r="H1214" s="64" t="s">
        <v>2736</v>
      </c>
      <c r="I1214" s="64" t="s">
        <v>2713</v>
      </c>
      <c r="J1214" s="63" t="s">
        <v>471</v>
      </c>
      <c r="K1214" s="64" t="s">
        <v>4729</v>
      </c>
      <c r="L1214" s="63" t="s">
        <v>157</v>
      </c>
      <c r="M1214" s="63" t="s">
        <v>5781</v>
      </c>
      <c r="N1214" s="65">
        <v>45443</v>
      </c>
    </row>
    <row r="1215" spans="1:20" customFormat="1" ht="14.45" customHeight="1" x14ac:dyDescent="0.2">
      <c r="A1215" s="59" t="s">
        <v>4296</v>
      </c>
      <c r="B1215" s="60" t="s">
        <v>4297</v>
      </c>
      <c r="C1215" s="60" t="s">
        <v>4298</v>
      </c>
      <c r="D1215" s="40">
        <v>44882</v>
      </c>
      <c r="E1215" s="61">
        <v>20</v>
      </c>
      <c r="F1215" s="62">
        <v>20</v>
      </c>
      <c r="G1215" s="63" t="s">
        <v>615</v>
      </c>
      <c r="H1215" s="64" t="s">
        <v>2769</v>
      </c>
      <c r="I1215" s="64" t="s">
        <v>2713</v>
      </c>
      <c r="J1215" s="63" t="s">
        <v>471</v>
      </c>
      <c r="K1215" s="64" t="s">
        <v>4299</v>
      </c>
      <c r="L1215" s="63" t="s">
        <v>34</v>
      </c>
      <c r="M1215" s="44">
        <v>0</v>
      </c>
      <c r="N1215" s="65">
        <v>44957</v>
      </c>
    </row>
    <row r="1216" spans="1:20" customFormat="1" ht="14.45" customHeight="1" x14ac:dyDescent="0.2">
      <c r="A1216" s="59" t="s">
        <v>5446</v>
      </c>
      <c r="B1216" s="60" t="s">
        <v>2901</v>
      </c>
      <c r="C1216" s="60" t="s">
        <v>4567</v>
      </c>
      <c r="D1216" s="40">
        <v>44873</v>
      </c>
      <c r="E1216" s="61">
        <v>1400</v>
      </c>
      <c r="F1216" s="62">
        <v>1400</v>
      </c>
      <c r="G1216" s="63" t="s">
        <v>124</v>
      </c>
      <c r="H1216" s="64" t="s">
        <v>4568</v>
      </c>
      <c r="I1216" s="64" t="s">
        <v>2713</v>
      </c>
      <c r="J1216" s="63" t="s">
        <v>532</v>
      </c>
      <c r="K1216" s="64" t="s">
        <v>4730</v>
      </c>
      <c r="L1216" s="63" t="s">
        <v>87</v>
      </c>
      <c r="M1216" s="63" t="s">
        <v>5781</v>
      </c>
      <c r="N1216" s="65">
        <v>45443</v>
      </c>
    </row>
    <row r="1217" spans="1:14" customFormat="1" ht="14.45" customHeight="1" x14ac:dyDescent="0.2">
      <c r="A1217" s="59" t="s">
        <v>4373</v>
      </c>
      <c r="B1217" s="42" t="s">
        <v>1153</v>
      </c>
      <c r="C1217" s="42" t="s">
        <v>1152</v>
      </c>
      <c r="D1217" s="40">
        <v>44873</v>
      </c>
      <c r="E1217" s="46" t="s">
        <v>4316</v>
      </c>
      <c r="F1217" s="46" t="s">
        <v>4316</v>
      </c>
      <c r="G1217" s="44" t="s">
        <v>4316</v>
      </c>
      <c r="H1217" s="43" t="s">
        <v>2739</v>
      </c>
      <c r="I1217" s="43" t="s">
        <v>2713</v>
      </c>
      <c r="J1217" s="44" t="s">
        <v>540</v>
      </c>
      <c r="K1217" s="48" t="s">
        <v>3933</v>
      </c>
      <c r="L1217" s="52" t="s">
        <v>41</v>
      </c>
      <c r="M1217" s="44">
        <v>0</v>
      </c>
      <c r="N1217" s="45">
        <v>44926</v>
      </c>
    </row>
    <row r="1218" spans="1:14" customFormat="1" ht="14.45" customHeight="1" x14ac:dyDescent="0.2">
      <c r="A1218" s="59" t="s">
        <v>5585</v>
      </c>
      <c r="B1218" s="60" t="s">
        <v>5586</v>
      </c>
      <c r="C1218" s="60" t="s">
        <v>5587</v>
      </c>
      <c r="D1218" s="40">
        <v>44876</v>
      </c>
      <c r="E1218" s="61">
        <v>20</v>
      </c>
      <c r="F1218" s="62">
        <v>20</v>
      </c>
      <c r="G1218" s="63" t="s">
        <v>55</v>
      </c>
      <c r="H1218" s="64" t="s">
        <v>2699</v>
      </c>
      <c r="I1218" s="64" t="s">
        <v>2713</v>
      </c>
      <c r="J1218" s="63" t="s">
        <v>471</v>
      </c>
      <c r="K1218" s="64" t="s">
        <v>5588</v>
      </c>
      <c r="L1218" s="63" t="s">
        <v>157</v>
      </c>
      <c r="M1218" s="63">
        <v>0</v>
      </c>
      <c r="N1218" s="65">
        <v>45260</v>
      </c>
    </row>
    <row r="1219" spans="1:14" customFormat="1" ht="14.45" customHeight="1" x14ac:dyDescent="0.2">
      <c r="A1219" s="59" t="s">
        <v>4570</v>
      </c>
      <c r="B1219" s="60" t="s">
        <v>3948</v>
      </c>
      <c r="C1219" s="60" t="s">
        <v>4571</v>
      </c>
      <c r="D1219" s="40">
        <v>44876</v>
      </c>
      <c r="E1219" s="61">
        <v>430</v>
      </c>
      <c r="F1219" s="62">
        <v>430</v>
      </c>
      <c r="G1219" s="63" t="s">
        <v>615</v>
      </c>
      <c r="H1219" s="64" t="s">
        <v>2736</v>
      </c>
      <c r="I1219" s="64" t="s">
        <v>2713</v>
      </c>
      <c r="J1219" s="63" t="s">
        <v>530</v>
      </c>
      <c r="K1219" s="120" t="s">
        <v>4812</v>
      </c>
      <c r="L1219" s="63" t="s">
        <v>4731</v>
      </c>
      <c r="M1219" s="63">
        <v>0</v>
      </c>
      <c r="N1219" s="65">
        <v>45107</v>
      </c>
    </row>
    <row r="1220" spans="1:14" customFormat="1" ht="14.45" customHeight="1" x14ac:dyDescent="0.2">
      <c r="A1220" s="59" t="s">
        <v>4572</v>
      </c>
      <c r="B1220" s="60" t="s">
        <v>4300</v>
      </c>
      <c r="C1220" s="60" t="s">
        <v>4301</v>
      </c>
      <c r="D1220" s="40" t="s">
        <v>4302</v>
      </c>
      <c r="E1220" s="61">
        <v>250</v>
      </c>
      <c r="F1220" s="62">
        <v>250</v>
      </c>
      <c r="G1220" s="63" t="s">
        <v>55</v>
      </c>
      <c r="H1220" s="64" t="s">
        <v>590</v>
      </c>
      <c r="I1220" s="64" t="s">
        <v>2713</v>
      </c>
      <c r="J1220" s="63" t="s">
        <v>393</v>
      </c>
      <c r="K1220" s="64" t="s">
        <v>4303</v>
      </c>
      <c r="L1220" s="63" t="s">
        <v>3405</v>
      </c>
      <c r="M1220" s="63">
        <v>0</v>
      </c>
      <c r="N1220" s="65">
        <v>45016</v>
      </c>
    </row>
    <row r="1221" spans="1:14" customFormat="1" ht="14.45" customHeight="1" x14ac:dyDescent="0.2">
      <c r="A1221" s="59" t="s">
        <v>4649</v>
      </c>
      <c r="B1221" s="60" t="s">
        <v>3948</v>
      </c>
      <c r="C1221" s="60" t="s">
        <v>4650</v>
      </c>
      <c r="D1221" s="40" t="s">
        <v>4652</v>
      </c>
      <c r="E1221" s="61">
        <v>217</v>
      </c>
      <c r="F1221" s="62">
        <v>220.7</v>
      </c>
      <c r="G1221" s="63" t="s">
        <v>615</v>
      </c>
      <c r="H1221" s="64" t="s">
        <v>2806</v>
      </c>
      <c r="I1221" s="64" t="s">
        <v>2713</v>
      </c>
      <c r="J1221" s="63" t="s">
        <v>539</v>
      </c>
      <c r="K1221" s="64" t="s">
        <v>4651</v>
      </c>
      <c r="L1221" s="63" t="s">
        <v>673</v>
      </c>
      <c r="M1221" s="63">
        <v>0</v>
      </c>
      <c r="N1221" s="65">
        <v>45016</v>
      </c>
    </row>
    <row r="1222" spans="1:14" customFormat="1" ht="14.45" customHeight="1" x14ac:dyDescent="0.2">
      <c r="A1222" s="59" t="s">
        <v>5447</v>
      </c>
      <c r="B1222" s="60" t="s">
        <v>4251</v>
      </c>
      <c r="C1222" s="60" t="s">
        <v>4307</v>
      </c>
      <c r="D1222" s="40">
        <v>44881</v>
      </c>
      <c r="E1222" s="61">
        <v>54.7</v>
      </c>
      <c r="F1222" s="62">
        <v>54.7</v>
      </c>
      <c r="G1222" s="63" t="s">
        <v>615</v>
      </c>
      <c r="H1222" s="64" t="s">
        <v>2741</v>
      </c>
      <c r="I1222" s="64" t="s">
        <v>2713</v>
      </c>
      <c r="J1222" s="63" t="s">
        <v>531</v>
      </c>
      <c r="K1222" s="64" t="s">
        <v>4732</v>
      </c>
      <c r="L1222" s="63" t="s">
        <v>157</v>
      </c>
      <c r="M1222" s="63" t="s">
        <v>5781</v>
      </c>
      <c r="N1222" s="65">
        <v>45443</v>
      </c>
    </row>
    <row r="1223" spans="1:14" customFormat="1" ht="14.45" customHeight="1" x14ac:dyDescent="0.2">
      <c r="A1223" s="59" t="s">
        <v>5448</v>
      </c>
      <c r="B1223" s="60" t="s">
        <v>2901</v>
      </c>
      <c r="C1223" s="60" t="s">
        <v>4663</v>
      </c>
      <c r="D1223" s="40">
        <v>44881</v>
      </c>
      <c r="E1223" s="61">
        <v>128</v>
      </c>
      <c r="F1223" s="62">
        <v>128</v>
      </c>
      <c r="G1223" s="63" t="s">
        <v>124</v>
      </c>
      <c r="H1223" s="64" t="s">
        <v>4593</v>
      </c>
      <c r="I1223" s="64" t="s">
        <v>2713</v>
      </c>
      <c r="J1223" s="63" t="s">
        <v>533</v>
      </c>
      <c r="K1223" s="64" t="s">
        <v>4707</v>
      </c>
      <c r="L1223" s="63" t="s">
        <v>403</v>
      </c>
      <c r="M1223" s="63" t="s">
        <v>5781</v>
      </c>
      <c r="N1223" s="65">
        <v>45443</v>
      </c>
    </row>
    <row r="1224" spans="1:14" customFormat="1" ht="14.45" customHeight="1" x14ac:dyDescent="0.2">
      <c r="A1224" s="59" t="s">
        <v>4365</v>
      </c>
      <c r="B1224" s="60" t="s">
        <v>4366</v>
      </c>
      <c r="C1224" s="60" t="s">
        <v>4367</v>
      </c>
      <c r="D1224" s="40">
        <v>44882</v>
      </c>
      <c r="E1224" s="61">
        <v>1200</v>
      </c>
      <c r="F1224" s="62">
        <v>1200</v>
      </c>
      <c r="G1224" s="63" t="s">
        <v>615</v>
      </c>
      <c r="H1224" s="64" t="s">
        <v>4368</v>
      </c>
      <c r="I1224" s="64" t="s">
        <v>2713</v>
      </c>
      <c r="J1224" s="63" t="s">
        <v>530</v>
      </c>
      <c r="K1224" s="64" t="s">
        <v>4369</v>
      </c>
      <c r="L1224" s="63" t="s">
        <v>41</v>
      </c>
      <c r="M1224" s="44">
        <v>0</v>
      </c>
      <c r="N1224" s="65">
        <v>44957</v>
      </c>
    </row>
    <row r="1225" spans="1:14" customFormat="1" ht="14.45" customHeight="1" x14ac:dyDescent="0.2">
      <c r="A1225" s="59" t="s">
        <v>5449</v>
      </c>
      <c r="B1225" s="60" t="s">
        <v>4733</v>
      </c>
      <c r="C1225" s="60" t="s">
        <v>4734</v>
      </c>
      <c r="D1225" s="40">
        <v>44883</v>
      </c>
      <c r="E1225" s="61">
        <v>18</v>
      </c>
      <c r="F1225" s="62">
        <v>18</v>
      </c>
      <c r="G1225" s="63" t="s">
        <v>55</v>
      </c>
      <c r="H1225" s="64" t="s">
        <v>5762</v>
      </c>
      <c r="I1225" s="64" t="s">
        <v>2713</v>
      </c>
      <c r="J1225" s="63" t="s">
        <v>393</v>
      </c>
      <c r="K1225" s="64" t="s">
        <v>4917</v>
      </c>
      <c r="L1225" s="63" t="s">
        <v>157</v>
      </c>
      <c r="M1225" s="63" t="s">
        <v>5781</v>
      </c>
      <c r="N1225" s="65">
        <v>45443</v>
      </c>
    </row>
    <row r="1226" spans="1:14" customFormat="1" ht="14.45" customHeight="1" x14ac:dyDescent="0.2">
      <c r="A1226" s="59" t="s">
        <v>5450</v>
      </c>
      <c r="B1226" s="60" t="s">
        <v>4354</v>
      </c>
      <c r="C1226" s="60" t="s">
        <v>4354</v>
      </c>
      <c r="D1226" s="40">
        <v>44887</v>
      </c>
      <c r="E1226" s="61">
        <v>100</v>
      </c>
      <c r="F1226" s="62">
        <v>100</v>
      </c>
      <c r="G1226" s="63" t="s">
        <v>615</v>
      </c>
      <c r="H1226" s="64" t="s">
        <v>1139</v>
      </c>
      <c r="I1226" s="64" t="s">
        <v>2713</v>
      </c>
      <c r="J1226" s="63" t="s">
        <v>539</v>
      </c>
      <c r="K1226" s="64" t="s">
        <v>4918</v>
      </c>
      <c r="L1226" s="63" t="s">
        <v>2558</v>
      </c>
      <c r="M1226" s="63">
        <v>0</v>
      </c>
      <c r="N1226" s="65">
        <v>45565</v>
      </c>
    </row>
    <row r="1227" spans="1:14" customFormat="1" ht="14.45" customHeight="1" x14ac:dyDescent="0.2">
      <c r="A1227" s="59" t="s">
        <v>5451</v>
      </c>
      <c r="B1227" s="60" t="s">
        <v>4251</v>
      </c>
      <c r="C1227" s="60" t="s">
        <v>4308</v>
      </c>
      <c r="D1227" s="40">
        <v>44888</v>
      </c>
      <c r="E1227" s="61">
        <v>115.1</v>
      </c>
      <c r="F1227" s="62">
        <v>115.1</v>
      </c>
      <c r="G1227" s="63" t="s">
        <v>615</v>
      </c>
      <c r="H1227" s="64" t="s">
        <v>2806</v>
      </c>
      <c r="I1227" s="64" t="s">
        <v>2713</v>
      </c>
      <c r="J1227" s="63" t="s">
        <v>539</v>
      </c>
      <c r="K1227" s="64" t="s">
        <v>4573</v>
      </c>
      <c r="L1227" s="63" t="s">
        <v>2558</v>
      </c>
      <c r="M1227" s="63" t="s">
        <v>5781</v>
      </c>
      <c r="N1227" s="65">
        <v>45443</v>
      </c>
    </row>
    <row r="1228" spans="1:14" customFormat="1" ht="14.45" customHeight="1" x14ac:dyDescent="0.2">
      <c r="A1228" s="59" t="s">
        <v>5452</v>
      </c>
      <c r="B1228" s="60" t="s">
        <v>4277</v>
      </c>
      <c r="C1228" s="60" t="s">
        <v>4355</v>
      </c>
      <c r="D1228" s="40">
        <v>44893</v>
      </c>
      <c r="E1228" s="61">
        <v>600</v>
      </c>
      <c r="F1228" s="62">
        <v>600</v>
      </c>
      <c r="G1228" s="63" t="s">
        <v>615</v>
      </c>
      <c r="H1228" s="64" t="s">
        <v>2777</v>
      </c>
      <c r="I1228" s="64" t="s">
        <v>2713</v>
      </c>
      <c r="J1228" s="63" t="s">
        <v>471</v>
      </c>
      <c r="K1228" s="64" t="s">
        <v>4919</v>
      </c>
      <c r="L1228" s="63" t="s">
        <v>157</v>
      </c>
      <c r="M1228" s="63" t="s">
        <v>5781</v>
      </c>
      <c r="N1228" s="65">
        <v>45443</v>
      </c>
    </row>
    <row r="1229" spans="1:14" customFormat="1" ht="14.45" customHeight="1" x14ac:dyDescent="0.2">
      <c r="A1229" s="59" t="s">
        <v>4646</v>
      </c>
      <c r="B1229" s="60" t="s">
        <v>3948</v>
      </c>
      <c r="C1229" s="60" t="s">
        <v>4647</v>
      </c>
      <c r="D1229" s="40" t="s">
        <v>4357</v>
      </c>
      <c r="E1229" s="61">
        <v>245</v>
      </c>
      <c r="F1229" s="62">
        <v>245</v>
      </c>
      <c r="G1229" s="63" t="s">
        <v>615</v>
      </c>
      <c r="H1229" s="64" t="s">
        <v>2777</v>
      </c>
      <c r="I1229" s="64" t="s">
        <v>2713</v>
      </c>
      <c r="J1229" s="63" t="s">
        <v>539</v>
      </c>
      <c r="K1229" s="64" t="s">
        <v>4648</v>
      </c>
      <c r="L1229" s="63" t="s">
        <v>157</v>
      </c>
      <c r="M1229" s="63">
        <v>0</v>
      </c>
      <c r="N1229" s="65">
        <v>45016</v>
      </c>
    </row>
    <row r="1230" spans="1:14" customFormat="1" ht="14.45" customHeight="1" x14ac:dyDescent="0.2">
      <c r="A1230" s="59" t="s">
        <v>5453</v>
      </c>
      <c r="B1230" s="60" t="s">
        <v>6004</v>
      </c>
      <c r="C1230" s="60" t="s">
        <v>4356</v>
      </c>
      <c r="D1230" s="40">
        <v>44894</v>
      </c>
      <c r="E1230" s="61">
        <v>46</v>
      </c>
      <c r="F1230" s="62">
        <v>46</v>
      </c>
      <c r="G1230" s="63" t="s">
        <v>3505</v>
      </c>
      <c r="H1230" s="64" t="s">
        <v>2098</v>
      </c>
      <c r="I1230" s="64" t="s">
        <v>2713</v>
      </c>
      <c r="J1230" s="63" t="s">
        <v>540</v>
      </c>
      <c r="K1230" s="64" t="s">
        <v>4574</v>
      </c>
      <c r="L1230" s="63" t="s">
        <v>191</v>
      </c>
      <c r="M1230" s="63" t="s">
        <v>5781</v>
      </c>
      <c r="N1230" s="65">
        <v>45443</v>
      </c>
    </row>
    <row r="1231" spans="1:14" customFormat="1" ht="14.45" customHeight="1" x14ac:dyDescent="0.2">
      <c r="A1231" s="59" t="s">
        <v>5454</v>
      </c>
      <c r="B1231" s="60" t="s">
        <v>4358</v>
      </c>
      <c r="C1231" s="60" t="s">
        <v>4359</v>
      </c>
      <c r="D1231" s="40">
        <v>44895</v>
      </c>
      <c r="E1231" s="61">
        <v>1330</v>
      </c>
      <c r="F1231" s="62">
        <v>1330</v>
      </c>
      <c r="G1231" s="63" t="s">
        <v>124</v>
      </c>
      <c r="H1231" s="64" t="s">
        <v>2746</v>
      </c>
      <c r="I1231" s="64" t="s">
        <v>2713</v>
      </c>
      <c r="J1231" s="63" t="s">
        <v>532</v>
      </c>
      <c r="K1231" s="64" t="s">
        <v>4575</v>
      </c>
      <c r="L1231" s="63" t="s">
        <v>41</v>
      </c>
      <c r="M1231" s="63" t="s">
        <v>5781</v>
      </c>
      <c r="N1231" s="65">
        <v>45443</v>
      </c>
    </row>
    <row r="1232" spans="1:14" customFormat="1" ht="14.45" customHeight="1" x14ac:dyDescent="0.2">
      <c r="A1232" s="59" t="s">
        <v>4360</v>
      </c>
      <c r="B1232" s="60" t="s">
        <v>4361</v>
      </c>
      <c r="C1232" s="60" t="s">
        <v>4362</v>
      </c>
      <c r="D1232" s="40" t="s">
        <v>4071</v>
      </c>
      <c r="E1232" s="61">
        <v>120</v>
      </c>
      <c r="F1232" s="62">
        <v>120</v>
      </c>
      <c r="G1232" s="63" t="s">
        <v>124</v>
      </c>
      <c r="H1232" s="64" t="s">
        <v>2838</v>
      </c>
      <c r="I1232" s="64" t="s">
        <v>2713</v>
      </c>
      <c r="J1232" s="63" t="s">
        <v>531</v>
      </c>
      <c r="K1232" s="64" t="s">
        <v>4576</v>
      </c>
      <c r="L1232" s="63" t="s">
        <v>157</v>
      </c>
      <c r="M1232" s="63">
        <v>0</v>
      </c>
      <c r="N1232" s="65">
        <v>45046</v>
      </c>
    </row>
    <row r="1233" spans="1:14" customFormat="1" ht="14.45" customHeight="1" x14ac:dyDescent="0.2">
      <c r="A1233" s="59" t="s">
        <v>5455</v>
      </c>
      <c r="B1233" s="60" t="s">
        <v>4577</v>
      </c>
      <c r="C1233" s="60" t="s">
        <v>4578</v>
      </c>
      <c r="D1233" s="40">
        <v>44895</v>
      </c>
      <c r="E1233" s="61">
        <v>50</v>
      </c>
      <c r="F1233" s="62">
        <v>50</v>
      </c>
      <c r="G1233" s="63" t="s">
        <v>615</v>
      </c>
      <c r="H1233" s="64" t="s">
        <v>2717</v>
      </c>
      <c r="I1233" s="64" t="s">
        <v>2713</v>
      </c>
      <c r="J1233" s="63" t="s">
        <v>539</v>
      </c>
      <c r="K1233" s="64" t="s">
        <v>4966</v>
      </c>
      <c r="L1233" s="63" t="s">
        <v>1162</v>
      </c>
      <c r="M1233" s="63" t="s">
        <v>5781</v>
      </c>
      <c r="N1233" s="65">
        <v>45382</v>
      </c>
    </row>
    <row r="1234" spans="1:14" customFormat="1" ht="14.45" customHeight="1" x14ac:dyDescent="0.2">
      <c r="A1234" s="59" t="s">
        <v>5456</v>
      </c>
      <c r="B1234" s="60" t="s">
        <v>4527</v>
      </c>
      <c r="C1234" s="60" t="s">
        <v>4309</v>
      </c>
      <c r="D1234" s="40">
        <v>44895</v>
      </c>
      <c r="E1234" s="61">
        <v>8.4</v>
      </c>
      <c r="F1234" s="62">
        <v>8.4</v>
      </c>
      <c r="G1234" s="63" t="s">
        <v>3505</v>
      </c>
      <c r="H1234" s="64" t="s">
        <v>2800</v>
      </c>
      <c r="I1234" s="64" t="s">
        <v>2713</v>
      </c>
      <c r="J1234" s="63" t="s">
        <v>530</v>
      </c>
      <c r="K1234" s="64" t="s">
        <v>4735</v>
      </c>
      <c r="L1234" s="63" t="s">
        <v>157</v>
      </c>
      <c r="M1234" s="63">
        <v>0</v>
      </c>
      <c r="N1234" s="65">
        <v>45351</v>
      </c>
    </row>
    <row r="1235" spans="1:14" customFormat="1" ht="14.45" customHeight="1" x14ac:dyDescent="0.2">
      <c r="A1235" s="59" t="s">
        <v>4374</v>
      </c>
      <c r="B1235" s="42" t="s">
        <v>3604</v>
      </c>
      <c r="C1235" s="42" t="s">
        <v>4317</v>
      </c>
      <c r="D1235" s="40">
        <v>44896</v>
      </c>
      <c r="E1235" s="41">
        <v>18.600000000000001</v>
      </c>
      <c r="F1235" s="46">
        <v>18.600000000000001</v>
      </c>
      <c r="G1235" s="44" t="s">
        <v>3505</v>
      </c>
      <c r="H1235" s="43" t="s">
        <v>2729</v>
      </c>
      <c r="I1235" s="43" t="s">
        <v>2713</v>
      </c>
      <c r="J1235" s="44" t="s">
        <v>393</v>
      </c>
      <c r="K1235" s="48" t="s">
        <v>4318</v>
      </c>
      <c r="L1235" s="52" t="s">
        <v>157</v>
      </c>
      <c r="M1235" s="44">
        <v>0</v>
      </c>
      <c r="N1235" s="45">
        <v>44926</v>
      </c>
    </row>
    <row r="1236" spans="1:14" customFormat="1" ht="14.45" customHeight="1" x14ac:dyDescent="0.2">
      <c r="A1236" s="59" t="s">
        <v>4375</v>
      </c>
      <c r="B1236" s="42" t="s">
        <v>3604</v>
      </c>
      <c r="C1236" s="42" t="s">
        <v>4319</v>
      </c>
      <c r="D1236" s="40">
        <v>44896</v>
      </c>
      <c r="E1236" s="41">
        <v>19.899999999999999</v>
      </c>
      <c r="F1236" s="46">
        <v>19.899999999999999</v>
      </c>
      <c r="G1236" s="44" t="s">
        <v>3505</v>
      </c>
      <c r="H1236" s="43" t="s">
        <v>2742</v>
      </c>
      <c r="I1236" s="43" t="s">
        <v>2713</v>
      </c>
      <c r="J1236" s="44" t="s">
        <v>393</v>
      </c>
      <c r="K1236" s="48" t="s">
        <v>4320</v>
      </c>
      <c r="L1236" s="52" t="s">
        <v>157</v>
      </c>
      <c r="M1236" s="44">
        <v>0</v>
      </c>
      <c r="N1236" s="45">
        <v>44926</v>
      </c>
    </row>
    <row r="1237" spans="1:14" customFormat="1" ht="14.45" customHeight="1" x14ac:dyDescent="0.2">
      <c r="A1237" s="59" t="s">
        <v>4376</v>
      </c>
      <c r="B1237" s="42" t="s">
        <v>3604</v>
      </c>
      <c r="C1237" s="42" t="s">
        <v>4321</v>
      </c>
      <c r="D1237" s="40">
        <v>44896</v>
      </c>
      <c r="E1237" s="41">
        <v>19.899999999999999</v>
      </c>
      <c r="F1237" s="46">
        <v>19.899999999999999</v>
      </c>
      <c r="G1237" s="44" t="s">
        <v>3505</v>
      </c>
      <c r="H1237" s="43" t="s">
        <v>2729</v>
      </c>
      <c r="I1237" s="43" t="s">
        <v>2713</v>
      </c>
      <c r="J1237" s="44" t="s">
        <v>393</v>
      </c>
      <c r="K1237" s="48" t="s">
        <v>4322</v>
      </c>
      <c r="L1237" s="52" t="s">
        <v>157</v>
      </c>
      <c r="M1237" s="44">
        <v>0</v>
      </c>
      <c r="N1237" s="45">
        <v>44926</v>
      </c>
    </row>
    <row r="1238" spans="1:14" customFormat="1" ht="14.45" customHeight="1" x14ac:dyDescent="0.2">
      <c r="A1238" s="59" t="s">
        <v>4664</v>
      </c>
      <c r="B1238" s="60" t="s">
        <v>4527</v>
      </c>
      <c r="C1238" s="60" t="s">
        <v>4665</v>
      </c>
      <c r="D1238" s="40">
        <v>44896</v>
      </c>
      <c r="E1238" s="61">
        <v>35</v>
      </c>
      <c r="F1238" s="62">
        <v>35</v>
      </c>
      <c r="G1238" s="63" t="s">
        <v>3505</v>
      </c>
      <c r="H1238" s="64" t="s">
        <v>2800</v>
      </c>
      <c r="I1238" s="64" t="s">
        <v>2713</v>
      </c>
      <c r="J1238" s="63" t="s">
        <v>530</v>
      </c>
      <c r="K1238" s="64" t="s">
        <v>4666</v>
      </c>
      <c r="L1238" s="63" t="s">
        <v>157</v>
      </c>
      <c r="M1238" s="63">
        <v>0</v>
      </c>
      <c r="N1238" s="65">
        <v>45107</v>
      </c>
    </row>
    <row r="1239" spans="1:14" customFormat="1" ht="14.45" customHeight="1" x14ac:dyDescent="0.2">
      <c r="A1239" s="59" t="s">
        <v>5458</v>
      </c>
      <c r="B1239" s="60" t="s">
        <v>4852</v>
      </c>
      <c r="C1239" s="60" t="s">
        <v>4579</v>
      </c>
      <c r="D1239" s="40">
        <v>44910</v>
      </c>
      <c r="E1239" s="61">
        <v>600</v>
      </c>
      <c r="F1239" s="62">
        <v>600</v>
      </c>
      <c r="G1239" s="63" t="s">
        <v>615</v>
      </c>
      <c r="H1239" s="64" t="s">
        <v>4568</v>
      </c>
      <c r="I1239" s="64" t="s">
        <v>2713</v>
      </c>
      <c r="J1239" s="63" t="s">
        <v>532</v>
      </c>
      <c r="K1239" s="64" t="s">
        <v>4736</v>
      </c>
      <c r="L1239" s="63" t="s">
        <v>87</v>
      </c>
      <c r="M1239" s="63" t="s">
        <v>5781</v>
      </c>
      <c r="N1239" s="65">
        <v>45443</v>
      </c>
    </row>
    <row r="1240" spans="1:14" customFormat="1" ht="14.45" customHeight="1" x14ac:dyDescent="0.2">
      <c r="A1240" s="59" t="s">
        <v>5459</v>
      </c>
      <c r="B1240" s="60" t="s">
        <v>3948</v>
      </c>
      <c r="C1240" s="60" t="s">
        <v>4580</v>
      </c>
      <c r="D1240" s="40">
        <v>44911</v>
      </c>
      <c r="E1240" s="61">
        <v>40</v>
      </c>
      <c r="F1240" s="62">
        <v>40</v>
      </c>
      <c r="G1240" s="63" t="s">
        <v>615</v>
      </c>
      <c r="H1240" s="64" t="s">
        <v>2788</v>
      </c>
      <c r="I1240" s="64" t="s">
        <v>2713</v>
      </c>
      <c r="J1240" s="63" t="s">
        <v>530</v>
      </c>
      <c r="K1240" s="64" t="s">
        <v>5055</v>
      </c>
      <c r="L1240" s="63" t="s">
        <v>157</v>
      </c>
      <c r="M1240" s="63">
        <v>0</v>
      </c>
      <c r="N1240" s="65">
        <v>45351</v>
      </c>
    </row>
    <row r="1241" spans="1:14" customFormat="1" ht="14.45" customHeight="1" x14ac:dyDescent="0.2">
      <c r="A1241" s="59" t="s">
        <v>5961</v>
      </c>
      <c r="B1241" s="60" t="s">
        <v>3844</v>
      </c>
      <c r="C1241" s="60" t="s">
        <v>5962</v>
      </c>
      <c r="D1241" s="40">
        <v>44917</v>
      </c>
      <c r="E1241" s="61">
        <v>80</v>
      </c>
      <c r="F1241" s="62">
        <v>80</v>
      </c>
      <c r="G1241" s="63" t="s">
        <v>615</v>
      </c>
      <c r="H1241" s="64" t="s">
        <v>2742</v>
      </c>
      <c r="I1241" s="64" t="s">
        <v>2713</v>
      </c>
      <c r="J1241" s="63" t="s">
        <v>393</v>
      </c>
      <c r="K1241" s="64" t="s">
        <v>5963</v>
      </c>
      <c r="L1241" s="63" t="s">
        <v>157</v>
      </c>
      <c r="M1241" s="63" t="s">
        <v>5781</v>
      </c>
      <c r="N1241" s="65">
        <v>45504</v>
      </c>
    </row>
    <row r="1242" spans="1:14" customFormat="1" ht="14.45" customHeight="1" x14ac:dyDescent="0.2">
      <c r="A1242" s="59" t="s">
        <v>5460</v>
      </c>
      <c r="B1242" s="60" t="s">
        <v>3844</v>
      </c>
      <c r="C1242" s="60" t="s">
        <v>4581</v>
      </c>
      <c r="D1242" s="40">
        <v>44917</v>
      </c>
      <c r="E1242" s="61">
        <v>100</v>
      </c>
      <c r="F1242" s="62">
        <v>100</v>
      </c>
      <c r="G1242" s="63" t="s">
        <v>615</v>
      </c>
      <c r="H1242" s="64" t="s">
        <v>2796</v>
      </c>
      <c r="I1242" s="64" t="s">
        <v>2713</v>
      </c>
      <c r="J1242" s="63" t="s">
        <v>471</v>
      </c>
      <c r="K1242" s="64" t="s">
        <v>4920</v>
      </c>
      <c r="L1242" s="63" t="s">
        <v>157</v>
      </c>
      <c r="M1242" s="63">
        <v>0</v>
      </c>
      <c r="N1242" s="65">
        <v>45382</v>
      </c>
    </row>
    <row r="1243" spans="1:14" customFormat="1" ht="14.45" customHeight="1" x14ac:dyDescent="0.2">
      <c r="A1243" s="59" t="s">
        <v>5461</v>
      </c>
      <c r="B1243" s="60" t="s">
        <v>3844</v>
      </c>
      <c r="C1243" s="60" t="s">
        <v>4582</v>
      </c>
      <c r="D1243" s="40">
        <v>44917</v>
      </c>
      <c r="E1243" s="61">
        <v>100</v>
      </c>
      <c r="F1243" s="62">
        <v>100</v>
      </c>
      <c r="G1243" s="63" t="s">
        <v>55</v>
      </c>
      <c r="H1243" s="64" t="s">
        <v>2728</v>
      </c>
      <c r="I1243" s="64" t="s">
        <v>2713</v>
      </c>
      <c r="J1243" s="63" t="s">
        <v>531</v>
      </c>
      <c r="K1243" s="64" t="s">
        <v>4921</v>
      </c>
      <c r="L1243" s="63" t="s">
        <v>157</v>
      </c>
      <c r="M1243" s="63">
        <v>0</v>
      </c>
      <c r="N1243" s="65">
        <v>45565</v>
      </c>
    </row>
    <row r="1244" spans="1:14" customFormat="1" ht="14.45" customHeight="1" x14ac:dyDescent="0.2">
      <c r="A1244" s="59" t="s">
        <v>6189</v>
      </c>
      <c r="B1244" s="60" t="s">
        <v>3844</v>
      </c>
      <c r="C1244" s="60" t="s">
        <v>6190</v>
      </c>
      <c r="D1244" s="40">
        <v>44917</v>
      </c>
      <c r="E1244" s="61">
        <v>100</v>
      </c>
      <c r="F1244" s="62">
        <v>100</v>
      </c>
      <c r="G1244" s="63" t="s">
        <v>615</v>
      </c>
      <c r="H1244" s="64" t="s">
        <v>3154</v>
      </c>
      <c r="I1244" s="64" t="s">
        <v>2713</v>
      </c>
      <c r="J1244" s="63" t="s">
        <v>539</v>
      </c>
      <c r="K1244" s="64" t="s">
        <v>6191</v>
      </c>
      <c r="L1244" s="63" t="s">
        <v>1162</v>
      </c>
      <c r="M1244" s="63" t="s">
        <v>5781</v>
      </c>
      <c r="N1244" s="65">
        <v>45626</v>
      </c>
    </row>
    <row r="1245" spans="1:14" customFormat="1" ht="14.45" customHeight="1" x14ac:dyDescent="0.2">
      <c r="A1245" s="59" t="s">
        <v>5462</v>
      </c>
      <c r="B1245" s="60" t="s">
        <v>3844</v>
      </c>
      <c r="C1245" s="60" t="s">
        <v>4583</v>
      </c>
      <c r="D1245" s="40">
        <v>44917</v>
      </c>
      <c r="E1245" s="61">
        <v>100</v>
      </c>
      <c r="F1245" s="62">
        <v>100</v>
      </c>
      <c r="G1245" s="63" t="s">
        <v>615</v>
      </c>
      <c r="H1245" s="64" t="s">
        <v>4584</v>
      </c>
      <c r="I1245" s="64" t="s">
        <v>2713</v>
      </c>
      <c r="J1245" s="63" t="s">
        <v>539</v>
      </c>
      <c r="K1245" s="64" t="s">
        <v>4737</v>
      </c>
      <c r="L1245" s="63" t="s">
        <v>2558</v>
      </c>
      <c r="M1245" s="63" t="s">
        <v>5781</v>
      </c>
      <c r="N1245" s="65">
        <v>45046</v>
      </c>
    </row>
    <row r="1246" spans="1:14" customFormat="1" ht="14.45" customHeight="1" x14ac:dyDescent="0.2">
      <c r="A1246" s="59" t="s">
        <v>5463</v>
      </c>
      <c r="B1246" s="60" t="s">
        <v>3844</v>
      </c>
      <c r="C1246" s="60" t="s">
        <v>4585</v>
      </c>
      <c r="D1246" s="40">
        <v>44917</v>
      </c>
      <c r="E1246" s="61">
        <v>100</v>
      </c>
      <c r="F1246" s="62">
        <v>100</v>
      </c>
      <c r="G1246" s="63" t="s">
        <v>55</v>
      </c>
      <c r="H1246" s="64" t="s">
        <v>2748</v>
      </c>
      <c r="I1246" s="64" t="s">
        <v>2713</v>
      </c>
      <c r="J1246" s="63" t="s">
        <v>393</v>
      </c>
      <c r="K1246" s="64" t="s">
        <v>4586</v>
      </c>
      <c r="L1246" s="63" t="s">
        <v>34</v>
      </c>
      <c r="M1246" s="63" t="s">
        <v>5781</v>
      </c>
      <c r="N1246" s="65">
        <v>45443</v>
      </c>
    </row>
    <row r="1247" spans="1:14" customFormat="1" ht="14.45" customHeight="1" x14ac:dyDescent="0.2">
      <c r="A1247" s="59" t="s">
        <v>6076</v>
      </c>
      <c r="B1247" s="60" t="s">
        <v>3951</v>
      </c>
      <c r="C1247" s="60" t="s">
        <v>3952</v>
      </c>
      <c r="D1247" s="40">
        <v>44916</v>
      </c>
      <c r="E1247" s="61">
        <v>1310</v>
      </c>
      <c r="F1247" s="62">
        <v>1310</v>
      </c>
      <c r="G1247" s="63" t="s">
        <v>124</v>
      </c>
      <c r="H1247" s="64" t="s">
        <v>2719</v>
      </c>
      <c r="I1247" s="64" t="s">
        <v>2713</v>
      </c>
      <c r="J1247" s="63" t="s">
        <v>533</v>
      </c>
      <c r="K1247" s="64" t="s">
        <v>6077</v>
      </c>
      <c r="L1247" s="63" t="s">
        <v>403</v>
      </c>
      <c r="M1247" s="63" t="s">
        <v>5781</v>
      </c>
      <c r="N1247" s="65">
        <v>45505</v>
      </c>
    </row>
    <row r="1248" spans="1:14" customFormat="1" ht="14.45" customHeight="1" x14ac:dyDescent="0.2">
      <c r="A1248" s="59" t="s">
        <v>7377</v>
      </c>
      <c r="B1248" s="60" t="s">
        <v>3844</v>
      </c>
      <c r="C1248" s="60" t="s">
        <v>7378</v>
      </c>
      <c r="D1248" s="40">
        <v>44917</v>
      </c>
      <c r="E1248" s="61">
        <v>200</v>
      </c>
      <c r="F1248" s="62">
        <v>200</v>
      </c>
      <c r="G1248" s="63" t="s">
        <v>55</v>
      </c>
      <c r="H1248" s="64" t="s">
        <v>2732</v>
      </c>
      <c r="I1248" s="64" t="s">
        <v>2713</v>
      </c>
      <c r="J1248" s="63" t="s">
        <v>393</v>
      </c>
      <c r="K1248" s="64" t="s">
        <v>7379</v>
      </c>
      <c r="L1248" s="63" t="s">
        <v>34</v>
      </c>
      <c r="M1248" s="63" t="s">
        <v>5781</v>
      </c>
      <c r="N1248" s="65">
        <v>45626</v>
      </c>
    </row>
    <row r="1249" spans="1:14" customFormat="1" ht="14.45" customHeight="1" x14ac:dyDescent="0.2">
      <c r="A1249" s="59" t="s">
        <v>7380</v>
      </c>
      <c r="B1249" s="60" t="s">
        <v>3844</v>
      </c>
      <c r="C1249" s="60" t="s">
        <v>7381</v>
      </c>
      <c r="D1249" s="40">
        <v>44917</v>
      </c>
      <c r="E1249" s="61">
        <v>150</v>
      </c>
      <c r="F1249" s="62">
        <v>150</v>
      </c>
      <c r="G1249" s="63" t="s">
        <v>55</v>
      </c>
      <c r="H1249" s="64" t="s">
        <v>3145</v>
      </c>
      <c r="I1249" s="64" t="s">
        <v>2713</v>
      </c>
      <c r="J1249" s="63" t="s">
        <v>393</v>
      </c>
      <c r="K1249" s="64" t="s">
        <v>7382</v>
      </c>
      <c r="L1249" s="63" t="s">
        <v>34</v>
      </c>
      <c r="M1249" s="63" t="s">
        <v>5781</v>
      </c>
      <c r="N1249" s="65">
        <v>45626</v>
      </c>
    </row>
    <row r="1250" spans="1:14" customFormat="1" ht="14.45" customHeight="1" x14ac:dyDescent="0.2">
      <c r="A1250" s="59" t="s">
        <v>5464</v>
      </c>
      <c r="B1250" s="60" t="s">
        <v>4669</v>
      </c>
      <c r="C1250" s="60" t="s">
        <v>4669</v>
      </c>
      <c r="D1250" s="40">
        <v>44917</v>
      </c>
      <c r="E1250" s="61">
        <v>110</v>
      </c>
      <c r="F1250" s="62">
        <v>110</v>
      </c>
      <c r="G1250" s="63" t="s">
        <v>55</v>
      </c>
      <c r="H1250" s="64" t="s">
        <v>2736</v>
      </c>
      <c r="I1250" s="64" t="s">
        <v>2713</v>
      </c>
      <c r="J1250" s="63" t="s">
        <v>471</v>
      </c>
      <c r="K1250" s="64" t="s">
        <v>4670</v>
      </c>
      <c r="L1250" s="63" t="s">
        <v>157</v>
      </c>
      <c r="M1250" s="63" t="s">
        <v>5781</v>
      </c>
      <c r="N1250" s="65">
        <v>45443</v>
      </c>
    </row>
    <row r="1251" spans="1:14" customFormat="1" ht="14.45" customHeight="1" x14ac:dyDescent="0.2">
      <c r="A1251" s="59" t="s">
        <v>5465</v>
      </c>
      <c r="B1251" s="60" t="s">
        <v>4671</v>
      </c>
      <c r="C1251" s="60" t="s">
        <v>4672</v>
      </c>
      <c r="D1251" s="40">
        <v>44917</v>
      </c>
      <c r="E1251" s="61">
        <v>200</v>
      </c>
      <c r="F1251" s="62">
        <v>200</v>
      </c>
      <c r="G1251" s="63" t="s">
        <v>55</v>
      </c>
      <c r="H1251" s="64" t="s">
        <v>2739</v>
      </c>
      <c r="I1251" s="64" t="s">
        <v>2713</v>
      </c>
      <c r="J1251" s="63" t="s">
        <v>540</v>
      </c>
      <c r="K1251" s="64" t="s">
        <v>4673</v>
      </c>
      <c r="L1251" s="63" t="s">
        <v>41</v>
      </c>
      <c r="M1251" s="63" t="s">
        <v>5781</v>
      </c>
      <c r="N1251" s="65">
        <v>45443</v>
      </c>
    </row>
    <row r="1252" spans="1:14" customFormat="1" ht="14.45" customHeight="1" x14ac:dyDescent="0.2">
      <c r="A1252" s="59" t="s">
        <v>5466</v>
      </c>
      <c r="B1252" s="60" t="s">
        <v>4671</v>
      </c>
      <c r="C1252" s="60" t="s">
        <v>4674</v>
      </c>
      <c r="D1252" s="40">
        <v>44917</v>
      </c>
      <c r="E1252" s="61">
        <v>200</v>
      </c>
      <c r="F1252" s="62">
        <v>200</v>
      </c>
      <c r="G1252" s="63" t="s">
        <v>615</v>
      </c>
      <c r="H1252" s="64" t="s">
        <v>2739</v>
      </c>
      <c r="I1252" s="64" t="s">
        <v>2713</v>
      </c>
      <c r="J1252" s="63" t="s">
        <v>540</v>
      </c>
      <c r="K1252" s="64" t="s">
        <v>4673</v>
      </c>
      <c r="L1252" s="63" t="s">
        <v>41</v>
      </c>
      <c r="M1252" s="63" t="s">
        <v>5781</v>
      </c>
      <c r="N1252" s="65">
        <v>45443</v>
      </c>
    </row>
    <row r="1253" spans="1:14" customFormat="1" ht="14.45" customHeight="1" x14ac:dyDescent="0.2">
      <c r="A1253" s="59" t="s">
        <v>5467</v>
      </c>
      <c r="B1253" s="60" t="s">
        <v>4587</v>
      </c>
      <c r="C1253" s="60" t="s">
        <v>4588</v>
      </c>
      <c r="D1253" s="40">
        <v>44924</v>
      </c>
      <c r="E1253" s="61">
        <v>150</v>
      </c>
      <c r="F1253" s="62">
        <v>150</v>
      </c>
      <c r="G1253" s="63" t="s">
        <v>615</v>
      </c>
      <c r="H1253" s="64" t="s">
        <v>2717</v>
      </c>
      <c r="I1253" s="64" t="s">
        <v>2713</v>
      </c>
      <c r="J1253" s="63" t="s">
        <v>539</v>
      </c>
      <c r="K1253" s="64" t="s">
        <v>4589</v>
      </c>
      <c r="L1253" s="63" t="s">
        <v>2558</v>
      </c>
      <c r="M1253" s="63" t="s">
        <v>5781</v>
      </c>
      <c r="N1253" s="65">
        <v>45443</v>
      </c>
    </row>
    <row r="1254" spans="1:14" customFormat="1" ht="14.45" customHeight="1" x14ac:dyDescent="0.2">
      <c r="A1254" s="59" t="s">
        <v>5468</v>
      </c>
      <c r="B1254" s="60" t="s">
        <v>4587</v>
      </c>
      <c r="C1254" s="60" t="s">
        <v>4590</v>
      </c>
      <c r="D1254" s="40">
        <v>44931</v>
      </c>
      <c r="E1254" s="61">
        <v>200</v>
      </c>
      <c r="F1254" s="62">
        <v>200</v>
      </c>
      <c r="G1254" s="63" t="s">
        <v>3505</v>
      </c>
      <c r="H1254" s="64" t="s">
        <v>2718</v>
      </c>
      <c r="I1254" s="64" t="s">
        <v>2713</v>
      </c>
      <c r="J1254" s="63" t="s">
        <v>530</v>
      </c>
      <c r="K1254" s="64" t="s">
        <v>4591</v>
      </c>
      <c r="L1254" s="63" t="s">
        <v>41</v>
      </c>
      <c r="M1254" s="63" t="s">
        <v>5781</v>
      </c>
      <c r="N1254" s="65">
        <v>45443</v>
      </c>
    </row>
    <row r="1255" spans="1:14" customFormat="1" ht="14.45" customHeight="1" x14ac:dyDescent="0.2">
      <c r="A1255" s="59" t="s">
        <v>5469</v>
      </c>
      <c r="B1255" s="60" t="s">
        <v>4587</v>
      </c>
      <c r="C1255" s="60" t="s">
        <v>4675</v>
      </c>
      <c r="D1255" s="40">
        <v>44932</v>
      </c>
      <c r="E1255" s="61">
        <v>150</v>
      </c>
      <c r="F1255" s="62">
        <v>150</v>
      </c>
      <c r="G1255" s="63" t="s">
        <v>615</v>
      </c>
      <c r="H1255" s="64" t="s">
        <v>2717</v>
      </c>
      <c r="I1255" s="64" t="s">
        <v>2713</v>
      </c>
      <c r="J1255" s="63" t="s">
        <v>539</v>
      </c>
      <c r="K1255" s="64" t="s">
        <v>4676</v>
      </c>
      <c r="L1255" s="63" t="s">
        <v>2558</v>
      </c>
      <c r="M1255" s="63" t="s">
        <v>5781</v>
      </c>
      <c r="N1255" s="65">
        <v>45443</v>
      </c>
    </row>
    <row r="1256" spans="1:14" customFormat="1" ht="14.45" customHeight="1" x14ac:dyDescent="0.2">
      <c r="A1256" s="59" t="s">
        <v>5470</v>
      </c>
      <c r="B1256" s="60" t="s">
        <v>4677</v>
      </c>
      <c r="C1256" s="60" t="s">
        <v>4678</v>
      </c>
      <c r="D1256" s="40">
        <v>44939</v>
      </c>
      <c r="E1256" s="61">
        <v>24.9</v>
      </c>
      <c r="F1256" s="62">
        <v>24.9</v>
      </c>
      <c r="G1256" s="63" t="s">
        <v>55</v>
      </c>
      <c r="H1256" s="64" t="s">
        <v>590</v>
      </c>
      <c r="I1256" s="64" t="s">
        <v>2713</v>
      </c>
      <c r="J1256" s="63" t="s">
        <v>393</v>
      </c>
      <c r="K1256" s="64" t="s">
        <v>5056</v>
      </c>
      <c r="L1256" s="63" t="s">
        <v>157</v>
      </c>
      <c r="M1256" s="63" t="s">
        <v>5781</v>
      </c>
      <c r="N1256" s="65">
        <v>45504</v>
      </c>
    </row>
    <row r="1257" spans="1:14" customFormat="1" ht="14.45" customHeight="1" x14ac:dyDescent="0.2">
      <c r="A1257" s="59" t="s">
        <v>5471</v>
      </c>
      <c r="B1257" s="60" t="s">
        <v>2901</v>
      </c>
      <c r="C1257" s="60" t="s">
        <v>4679</v>
      </c>
      <c r="D1257" s="40">
        <v>44941</v>
      </c>
      <c r="E1257" s="61">
        <v>1400</v>
      </c>
      <c r="F1257" s="62">
        <v>1400</v>
      </c>
      <c r="G1257" s="63" t="s">
        <v>3610</v>
      </c>
      <c r="H1257" s="64" t="s">
        <v>4568</v>
      </c>
      <c r="I1257" s="64" t="s">
        <v>2713</v>
      </c>
      <c r="J1257" s="63" t="s">
        <v>532</v>
      </c>
      <c r="K1257" s="64" t="s">
        <v>4730</v>
      </c>
      <c r="L1257" s="63" t="s">
        <v>87</v>
      </c>
      <c r="M1257" s="63" t="s">
        <v>5781</v>
      </c>
      <c r="N1257" s="65">
        <v>45443</v>
      </c>
    </row>
    <row r="1258" spans="1:14" customFormat="1" ht="14.45" customHeight="1" x14ac:dyDescent="0.2">
      <c r="A1258" s="59" t="s">
        <v>5472</v>
      </c>
      <c r="B1258" s="60" t="s">
        <v>2901</v>
      </c>
      <c r="C1258" s="60" t="s">
        <v>4592</v>
      </c>
      <c r="D1258" s="40">
        <v>44941</v>
      </c>
      <c r="E1258" s="61">
        <v>1400</v>
      </c>
      <c r="F1258" s="62">
        <v>1400</v>
      </c>
      <c r="G1258" s="63" t="s">
        <v>3610</v>
      </c>
      <c r="H1258" s="64" t="s">
        <v>4593</v>
      </c>
      <c r="I1258" s="64" t="s">
        <v>2713</v>
      </c>
      <c r="J1258" s="63" t="s">
        <v>533</v>
      </c>
      <c r="K1258" s="64" t="s">
        <v>4707</v>
      </c>
      <c r="L1258" s="63" t="s">
        <v>403</v>
      </c>
      <c r="M1258" s="63" t="s">
        <v>5781</v>
      </c>
      <c r="N1258" s="65">
        <v>45443</v>
      </c>
    </row>
    <row r="1259" spans="1:14" customFormat="1" ht="14.45" customHeight="1" x14ac:dyDescent="0.2">
      <c r="A1259" s="59" t="s">
        <v>5473</v>
      </c>
      <c r="B1259" s="60" t="s">
        <v>4594</v>
      </c>
      <c r="C1259" s="60" t="s">
        <v>4595</v>
      </c>
      <c r="D1259" s="40">
        <v>44945</v>
      </c>
      <c r="E1259" s="61">
        <v>300</v>
      </c>
      <c r="F1259" s="62">
        <v>300</v>
      </c>
      <c r="G1259" s="63" t="s">
        <v>615</v>
      </c>
      <c r="H1259" s="64" t="s">
        <v>2716</v>
      </c>
      <c r="I1259" s="64" t="s">
        <v>2713</v>
      </c>
      <c r="J1259" s="63" t="s">
        <v>532</v>
      </c>
      <c r="K1259" s="64" t="s">
        <v>4596</v>
      </c>
      <c r="L1259" s="63" t="s">
        <v>87</v>
      </c>
      <c r="M1259" s="63" t="s">
        <v>5781</v>
      </c>
      <c r="N1259" s="65">
        <v>45443</v>
      </c>
    </row>
    <row r="1260" spans="1:14" customFormat="1" ht="14.45" customHeight="1" x14ac:dyDescent="0.2">
      <c r="A1260" s="59" t="s">
        <v>6192</v>
      </c>
      <c r="B1260" s="60" t="s">
        <v>6193</v>
      </c>
      <c r="C1260" s="60" t="s">
        <v>6193</v>
      </c>
      <c r="D1260" s="40">
        <v>44950</v>
      </c>
      <c r="E1260" s="61">
        <v>100</v>
      </c>
      <c r="F1260" s="62">
        <v>100</v>
      </c>
      <c r="G1260" s="63" t="s">
        <v>615</v>
      </c>
      <c r="H1260" s="64" t="s">
        <v>4568</v>
      </c>
      <c r="I1260" s="64" t="s">
        <v>2713</v>
      </c>
      <c r="J1260" s="63" t="s">
        <v>532</v>
      </c>
      <c r="K1260" s="64" t="s">
        <v>6194</v>
      </c>
      <c r="L1260" s="63" t="s">
        <v>87</v>
      </c>
      <c r="M1260" s="63" t="s">
        <v>5781</v>
      </c>
      <c r="N1260" s="65">
        <v>45596</v>
      </c>
    </row>
    <row r="1261" spans="1:14" customFormat="1" ht="14.45" customHeight="1" x14ac:dyDescent="0.2">
      <c r="A1261" s="59" t="s">
        <v>5474</v>
      </c>
      <c r="B1261" s="60" t="s">
        <v>4597</v>
      </c>
      <c r="C1261" s="60" t="s">
        <v>4597</v>
      </c>
      <c r="D1261" s="40">
        <v>44957</v>
      </c>
      <c r="E1261" s="61">
        <v>500</v>
      </c>
      <c r="F1261" s="62">
        <v>500</v>
      </c>
      <c r="G1261" s="63" t="s">
        <v>615</v>
      </c>
      <c r="H1261" s="64" t="s">
        <v>2720</v>
      </c>
      <c r="I1261" s="64" t="s">
        <v>2713</v>
      </c>
      <c r="J1261" s="63" t="s">
        <v>539</v>
      </c>
      <c r="K1261" s="64" t="s">
        <v>4598</v>
      </c>
      <c r="L1261" s="63" t="s">
        <v>403</v>
      </c>
      <c r="M1261" s="63" t="s">
        <v>5781</v>
      </c>
      <c r="N1261" s="65">
        <v>45443</v>
      </c>
    </row>
    <row r="1262" spans="1:14" customFormat="1" ht="14.45" customHeight="1" x14ac:dyDescent="0.2">
      <c r="A1262" s="59" t="s">
        <v>4692</v>
      </c>
      <c r="B1262" s="60" t="s">
        <v>4693</v>
      </c>
      <c r="C1262" s="60" t="s">
        <v>4694</v>
      </c>
      <c r="D1262" s="40" t="s">
        <v>4133</v>
      </c>
      <c r="E1262" s="61" t="s">
        <v>4084</v>
      </c>
      <c r="F1262" s="62" t="s">
        <v>4084</v>
      </c>
      <c r="G1262" s="63" t="s">
        <v>615</v>
      </c>
      <c r="H1262" s="64" t="s">
        <v>2722</v>
      </c>
      <c r="I1262" s="64" t="s">
        <v>2713</v>
      </c>
      <c r="J1262" s="63" t="s">
        <v>531</v>
      </c>
      <c r="K1262" s="64" t="s">
        <v>4695</v>
      </c>
      <c r="L1262" s="63" t="s">
        <v>34</v>
      </c>
      <c r="M1262" s="63">
        <v>0</v>
      </c>
      <c r="N1262" s="65">
        <v>45046</v>
      </c>
    </row>
    <row r="1263" spans="1:14" customFormat="1" ht="14.45" customHeight="1" x14ac:dyDescent="0.2">
      <c r="A1263" s="59" t="s">
        <v>5475</v>
      </c>
      <c r="B1263" s="60" t="s">
        <v>3844</v>
      </c>
      <c r="C1263" s="60" t="s">
        <v>1227</v>
      </c>
      <c r="D1263" s="40">
        <v>44958</v>
      </c>
      <c r="E1263" s="61">
        <v>100</v>
      </c>
      <c r="F1263" s="62">
        <v>100</v>
      </c>
      <c r="G1263" s="63" t="s">
        <v>55</v>
      </c>
      <c r="H1263" s="64" t="s">
        <v>3145</v>
      </c>
      <c r="I1263" s="64" t="s">
        <v>2713</v>
      </c>
      <c r="J1263" s="63" t="s">
        <v>393</v>
      </c>
      <c r="K1263" s="64" t="s">
        <v>4680</v>
      </c>
      <c r="L1263" s="63" t="s">
        <v>34</v>
      </c>
      <c r="M1263" s="63" t="s">
        <v>5781</v>
      </c>
      <c r="N1263" s="65">
        <v>45046</v>
      </c>
    </row>
    <row r="1264" spans="1:14" customFormat="1" ht="14.45" customHeight="1" x14ac:dyDescent="0.2">
      <c r="A1264" s="59" t="s">
        <v>5476</v>
      </c>
      <c r="B1264" s="60" t="s">
        <v>4599</v>
      </c>
      <c r="C1264" s="60" t="s">
        <v>4599</v>
      </c>
      <c r="D1264" s="40">
        <v>44959</v>
      </c>
      <c r="E1264" s="61">
        <v>500</v>
      </c>
      <c r="F1264" s="62">
        <v>500</v>
      </c>
      <c r="G1264" s="63" t="s">
        <v>615</v>
      </c>
      <c r="H1264" s="64" t="s">
        <v>2720</v>
      </c>
      <c r="I1264" s="64" t="s">
        <v>2713</v>
      </c>
      <c r="J1264" s="63" t="s">
        <v>539</v>
      </c>
      <c r="K1264" s="64" t="s">
        <v>4598</v>
      </c>
      <c r="L1264" s="63" t="s">
        <v>403</v>
      </c>
      <c r="M1264" s="63" t="s">
        <v>5781</v>
      </c>
      <c r="N1264" s="65">
        <v>45443</v>
      </c>
    </row>
    <row r="1265" spans="1:14" customFormat="1" ht="14.45" customHeight="1" x14ac:dyDescent="0.2">
      <c r="A1265" s="59" t="s">
        <v>5477</v>
      </c>
      <c r="B1265" s="60" t="s">
        <v>4600</v>
      </c>
      <c r="C1265" s="60" t="s">
        <v>4601</v>
      </c>
      <c r="D1265" s="40">
        <v>44960</v>
      </c>
      <c r="E1265" s="61">
        <v>255</v>
      </c>
      <c r="F1265" s="62">
        <v>255</v>
      </c>
      <c r="G1265" s="63" t="s">
        <v>615</v>
      </c>
      <c r="H1265" s="64" t="s">
        <v>2712</v>
      </c>
      <c r="I1265" s="64" t="s">
        <v>2713</v>
      </c>
      <c r="J1265" s="63" t="s">
        <v>533</v>
      </c>
      <c r="K1265" s="64" t="s">
        <v>4738</v>
      </c>
      <c r="L1265" s="63" t="s">
        <v>403</v>
      </c>
      <c r="M1265" s="63" t="s">
        <v>5781</v>
      </c>
      <c r="N1265" s="65">
        <v>45443</v>
      </c>
    </row>
    <row r="1266" spans="1:14" customFormat="1" ht="14.45" customHeight="1" x14ac:dyDescent="0.2">
      <c r="A1266" s="59" t="s">
        <v>4739</v>
      </c>
      <c r="B1266" s="60" t="s">
        <v>3239</v>
      </c>
      <c r="C1266" s="60" t="s">
        <v>4740</v>
      </c>
      <c r="D1266" s="40">
        <v>44965</v>
      </c>
      <c r="E1266" s="61">
        <v>20</v>
      </c>
      <c r="F1266" s="62">
        <v>20</v>
      </c>
      <c r="G1266" s="63" t="s">
        <v>55</v>
      </c>
      <c r="H1266" s="64" t="s">
        <v>2717</v>
      </c>
      <c r="I1266" s="64" t="s">
        <v>2713</v>
      </c>
      <c r="J1266" s="63" t="s">
        <v>539</v>
      </c>
      <c r="K1266" s="64" t="s">
        <v>4741</v>
      </c>
      <c r="L1266" s="63" t="s">
        <v>1162</v>
      </c>
      <c r="M1266" s="63">
        <v>0</v>
      </c>
      <c r="N1266" s="65">
        <v>45138</v>
      </c>
    </row>
    <row r="1267" spans="1:14" customFormat="1" ht="14.45" customHeight="1" x14ac:dyDescent="0.2">
      <c r="A1267" s="59" t="s">
        <v>4611</v>
      </c>
      <c r="B1267" s="60" t="s">
        <v>4612</v>
      </c>
      <c r="C1267" s="60" t="s">
        <v>4613</v>
      </c>
      <c r="D1267" s="40">
        <v>44965</v>
      </c>
      <c r="E1267" s="61">
        <v>50</v>
      </c>
      <c r="F1267" s="62">
        <v>50</v>
      </c>
      <c r="G1267" s="63" t="s">
        <v>615</v>
      </c>
      <c r="H1267" s="64" t="s">
        <v>2719</v>
      </c>
      <c r="I1267" s="64" t="s">
        <v>2713</v>
      </c>
      <c r="J1267" s="63" t="s">
        <v>533</v>
      </c>
      <c r="K1267" s="64" t="s">
        <v>4614</v>
      </c>
      <c r="L1267" s="63" t="s">
        <v>403</v>
      </c>
      <c r="M1267" s="63">
        <v>0</v>
      </c>
      <c r="N1267" s="65">
        <v>44985</v>
      </c>
    </row>
    <row r="1268" spans="1:14" customFormat="1" ht="14.45" customHeight="1" x14ac:dyDescent="0.2">
      <c r="A1268" s="59" t="s">
        <v>4615</v>
      </c>
      <c r="B1268" s="60" t="s">
        <v>4612</v>
      </c>
      <c r="C1268" s="60" t="s">
        <v>4616</v>
      </c>
      <c r="D1268" s="40">
        <v>44965</v>
      </c>
      <c r="E1268" s="61">
        <v>50</v>
      </c>
      <c r="F1268" s="62">
        <v>50</v>
      </c>
      <c r="G1268" s="63" t="s">
        <v>615</v>
      </c>
      <c r="H1268" s="64" t="s">
        <v>2719</v>
      </c>
      <c r="I1268" s="64" t="s">
        <v>2713</v>
      </c>
      <c r="J1268" s="63" t="s">
        <v>533</v>
      </c>
      <c r="K1268" s="64" t="s">
        <v>4614</v>
      </c>
      <c r="L1268" s="63" t="s">
        <v>403</v>
      </c>
      <c r="M1268" s="63">
        <v>0</v>
      </c>
      <c r="N1268" s="65">
        <v>44985</v>
      </c>
    </row>
    <row r="1269" spans="1:14" customFormat="1" ht="14.45" customHeight="1" x14ac:dyDescent="0.2">
      <c r="A1269" s="59" t="s">
        <v>5478</v>
      </c>
      <c r="B1269" s="60" t="s">
        <v>4604</v>
      </c>
      <c r="C1269" s="60" t="s">
        <v>4605</v>
      </c>
      <c r="D1269" s="40">
        <v>44966</v>
      </c>
      <c r="E1269" s="61">
        <v>270</v>
      </c>
      <c r="F1269" s="62">
        <v>270</v>
      </c>
      <c r="G1269" s="63" t="s">
        <v>615</v>
      </c>
      <c r="H1269" s="64" t="s">
        <v>2715</v>
      </c>
      <c r="I1269" s="64" t="s">
        <v>2713</v>
      </c>
      <c r="J1269" s="63" t="s">
        <v>533</v>
      </c>
      <c r="K1269" s="64" t="s">
        <v>4606</v>
      </c>
      <c r="L1269" s="63" t="s">
        <v>403</v>
      </c>
      <c r="M1269" s="63" t="s">
        <v>5781</v>
      </c>
      <c r="N1269" s="65">
        <v>45443</v>
      </c>
    </row>
    <row r="1270" spans="1:14" customFormat="1" ht="14.45" customHeight="1" x14ac:dyDescent="0.2">
      <c r="A1270" s="59" t="s">
        <v>4617</v>
      </c>
      <c r="B1270" s="60" t="s">
        <v>4618</v>
      </c>
      <c r="C1270" s="60" t="s">
        <v>3220</v>
      </c>
      <c r="D1270" s="40">
        <v>44967</v>
      </c>
      <c r="E1270" s="61">
        <v>100</v>
      </c>
      <c r="F1270" s="62">
        <v>100</v>
      </c>
      <c r="G1270" s="63" t="s">
        <v>55</v>
      </c>
      <c r="H1270" s="64" t="s">
        <v>2808</v>
      </c>
      <c r="I1270" s="64" t="s">
        <v>2713</v>
      </c>
      <c r="J1270" s="63" t="s">
        <v>471</v>
      </c>
      <c r="K1270" s="64" t="s">
        <v>4619</v>
      </c>
      <c r="L1270" s="63" t="s">
        <v>157</v>
      </c>
      <c r="M1270" s="63">
        <v>0</v>
      </c>
      <c r="N1270" s="65">
        <v>44985</v>
      </c>
    </row>
    <row r="1271" spans="1:14" customFormat="1" ht="14.45" customHeight="1" x14ac:dyDescent="0.2">
      <c r="A1271" s="59" t="s">
        <v>4620</v>
      </c>
      <c r="B1271" s="60" t="s">
        <v>4621</v>
      </c>
      <c r="C1271" s="60" t="s">
        <v>3542</v>
      </c>
      <c r="D1271" s="40">
        <v>44970</v>
      </c>
      <c r="E1271" s="61">
        <v>130</v>
      </c>
      <c r="F1271" s="62">
        <v>130</v>
      </c>
      <c r="G1271" s="63" t="s">
        <v>55</v>
      </c>
      <c r="H1271" s="64" t="s">
        <v>2788</v>
      </c>
      <c r="I1271" s="64" t="s">
        <v>2713</v>
      </c>
      <c r="J1271" s="63" t="s">
        <v>530</v>
      </c>
      <c r="K1271" s="64" t="s">
        <v>4171</v>
      </c>
      <c r="L1271" s="63" t="s">
        <v>157</v>
      </c>
      <c r="M1271" s="63">
        <v>0</v>
      </c>
      <c r="N1271" s="65">
        <v>44985</v>
      </c>
    </row>
    <row r="1272" spans="1:14" customFormat="1" ht="14.45" customHeight="1" x14ac:dyDescent="0.2">
      <c r="A1272" s="59" t="s">
        <v>5479</v>
      </c>
      <c r="B1272" s="60" t="s">
        <v>4742</v>
      </c>
      <c r="C1272" s="60" t="s">
        <v>4743</v>
      </c>
      <c r="D1272" s="40">
        <v>44970</v>
      </c>
      <c r="E1272" s="61">
        <v>21</v>
      </c>
      <c r="F1272" s="62">
        <v>21</v>
      </c>
      <c r="G1272" s="63" t="s">
        <v>3505</v>
      </c>
      <c r="H1272" s="64" t="s">
        <v>2758</v>
      </c>
      <c r="I1272" s="64" t="s">
        <v>2713</v>
      </c>
      <c r="J1272" s="63" t="s">
        <v>540</v>
      </c>
      <c r="K1272" s="64" t="s">
        <v>4744</v>
      </c>
      <c r="L1272" s="63" t="s">
        <v>157</v>
      </c>
      <c r="M1272" s="63" t="s">
        <v>5781</v>
      </c>
      <c r="N1272" s="65">
        <v>45443</v>
      </c>
    </row>
    <row r="1273" spans="1:14" customFormat="1" ht="14.45" customHeight="1" x14ac:dyDescent="0.2">
      <c r="A1273" s="59" t="s">
        <v>5480</v>
      </c>
      <c r="B1273" s="60" t="s">
        <v>4745</v>
      </c>
      <c r="C1273" s="60" t="s">
        <v>4746</v>
      </c>
      <c r="D1273" s="40">
        <v>44970</v>
      </c>
      <c r="E1273" s="61">
        <v>20</v>
      </c>
      <c r="F1273" s="62">
        <v>20</v>
      </c>
      <c r="G1273" s="63" t="s">
        <v>615</v>
      </c>
      <c r="H1273" s="64" t="s">
        <v>2741</v>
      </c>
      <c r="I1273" s="64" t="s">
        <v>2713</v>
      </c>
      <c r="J1273" s="63" t="s">
        <v>531</v>
      </c>
      <c r="K1273" s="64" t="s">
        <v>4747</v>
      </c>
      <c r="L1273" s="63" t="s">
        <v>34</v>
      </c>
      <c r="M1273" s="63" t="s">
        <v>5781</v>
      </c>
      <c r="N1273" s="65">
        <v>45443</v>
      </c>
    </row>
    <row r="1274" spans="1:14" customFormat="1" ht="14.45" customHeight="1" x14ac:dyDescent="0.2">
      <c r="A1274" s="59" t="s">
        <v>4748</v>
      </c>
      <c r="B1274" s="60" t="s">
        <v>4745</v>
      </c>
      <c r="C1274" s="60" t="s">
        <v>4749</v>
      </c>
      <c r="D1274" s="40">
        <v>44970</v>
      </c>
      <c r="E1274" s="61">
        <v>20</v>
      </c>
      <c r="F1274" s="62">
        <v>20</v>
      </c>
      <c r="G1274" s="63" t="s">
        <v>615</v>
      </c>
      <c r="H1274" s="64" t="s">
        <v>2838</v>
      </c>
      <c r="I1274" s="64" t="s">
        <v>2713</v>
      </c>
      <c r="J1274" s="63" t="s">
        <v>531</v>
      </c>
      <c r="K1274" s="64" t="s">
        <v>4750</v>
      </c>
      <c r="L1274" s="63" t="s">
        <v>4751</v>
      </c>
      <c r="M1274" s="63">
        <v>0</v>
      </c>
      <c r="N1274" s="65">
        <v>45107</v>
      </c>
    </row>
    <row r="1275" spans="1:14" customFormat="1" ht="14.45" customHeight="1" x14ac:dyDescent="0.2">
      <c r="A1275" s="59" t="s">
        <v>4622</v>
      </c>
      <c r="B1275" s="60" t="s">
        <v>4623</v>
      </c>
      <c r="C1275" s="60" t="s">
        <v>4623</v>
      </c>
      <c r="D1275" s="40">
        <v>44972</v>
      </c>
      <c r="E1275" s="61">
        <v>40</v>
      </c>
      <c r="F1275" s="62">
        <v>40</v>
      </c>
      <c r="G1275" s="63" t="s">
        <v>55</v>
      </c>
      <c r="H1275" s="64" t="s">
        <v>2699</v>
      </c>
      <c r="I1275" s="64" t="s">
        <v>2713</v>
      </c>
      <c r="J1275" s="63" t="s">
        <v>471</v>
      </c>
      <c r="K1275" s="64" t="s">
        <v>4525</v>
      </c>
      <c r="L1275" s="63" t="s">
        <v>1186</v>
      </c>
      <c r="M1275" s="63">
        <v>0</v>
      </c>
      <c r="N1275" s="65">
        <v>44985</v>
      </c>
    </row>
    <row r="1276" spans="1:14" customFormat="1" ht="14.45" customHeight="1" x14ac:dyDescent="0.2">
      <c r="A1276" s="59" t="s">
        <v>5481</v>
      </c>
      <c r="B1276" s="60" t="s">
        <v>4681</v>
      </c>
      <c r="C1276" s="60" t="s">
        <v>4682</v>
      </c>
      <c r="D1276" s="40">
        <v>44978</v>
      </c>
      <c r="E1276" s="61">
        <v>83.2</v>
      </c>
      <c r="F1276" s="62">
        <v>78</v>
      </c>
      <c r="G1276" s="63" t="s">
        <v>3505</v>
      </c>
      <c r="H1276" s="64" t="s">
        <v>2737</v>
      </c>
      <c r="I1276" s="64" t="s">
        <v>2713</v>
      </c>
      <c r="J1276" s="63" t="s">
        <v>530</v>
      </c>
      <c r="K1276" s="64" t="s">
        <v>5933</v>
      </c>
      <c r="L1276" s="63" t="s">
        <v>157</v>
      </c>
      <c r="M1276" s="63" t="s">
        <v>5781</v>
      </c>
      <c r="N1276" s="65">
        <v>45443</v>
      </c>
    </row>
    <row r="1277" spans="1:14" customFormat="1" ht="14.45" customHeight="1" x14ac:dyDescent="0.2">
      <c r="A1277" s="59" t="s">
        <v>5482</v>
      </c>
      <c r="B1277" s="60" t="s">
        <v>4683</v>
      </c>
      <c r="C1277" s="60" t="s">
        <v>4684</v>
      </c>
      <c r="D1277" s="40">
        <v>44981</v>
      </c>
      <c r="E1277" s="61">
        <v>165</v>
      </c>
      <c r="F1277" s="62">
        <v>165</v>
      </c>
      <c r="G1277" s="63" t="s">
        <v>615</v>
      </c>
      <c r="H1277" s="64" t="s">
        <v>2742</v>
      </c>
      <c r="I1277" s="64" t="s">
        <v>2713</v>
      </c>
      <c r="J1277" s="63" t="s">
        <v>393</v>
      </c>
      <c r="K1277" s="64" t="s">
        <v>5017</v>
      </c>
      <c r="L1277" s="63" t="s">
        <v>157</v>
      </c>
      <c r="M1277" s="63" t="s">
        <v>5781</v>
      </c>
      <c r="N1277" s="65">
        <v>45443</v>
      </c>
    </row>
    <row r="1278" spans="1:14" customFormat="1" ht="14.45" customHeight="1" x14ac:dyDescent="0.2">
      <c r="A1278" s="59" t="s">
        <v>4624</v>
      </c>
      <c r="B1278" s="60" t="s">
        <v>4625</v>
      </c>
      <c r="C1278" s="60" t="s">
        <v>4626</v>
      </c>
      <c r="D1278" s="40" t="s">
        <v>4628</v>
      </c>
      <c r="E1278" s="61">
        <v>5</v>
      </c>
      <c r="F1278" s="62">
        <v>5</v>
      </c>
      <c r="G1278" s="63" t="s">
        <v>615</v>
      </c>
      <c r="H1278" s="64" t="s">
        <v>3154</v>
      </c>
      <c r="I1278" s="64" t="s">
        <v>2713</v>
      </c>
      <c r="J1278" s="63" t="s">
        <v>539</v>
      </c>
      <c r="K1278" s="64" t="s">
        <v>4627</v>
      </c>
      <c r="L1278" s="63" t="s">
        <v>1162</v>
      </c>
      <c r="M1278" s="63">
        <v>0</v>
      </c>
      <c r="N1278" s="65">
        <v>45016</v>
      </c>
    </row>
    <row r="1279" spans="1:14" customFormat="1" ht="14.45" customHeight="1" x14ac:dyDescent="0.2">
      <c r="A1279" s="59" t="s">
        <v>4703</v>
      </c>
      <c r="B1279" s="60" t="s">
        <v>1516</v>
      </c>
      <c r="C1279" s="60" t="s">
        <v>1517</v>
      </c>
      <c r="D1279" s="40" t="s">
        <v>4498</v>
      </c>
      <c r="E1279" s="61" t="s">
        <v>4084</v>
      </c>
      <c r="F1279" s="62" t="s">
        <v>4084</v>
      </c>
      <c r="G1279" s="63" t="s">
        <v>3505</v>
      </c>
      <c r="H1279" s="64" t="s">
        <v>2759</v>
      </c>
      <c r="I1279" s="64" t="s">
        <v>2713</v>
      </c>
      <c r="J1279" s="63" t="s">
        <v>471</v>
      </c>
      <c r="K1279" s="64" t="s">
        <v>4704</v>
      </c>
      <c r="L1279" s="63" t="s">
        <v>157</v>
      </c>
      <c r="M1279" s="63">
        <v>0</v>
      </c>
      <c r="N1279" s="65">
        <v>45046</v>
      </c>
    </row>
    <row r="1280" spans="1:14" customFormat="1" ht="14.45" customHeight="1" x14ac:dyDescent="0.2">
      <c r="A1280" s="59" t="s">
        <v>5483</v>
      </c>
      <c r="B1280" s="60" t="s">
        <v>4782</v>
      </c>
      <c r="C1280" s="60" t="s">
        <v>4686</v>
      </c>
      <c r="D1280" s="40">
        <v>44987</v>
      </c>
      <c r="E1280" s="61">
        <v>250</v>
      </c>
      <c r="F1280" s="62">
        <v>250</v>
      </c>
      <c r="G1280" s="63" t="s">
        <v>615</v>
      </c>
      <c r="H1280" s="64" t="s">
        <v>2718</v>
      </c>
      <c r="I1280" s="64" t="s">
        <v>2713</v>
      </c>
      <c r="J1280" s="63" t="s">
        <v>530</v>
      </c>
      <c r="K1280" s="64" t="s">
        <v>4687</v>
      </c>
      <c r="L1280" s="63" t="s">
        <v>34</v>
      </c>
      <c r="M1280" s="63" t="s">
        <v>5781</v>
      </c>
      <c r="N1280" s="65">
        <v>45443</v>
      </c>
    </row>
    <row r="1281" spans="1:14" customFormat="1" ht="14.45" customHeight="1" x14ac:dyDescent="0.2">
      <c r="A1281" s="59" t="s">
        <v>5484</v>
      </c>
      <c r="B1281" s="60" t="s">
        <v>4688</v>
      </c>
      <c r="C1281" s="60" t="s">
        <v>4689</v>
      </c>
      <c r="D1281" s="40">
        <v>44987</v>
      </c>
      <c r="E1281" s="61">
        <v>250</v>
      </c>
      <c r="F1281" s="62">
        <v>250</v>
      </c>
      <c r="G1281" s="63" t="s">
        <v>615</v>
      </c>
      <c r="H1281" s="64" t="s">
        <v>2718</v>
      </c>
      <c r="I1281" s="64" t="s">
        <v>2713</v>
      </c>
      <c r="J1281" s="63" t="s">
        <v>530</v>
      </c>
      <c r="K1281" s="64" t="s">
        <v>4690</v>
      </c>
      <c r="L1281" s="63" t="s">
        <v>34</v>
      </c>
      <c r="M1281" s="63" t="s">
        <v>5781</v>
      </c>
      <c r="N1281" s="65">
        <v>45443</v>
      </c>
    </row>
    <row r="1282" spans="1:14" customFormat="1" ht="14.45" customHeight="1" x14ac:dyDescent="0.2">
      <c r="A1282" s="59" t="s">
        <v>5485</v>
      </c>
      <c r="B1282" s="60" t="s">
        <v>7318</v>
      </c>
      <c r="C1282" s="60" t="s">
        <v>4752</v>
      </c>
      <c r="D1282" s="40">
        <v>44987</v>
      </c>
      <c r="E1282" s="61" t="s">
        <v>54</v>
      </c>
      <c r="F1282" s="62" t="s">
        <v>54</v>
      </c>
      <c r="G1282" s="63" t="s">
        <v>256</v>
      </c>
      <c r="H1282" s="64" t="s">
        <v>2811</v>
      </c>
      <c r="I1282" s="64" t="s">
        <v>2713</v>
      </c>
      <c r="J1282" s="63" t="s">
        <v>1596</v>
      </c>
      <c r="K1282" s="64" t="s">
        <v>4813</v>
      </c>
      <c r="L1282" s="63" t="s">
        <v>403</v>
      </c>
      <c r="M1282" s="63">
        <v>0</v>
      </c>
      <c r="N1282" s="65">
        <v>45077</v>
      </c>
    </row>
    <row r="1283" spans="1:14" customFormat="1" ht="14.45" customHeight="1" x14ac:dyDescent="0.2">
      <c r="A1283" s="59" t="s">
        <v>4753</v>
      </c>
      <c r="B1283" s="60" t="s">
        <v>4745</v>
      </c>
      <c r="C1283" s="60" t="s">
        <v>4754</v>
      </c>
      <c r="D1283" s="40">
        <v>44992</v>
      </c>
      <c r="E1283" s="61">
        <v>17.3</v>
      </c>
      <c r="F1283" s="62">
        <v>17.3</v>
      </c>
      <c r="G1283" s="63" t="s">
        <v>615</v>
      </c>
      <c r="H1283" s="64" t="s">
        <v>2775</v>
      </c>
      <c r="I1283" s="64" t="s">
        <v>2713</v>
      </c>
      <c r="J1283" s="63" t="s">
        <v>531</v>
      </c>
      <c r="K1283" s="64" t="s">
        <v>4755</v>
      </c>
      <c r="L1283" s="63" t="s">
        <v>34</v>
      </c>
      <c r="M1283" s="63">
        <v>0</v>
      </c>
      <c r="N1283" s="65">
        <v>45077</v>
      </c>
    </row>
    <row r="1284" spans="1:14" customFormat="1" ht="14.45" customHeight="1" x14ac:dyDescent="0.2">
      <c r="A1284" s="59" t="s">
        <v>5486</v>
      </c>
      <c r="B1284" s="60" t="s">
        <v>4756</v>
      </c>
      <c r="C1284" s="60" t="s">
        <v>4757</v>
      </c>
      <c r="D1284" s="40">
        <v>44992</v>
      </c>
      <c r="E1284" s="61">
        <v>79</v>
      </c>
      <c r="F1284" s="62">
        <v>79</v>
      </c>
      <c r="G1284" s="63" t="s">
        <v>615</v>
      </c>
      <c r="H1284" s="64" t="s">
        <v>2744</v>
      </c>
      <c r="I1284" s="64" t="s">
        <v>2713</v>
      </c>
      <c r="J1284" s="63" t="s">
        <v>530</v>
      </c>
      <c r="K1284" s="64" t="s">
        <v>5018</v>
      </c>
      <c r="L1284" s="63" t="s">
        <v>41</v>
      </c>
      <c r="M1284" s="63" t="s">
        <v>5781</v>
      </c>
      <c r="N1284" s="65">
        <v>45443</v>
      </c>
    </row>
    <row r="1285" spans="1:14" customFormat="1" ht="14.45" customHeight="1" x14ac:dyDescent="0.2">
      <c r="A1285" s="59" t="s">
        <v>5487</v>
      </c>
      <c r="B1285" s="60" t="s">
        <v>4758</v>
      </c>
      <c r="C1285" s="60" t="s">
        <v>4759</v>
      </c>
      <c r="D1285" s="40">
        <v>44992</v>
      </c>
      <c r="E1285" s="61">
        <v>79</v>
      </c>
      <c r="F1285" s="62">
        <v>79</v>
      </c>
      <c r="G1285" s="63" t="s">
        <v>615</v>
      </c>
      <c r="H1285" s="64" t="s">
        <v>2742</v>
      </c>
      <c r="I1285" s="64" t="s">
        <v>2713</v>
      </c>
      <c r="J1285" s="63" t="s">
        <v>393</v>
      </c>
      <c r="K1285" s="64" t="s">
        <v>4922</v>
      </c>
      <c r="L1285" s="63" t="s">
        <v>157</v>
      </c>
      <c r="M1285" s="63" t="s">
        <v>5781</v>
      </c>
      <c r="N1285" s="65">
        <v>45443</v>
      </c>
    </row>
    <row r="1286" spans="1:14" customFormat="1" ht="14.45" customHeight="1" x14ac:dyDescent="0.2">
      <c r="A1286" s="59" t="s">
        <v>5488</v>
      </c>
      <c r="B1286" s="60" t="s">
        <v>3844</v>
      </c>
      <c r="C1286" s="60" t="s">
        <v>4760</v>
      </c>
      <c r="D1286" s="40">
        <v>44993</v>
      </c>
      <c r="E1286" s="61">
        <v>20</v>
      </c>
      <c r="F1286" s="62">
        <v>20</v>
      </c>
      <c r="G1286" s="63" t="s">
        <v>615</v>
      </c>
      <c r="H1286" s="64" t="s">
        <v>3154</v>
      </c>
      <c r="I1286" s="64" t="s">
        <v>2713</v>
      </c>
      <c r="J1286" s="63" t="s">
        <v>539</v>
      </c>
      <c r="K1286" s="64" t="s">
        <v>4761</v>
      </c>
      <c r="L1286" s="63" t="s">
        <v>1162</v>
      </c>
      <c r="M1286" s="63" t="s">
        <v>5781</v>
      </c>
      <c r="N1286" s="65">
        <v>45626</v>
      </c>
    </row>
    <row r="1287" spans="1:14" customFormat="1" ht="14.45" customHeight="1" x14ac:dyDescent="0.2">
      <c r="A1287" s="59" t="s">
        <v>5489</v>
      </c>
      <c r="B1287" s="60" t="s">
        <v>4762</v>
      </c>
      <c r="C1287" s="60" t="s">
        <v>4763</v>
      </c>
      <c r="D1287" s="40">
        <v>44995</v>
      </c>
      <c r="E1287" s="61">
        <v>1350</v>
      </c>
      <c r="F1287" s="62">
        <v>1350</v>
      </c>
      <c r="G1287" s="63" t="s">
        <v>615</v>
      </c>
      <c r="H1287" s="64" t="s">
        <v>2759</v>
      </c>
      <c r="I1287" s="64" t="s">
        <v>2713</v>
      </c>
      <c r="J1287" s="63" t="s">
        <v>471</v>
      </c>
      <c r="K1287" s="64" t="s">
        <v>4764</v>
      </c>
      <c r="L1287" s="63" t="s">
        <v>157</v>
      </c>
      <c r="M1287" s="63" t="s">
        <v>5781</v>
      </c>
      <c r="N1287" s="65">
        <v>45443</v>
      </c>
    </row>
    <row r="1288" spans="1:14" customFormat="1" ht="14.45" customHeight="1" x14ac:dyDescent="0.2">
      <c r="A1288" s="59" t="s">
        <v>5034</v>
      </c>
      <c r="B1288" s="60" t="s">
        <v>3638</v>
      </c>
      <c r="C1288" s="60" t="s">
        <v>5035</v>
      </c>
      <c r="D1288" s="40">
        <v>45013</v>
      </c>
      <c r="E1288" s="61">
        <v>20</v>
      </c>
      <c r="F1288" s="62">
        <v>20</v>
      </c>
      <c r="G1288" s="63" t="s">
        <v>615</v>
      </c>
      <c r="H1288" s="64" t="s">
        <v>2716</v>
      </c>
      <c r="I1288" s="64" t="s">
        <v>2713</v>
      </c>
      <c r="J1288" s="63"/>
      <c r="K1288" s="64" t="s">
        <v>5042</v>
      </c>
      <c r="L1288" s="63" t="s">
        <v>87</v>
      </c>
      <c r="M1288" s="63">
        <v>0</v>
      </c>
      <c r="N1288" s="65">
        <v>45169</v>
      </c>
    </row>
    <row r="1289" spans="1:14" customFormat="1" ht="14.45" customHeight="1" x14ac:dyDescent="0.2">
      <c r="A1289" s="59" t="s">
        <v>4767</v>
      </c>
      <c r="B1289" s="60" t="s">
        <v>4745</v>
      </c>
      <c r="C1289" s="60" t="s">
        <v>4768</v>
      </c>
      <c r="D1289" s="40">
        <v>45005</v>
      </c>
      <c r="E1289" s="61">
        <v>20</v>
      </c>
      <c r="F1289" s="62">
        <v>20</v>
      </c>
      <c r="G1289" s="63" t="s">
        <v>615</v>
      </c>
      <c r="H1289" s="64" t="s">
        <v>2775</v>
      </c>
      <c r="I1289" s="64" t="s">
        <v>2713</v>
      </c>
      <c r="J1289" s="63" t="s">
        <v>531</v>
      </c>
      <c r="K1289" s="120" t="s">
        <v>4814</v>
      </c>
      <c r="L1289" s="63" t="s">
        <v>157</v>
      </c>
      <c r="M1289" s="63">
        <v>0</v>
      </c>
      <c r="N1289" s="65">
        <v>45107</v>
      </c>
    </row>
    <row r="1290" spans="1:14" customFormat="1" ht="14.45" customHeight="1" x14ac:dyDescent="0.2">
      <c r="A1290" s="59" t="s">
        <v>5491</v>
      </c>
      <c r="B1290" s="60" t="s">
        <v>5717</v>
      </c>
      <c r="C1290" s="60" t="s">
        <v>4769</v>
      </c>
      <c r="D1290" s="40">
        <v>45015</v>
      </c>
      <c r="E1290" s="61">
        <v>20</v>
      </c>
      <c r="F1290" s="62">
        <v>20</v>
      </c>
      <c r="G1290" s="63" t="s">
        <v>615</v>
      </c>
      <c r="H1290" s="64" t="s">
        <v>2775</v>
      </c>
      <c r="I1290" s="64" t="s">
        <v>2713</v>
      </c>
      <c r="J1290" s="63" t="s">
        <v>471</v>
      </c>
      <c r="K1290" s="64" t="s">
        <v>4923</v>
      </c>
      <c r="L1290" s="63" t="s">
        <v>34</v>
      </c>
      <c r="M1290" s="63">
        <v>0</v>
      </c>
      <c r="N1290" s="65">
        <v>45382</v>
      </c>
    </row>
    <row r="1291" spans="1:14" customFormat="1" ht="14.45" customHeight="1" x14ac:dyDescent="0.2">
      <c r="A1291" s="59" t="s">
        <v>4823</v>
      </c>
      <c r="B1291" s="60" t="s">
        <v>4766</v>
      </c>
      <c r="C1291" s="60" t="s">
        <v>4828</v>
      </c>
      <c r="D1291" s="40">
        <v>45005</v>
      </c>
      <c r="E1291" s="61">
        <v>2</v>
      </c>
      <c r="F1291" s="62">
        <v>2</v>
      </c>
      <c r="G1291" s="63" t="s">
        <v>615</v>
      </c>
      <c r="H1291" s="64" t="s">
        <v>2799</v>
      </c>
      <c r="I1291" s="64" t="s">
        <v>2713</v>
      </c>
      <c r="J1291" s="63" t="s">
        <v>393</v>
      </c>
      <c r="K1291" s="64" t="s">
        <v>4831</v>
      </c>
      <c r="L1291" s="63" t="s">
        <v>34</v>
      </c>
      <c r="M1291" s="63">
        <v>0</v>
      </c>
      <c r="N1291" s="65">
        <v>45077</v>
      </c>
    </row>
    <row r="1292" spans="1:14" customFormat="1" ht="14.45" customHeight="1" x14ac:dyDescent="0.2">
      <c r="A1292" s="59" t="s">
        <v>5492</v>
      </c>
      <c r="B1292" s="60" t="s">
        <v>3638</v>
      </c>
      <c r="C1292" s="60" t="s">
        <v>4853</v>
      </c>
      <c r="D1292" s="40">
        <v>45012</v>
      </c>
      <c r="E1292" s="61">
        <v>19.7</v>
      </c>
      <c r="F1292" s="62">
        <v>19.7</v>
      </c>
      <c r="G1292" s="63" t="s">
        <v>615</v>
      </c>
      <c r="H1292" s="64" t="s">
        <v>2734</v>
      </c>
      <c r="I1292" s="64" t="s">
        <v>2713</v>
      </c>
      <c r="J1292" s="63" t="s">
        <v>530</v>
      </c>
      <c r="K1292" s="64" t="s">
        <v>4967</v>
      </c>
      <c r="L1292" s="63" t="s">
        <v>34</v>
      </c>
      <c r="M1292" s="63">
        <v>0</v>
      </c>
      <c r="N1292" s="65">
        <v>45565</v>
      </c>
    </row>
    <row r="1293" spans="1:14" customFormat="1" ht="14.45" customHeight="1" x14ac:dyDescent="0.2">
      <c r="A1293" s="59" t="s">
        <v>4770</v>
      </c>
      <c r="B1293" s="60" t="s">
        <v>4771</v>
      </c>
      <c r="C1293" s="60" t="s">
        <v>4772</v>
      </c>
      <c r="D1293" s="40">
        <v>45013</v>
      </c>
      <c r="E1293" s="61">
        <v>1310</v>
      </c>
      <c r="F1293" s="62">
        <v>1310</v>
      </c>
      <c r="G1293" s="63" t="s">
        <v>124</v>
      </c>
      <c r="H1293" s="64" t="s">
        <v>3554</v>
      </c>
      <c r="I1293" s="64" t="s">
        <v>2713</v>
      </c>
      <c r="J1293" s="63"/>
      <c r="K1293" s="64" t="s">
        <v>4924</v>
      </c>
      <c r="L1293" s="63" t="s">
        <v>403</v>
      </c>
      <c r="M1293" s="63">
        <v>0</v>
      </c>
      <c r="N1293" s="65">
        <v>45169</v>
      </c>
    </row>
    <row r="1294" spans="1:14" customFormat="1" ht="14.45" customHeight="1" x14ac:dyDescent="0.2">
      <c r="A1294" s="59" t="s">
        <v>4773</v>
      </c>
      <c r="B1294" s="60" t="s">
        <v>4774</v>
      </c>
      <c r="C1294" s="60" t="s">
        <v>4775</v>
      </c>
      <c r="D1294" s="40">
        <v>45013</v>
      </c>
      <c r="E1294" s="61">
        <v>2620</v>
      </c>
      <c r="F1294" s="62">
        <v>2620</v>
      </c>
      <c r="G1294" s="63" t="s">
        <v>124</v>
      </c>
      <c r="H1294" s="64" t="s">
        <v>3554</v>
      </c>
      <c r="I1294" s="64" t="s">
        <v>2713</v>
      </c>
      <c r="J1294" s="63"/>
      <c r="K1294" s="64" t="s">
        <v>4924</v>
      </c>
      <c r="L1294" s="63" t="s">
        <v>403</v>
      </c>
      <c r="M1294" s="63">
        <v>0</v>
      </c>
      <c r="N1294" s="65">
        <v>45169</v>
      </c>
    </row>
    <row r="1295" spans="1:14" customFormat="1" ht="14.45" customHeight="1" x14ac:dyDescent="0.2">
      <c r="A1295" s="59" t="s">
        <v>4776</v>
      </c>
      <c r="B1295" s="60" t="s">
        <v>4777</v>
      </c>
      <c r="C1295" s="60" t="s">
        <v>4301</v>
      </c>
      <c r="D1295" s="40">
        <v>45015</v>
      </c>
      <c r="E1295" s="61">
        <v>250</v>
      </c>
      <c r="F1295" s="62">
        <v>250</v>
      </c>
      <c r="G1295" s="63" t="s">
        <v>55</v>
      </c>
      <c r="H1295" s="64" t="s">
        <v>590</v>
      </c>
      <c r="I1295" s="64" t="s">
        <v>2713</v>
      </c>
      <c r="J1295" s="63" t="s">
        <v>393</v>
      </c>
      <c r="K1295" s="64" t="s">
        <v>4925</v>
      </c>
      <c r="L1295" s="63" t="s">
        <v>3405</v>
      </c>
      <c r="M1295" s="63">
        <v>0</v>
      </c>
      <c r="N1295" s="65">
        <v>45138</v>
      </c>
    </row>
    <row r="1296" spans="1:14" customFormat="1" ht="14.45" customHeight="1" x14ac:dyDescent="0.2">
      <c r="A1296" s="59" t="s">
        <v>5493</v>
      </c>
      <c r="B1296" s="60" t="s">
        <v>4854</v>
      </c>
      <c r="C1296" s="60" t="s">
        <v>4955</v>
      </c>
      <c r="D1296" s="40">
        <v>45026</v>
      </c>
      <c r="E1296" s="61">
        <v>180</v>
      </c>
      <c r="F1296" s="62">
        <v>180</v>
      </c>
      <c r="G1296" s="63" t="s">
        <v>615</v>
      </c>
      <c r="H1296" s="64" t="s">
        <v>2714</v>
      </c>
      <c r="I1296" s="64" t="s">
        <v>2713</v>
      </c>
      <c r="J1296" s="63" t="s">
        <v>533</v>
      </c>
      <c r="K1296" s="64" t="s">
        <v>4926</v>
      </c>
      <c r="L1296" s="63" t="s">
        <v>403</v>
      </c>
      <c r="M1296" s="63" t="s">
        <v>5781</v>
      </c>
      <c r="N1296" s="65">
        <v>45443</v>
      </c>
    </row>
    <row r="1297" spans="1:14" customFormat="1" ht="14.45" customHeight="1" x14ac:dyDescent="0.2">
      <c r="A1297" s="59" t="s">
        <v>5494</v>
      </c>
      <c r="B1297" s="60" t="s">
        <v>4993</v>
      </c>
      <c r="C1297" s="60" t="s">
        <v>3830</v>
      </c>
      <c r="D1297" s="40">
        <v>45037</v>
      </c>
      <c r="E1297" s="61">
        <v>400</v>
      </c>
      <c r="F1297" s="62">
        <v>400</v>
      </c>
      <c r="G1297" s="63" t="s">
        <v>615</v>
      </c>
      <c r="H1297" s="64" t="s">
        <v>2716</v>
      </c>
      <c r="I1297" s="64" t="s">
        <v>2713</v>
      </c>
      <c r="J1297" s="63" t="s">
        <v>532</v>
      </c>
      <c r="K1297" s="64" t="s">
        <v>4778</v>
      </c>
      <c r="L1297" s="63" t="s">
        <v>87</v>
      </c>
      <c r="M1297" s="63" t="s">
        <v>5781</v>
      </c>
      <c r="N1297" s="65">
        <v>45443</v>
      </c>
    </row>
    <row r="1298" spans="1:14" customFormat="1" ht="14.45" customHeight="1" x14ac:dyDescent="0.2">
      <c r="A1298" s="59" t="s">
        <v>5495</v>
      </c>
      <c r="B1298" s="60" t="s">
        <v>4783</v>
      </c>
      <c r="C1298" s="60" t="s">
        <v>4783</v>
      </c>
      <c r="D1298" s="40">
        <v>45037</v>
      </c>
      <c r="E1298" s="61">
        <v>100</v>
      </c>
      <c r="F1298" s="62">
        <v>100</v>
      </c>
      <c r="G1298" s="63" t="s">
        <v>615</v>
      </c>
      <c r="H1298" s="64" t="s">
        <v>2716</v>
      </c>
      <c r="I1298" s="64" t="s">
        <v>2713</v>
      </c>
      <c r="J1298" s="63" t="s">
        <v>532</v>
      </c>
      <c r="K1298" s="64" t="s">
        <v>4815</v>
      </c>
      <c r="L1298" s="63" t="s">
        <v>87</v>
      </c>
      <c r="M1298" s="63" t="s">
        <v>5781</v>
      </c>
      <c r="N1298" s="65">
        <v>45443</v>
      </c>
    </row>
    <row r="1299" spans="1:14" customFormat="1" ht="14.45" customHeight="1" x14ac:dyDescent="0.2">
      <c r="A1299" s="59" t="s">
        <v>5496</v>
      </c>
      <c r="B1299" s="60" t="s">
        <v>4784</v>
      </c>
      <c r="C1299" s="60" t="s">
        <v>4798</v>
      </c>
      <c r="D1299" s="40">
        <v>45037</v>
      </c>
      <c r="E1299" s="61">
        <v>400</v>
      </c>
      <c r="F1299" s="62">
        <v>400</v>
      </c>
      <c r="G1299" s="63" t="s">
        <v>615</v>
      </c>
      <c r="H1299" s="64" t="s">
        <v>2716</v>
      </c>
      <c r="I1299" s="64" t="s">
        <v>2713</v>
      </c>
      <c r="J1299" s="63" t="s">
        <v>532</v>
      </c>
      <c r="K1299" s="64" t="s">
        <v>5019</v>
      </c>
      <c r="L1299" s="63" t="s">
        <v>87</v>
      </c>
      <c r="M1299" s="63" t="s">
        <v>5781</v>
      </c>
      <c r="N1299" s="65">
        <v>45443</v>
      </c>
    </row>
    <row r="1300" spans="1:14" customFormat="1" ht="14.45" customHeight="1" x14ac:dyDescent="0.2">
      <c r="A1300" s="59" t="s">
        <v>5497</v>
      </c>
      <c r="B1300" s="60" t="s">
        <v>4855</v>
      </c>
      <c r="C1300" s="60" t="s">
        <v>4855</v>
      </c>
      <c r="D1300" s="40">
        <v>45041</v>
      </c>
      <c r="E1300" s="61">
        <v>79.8</v>
      </c>
      <c r="F1300" s="62">
        <v>79.8</v>
      </c>
      <c r="G1300" s="63" t="s">
        <v>124</v>
      </c>
      <c r="H1300" s="64" t="s">
        <v>2729</v>
      </c>
      <c r="I1300" s="64" t="s">
        <v>2713</v>
      </c>
      <c r="J1300" s="63" t="s">
        <v>530</v>
      </c>
      <c r="K1300" s="64" t="s">
        <v>4968</v>
      </c>
      <c r="L1300" s="63" t="s">
        <v>34</v>
      </c>
      <c r="M1300" s="63" t="s">
        <v>5781</v>
      </c>
      <c r="N1300" s="65">
        <v>45443</v>
      </c>
    </row>
    <row r="1301" spans="1:14" customFormat="1" ht="14.45" customHeight="1" x14ac:dyDescent="0.2">
      <c r="A1301" s="59" t="s">
        <v>5498</v>
      </c>
      <c r="B1301" s="60" t="s">
        <v>4785</v>
      </c>
      <c r="C1301" s="60" t="s">
        <v>4799</v>
      </c>
      <c r="D1301" s="40">
        <v>45043</v>
      </c>
      <c r="E1301" s="61">
        <v>200</v>
      </c>
      <c r="F1301" s="62">
        <v>200</v>
      </c>
      <c r="G1301" s="63" t="s">
        <v>615</v>
      </c>
      <c r="H1301" s="64" t="s">
        <v>2777</v>
      </c>
      <c r="I1301" s="64" t="s">
        <v>2713</v>
      </c>
      <c r="J1301" s="63" t="s">
        <v>471</v>
      </c>
      <c r="K1301" s="64" t="s">
        <v>4816</v>
      </c>
      <c r="L1301" s="63" t="s">
        <v>157</v>
      </c>
      <c r="M1301" s="63" t="s">
        <v>5781</v>
      </c>
      <c r="N1301" s="65">
        <v>45443</v>
      </c>
    </row>
    <row r="1302" spans="1:14" customFormat="1" ht="14.45" customHeight="1" x14ac:dyDescent="0.2">
      <c r="A1302" s="59" t="s">
        <v>4935</v>
      </c>
      <c r="B1302" s="60" t="s">
        <v>4937</v>
      </c>
      <c r="C1302" s="60" t="s">
        <v>4936</v>
      </c>
      <c r="D1302" s="40">
        <v>45050</v>
      </c>
      <c r="E1302" s="61">
        <v>200</v>
      </c>
      <c r="F1302" s="62">
        <v>200</v>
      </c>
      <c r="G1302" s="63" t="s">
        <v>124</v>
      </c>
      <c r="H1302" s="64" t="s">
        <v>2838</v>
      </c>
      <c r="I1302" s="64" t="s">
        <v>2713</v>
      </c>
      <c r="J1302" s="63" t="s">
        <v>531</v>
      </c>
      <c r="K1302" s="64" t="s">
        <v>4939</v>
      </c>
      <c r="L1302" s="63" t="s">
        <v>157</v>
      </c>
      <c r="M1302" s="63">
        <v>0</v>
      </c>
      <c r="N1302" s="65">
        <v>45107</v>
      </c>
    </row>
    <row r="1303" spans="1:14" customFormat="1" ht="14.45" customHeight="1" x14ac:dyDescent="0.2">
      <c r="A1303" s="59" t="s">
        <v>5499</v>
      </c>
      <c r="B1303" s="60" t="s">
        <v>4527</v>
      </c>
      <c r="C1303" s="60" t="s">
        <v>4800</v>
      </c>
      <c r="D1303" s="40">
        <v>45055</v>
      </c>
      <c r="E1303" s="61">
        <v>250</v>
      </c>
      <c r="F1303" s="62">
        <v>250</v>
      </c>
      <c r="G1303" s="63" t="s">
        <v>3505</v>
      </c>
      <c r="H1303" s="64" t="s">
        <v>2772</v>
      </c>
      <c r="I1303" s="64" t="s">
        <v>2713</v>
      </c>
      <c r="J1303" s="63" t="s">
        <v>393</v>
      </c>
      <c r="K1303" s="64" t="s">
        <v>4817</v>
      </c>
      <c r="L1303" s="63" t="s">
        <v>157</v>
      </c>
      <c r="M1303" s="63" t="s">
        <v>5781</v>
      </c>
      <c r="N1303" s="65">
        <v>45443</v>
      </c>
    </row>
    <row r="1304" spans="1:14" customFormat="1" ht="14.45" customHeight="1" x14ac:dyDescent="0.2">
      <c r="A1304" s="59" t="s">
        <v>5500</v>
      </c>
      <c r="B1304" s="60" t="s">
        <v>4786</v>
      </c>
      <c r="C1304" s="60" t="s">
        <v>4801</v>
      </c>
      <c r="D1304" s="40">
        <v>45055</v>
      </c>
      <c r="E1304" s="61">
        <v>150</v>
      </c>
      <c r="F1304" s="62">
        <v>150</v>
      </c>
      <c r="G1304" s="63" t="s">
        <v>615</v>
      </c>
      <c r="H1304" s="64" t="s">
        <v>2788</v>
      </c>
      <c r="I1304" s="64" t="s">
        <v>2713</v>
      </c>
      <c r="J1304" s="63" t="s">
        <v>530</v>
      </c>
      <c r="K1304" s="64" t="s">
        <v>4818</v>
      </c>
      <c r="L1304" s="63" t="s">
        <v>157</v>
      </c>
      <c r="M1304" s="63" t="s">
        <v>5781</v>
      </c>
      <c r="N1304" s="65">
        <v>45412</v>
      </c>
    </row>
    <row r="1305" spans="1:14" customFormat="1" ht="14.45" customHeight="1" x14ac:dyDescent="0.2">
      <c r="A1305" s="59" t="s">
        <v>5501</v>
      </c>
      <c r="B1305" s="60" t="s">
        <v>4587</v>
      </c>
      <c r="C1305" s="60" t="s">
        <v>4856</v>
      </c>
      <c r="D1305" s="40">
        <v>45056</v>
      </c>
      <c r="E1305" s="61">
        <v>60</v>
      </c>
      <c r="F1305" s="62">
        <v>60</v>
      </c>
      <c r="G1305" s="63" t="s">
        <v>3505</v>
      </c>
      <c r="H1305" s="64" t="s">
        <v>2718</v>
      </c>
      <c r="I1305" s="64" t="s">
        <v>2713</v>
      </c>
      <c r="J1305" s="63" t="s">
        <v>530</v>
      </c>
      <c r="K1305" s="64" t="s">
        <v>4591</v>
      </c>
      <c r="L1305" s="63" t="s">
        <v>41</v>
      </c>
      <c r="M1305" s="63" t="s">
        <v>5781</v>
      </c>
      <c r="N1305" s="65">
        <v>45443</v>
      </c>
    </row>
    <row r="1306" spans="1:14" customFormat="1" ht="14.45" customHeight="1" x14ac:dyDescent="0.2">
      <c r="A1306" s="59" t="s">
        <v>5503</v>
      </c>
      <c r="B1306" s="60" t="s">
        <v>4857</v>
      </c>
      <c r="C1306" s="60" t="s">
        <v>4858</v>
      </c>
      <c r="D1306" s="40">
        <v>45058</v>
      </c>
      <c r="E1306" s="61">
        <v>600</v>
      </c>
      <c r="F1306" s="62">
        <v>600</v>
      </c>
      <c r="G1306" s="63" t="s">
        <v>615</v>
      </c>
      <c r="H1306" s="64" t="s">
        <v>4963</v>
      </c>
      <c r="I1306" s="64" t="s">
        <v>2781</v>
      </c>
      <c r="J1306" s="63" t="s">
        <v>533</v>
      </c>
      <c r="K1306" s="64" t="s">
        <v>4969</v>
      </c>
      <c r="L1306" s="63" t="s">
        <v>403</v>
      </c>
      <c r="M1306" s="63" t="s">
        <v>5781</v>
      </c>
      <c r="N1306" s="65">
        <v>45443</v>
      </c>
    </row>
    <row r="1307" spans="1:14" customFormat="1" ht="14.45" customHeight="1" x14ac:dyDescent="0.2">
      <c r="A1307" s="59" t="s">
        <v>5504</v>
      </c>
      <c r="B1307" s="60" t="s">
        <v>4787</v>
      </c>
      <c r="C1307" s="60" t="s">
        <v>4802</v>
      </c>
      <c r="D1307" s="40">
        <v>45064</v>
      </c>
      <c r="E1307" s="61">
        <v>245</v>
      </c>
      <c r="F1307" s="62">
        <v>245</v>
      </c>
      <c r="G1307" s="63" t="s">
        <v>615</v>
      </c>
      <c r="H1307" s="64" t="s">
        <v>2712</v>
      </c>
      <c r="I1307" s="64" t="s">
        <v>2713</v>
      </c>
      <c r="J1307" s="63" t="s">
        <v>533</v>
      </c>
      <c r="K1307" s="64" t="s">
        <v>4819</v>
      </c>
      <c r="L1307" s="63" t="s">
        <v>41</v>
      </c>
      <c r="M1307" s="63" t="s">
        <v>5781</v>
      </c>
      <c r="N1307" s="65">
        <v>45443</v>
      </c>
    </row>
    <row r="1308" spans="1:14" customFormat="1" ht="14.45" customHeight="1" x14ac:dyDescent="0.2">
      <c r="A1308" s="59" t="s">
        <v>5505</v>
      </c>
      <c r="B1308" s="60" t="s">
        <v>4859</v>
      </c>
      <c r="C1308" s="60" t="s">
        <v>4860</v>
      </c>
      <c r="D1308" s="40">
        <v>45064</v>
      </c>
      <c r="E1308" s="61">
        <v>255</v>
      </c>
      <c r="F1308" s="62">
        <v>255</v>
      </c>
      <c r="G1308" s="63" t="s">
        <v>615</v>
      </c>
      <c r="H1308" s="64" t="s">
        <v>2719</v>
      </c>
      <c r="I1308" s="64" t="s">
        <v>2713</v>
      </c>
      <c r="J1308" s="63" t="s">
        <v>533</v>
      </c>
      <c r="K1308" s="64" t="s">
        <v>4927</v>
      </c>
      <c r="L1308" s="63" t="s">
        <v>403</v>
      </c>
      <c r="M1308" s="63" t="s">
        <v>5781</v>
      </c>
      <c r="N1308" s="65">
        <v>45443</v>
      </c>
    </row>
    <row r="1309" spans="1:14" customFormat="1" ht="14.45" customHeight="1" x14ac:dyDescent="0.2">
      <c r="A1309" s="59" t="s">
        <v>5506</v>
      </c>
      <c r="B1309" s="60" t="s">
        <v>1423</v>
      </c>
      <c r="C1309" s="60" t="s">
        <v>4861</v>
      </c>
      <c r="D1309" s="40">
        <v>45068</v>
      </c>
      <c r="E1309" s="61">
        <v>300</v>
      </c>
      <c r="F1309" s="62">
        <v>300</v>
      </c>
      <c r="G1309" s="63" t="s">
        <v>615</v>
      </c>
      <c r="H1309" s="64" t="s">
        <v>2736</v>
      </c>
      <c r="I1309" s="64" t="s">
        <v>2713</v>
      </c>
      <c r="J1309" s="63" t="s">
        <v>471</v>
      </c>
      <c r="K1309" s="64" t="s">
        <v>4808</v>
      </c>
      <c r="L1309" s="63" t="s">
        <v>41</v>
      </c>
      <c r="M1309" s="63" t="s">
        <v>5781</v>
      </c>
      <c r="N1309" s="65">
        <v>45443</v>
      </c>
    </row>
    <row r="1310" spans="1:14" customFormat="1" ht="14.45" customHeight="1" x14ac:dyDescent="0.2">
      <c r="A1310" s="59" t="s">
        <v>4977</v>
      </c>
      <c r="B1310" s="60" t="s">
        <v>4978</v>
      </c>
      <c r="C1310" s="60" t="s">
        <v>4979</v>
      </c>
      <c r="D1310" s="40">
        <v>45072</v>
      </c>
      <c r="E1310" s="61">
        <v>136</v>
      </c>
      <c r="F1310" s="62">
        <v>140</v>
      </c>
      <c r="G1310" s="63" t="s">
        <v>615</v>
      </c>
      <c r="H1310" s="64" t="s">
        <v>2716</v>
      </c>
      <c r="I1310" s="64" t="s">
        <v>2713</v>
      </c>
      <c r="J1310" s="63" t="s">
        <v>532</v>
      </c>
      <c r="K1310" s="64" t="s">
        <v>4980</v>
      </c>
      <c r="L1310" s="63" t="s">
        <v>87</v>
      </c>
      <c r="M1310" s="63">
        <v>0</v>
      </c>
      <c r="N1310" s="65">
        <v>45138</v>
      </c>
    </row>
    <row r="1311" spans="1:14" customFormat="1" ht="14.45" customHeight="1" x14ac:dyDescent="0.2">
      <c r="A1311" s="59" t="s">
        <v>5507</v>
      </c>
      <c r="B1311" s="60" t="s">
        <v>4948</v>
      </c>
      <c r="C1311" s="60" t="s">
        <v>4956</v>
      </c>
      <c r="D1311" s="40">
        <v>45077</v>
      </c>
      <c r="E1311" s="61">
        <v>131.69999999999999</v>
      </c>
      <c r="F1311" s="62">
        <v>131.69999999999999</v>
      </c>
      <c r="G1311" s="63" t="s">
        <v>3505</v>
      </c>
      <c r="H1311" s="64" t="s">
        <v>2727</v>
      </c>
      <c r="I1311" s="64" t="s">
        <v>2713</v>
      </c>
      <c r="J1311" s="63" t="s">
        <v>393</v>
      </c>
      <c r="K1311" s="64" t="s">
        <v>5021</v>
      </c>
      <c r="L1311" s="63" t="s">
        <v>34</v>
      </c>
      <c r="M1311" s="63" t="s">
        <v>5781</v>
      </c>
      <c r="N1311" s="65">
        <v>45443</v>
      </c>
    </row>
    <row r="1312" spans="1:14" customFormat="1" ht="14.45" customHeight="1" x14ac:dyDescent="0.2">
      <c r="A1312" s="59" t="s">
        <v>5508</v>
      </c>
      <c r="B1312" s="60" t="s">
        <v>4949</v>
      </c>
      <c r="C1312" s="60" t="s">
        <v>4957</v>
      </c>
      <c r="D1312" s="40">
        <v>45079</v>
      </c>
      <c r="E1312" s="61">
        <v>151.80000000000001</v>
      </c>
      <c r="F1312" s="62">
        <v>151.80000000000001</v>
      </c>
      <c r="G1312" s="63" t="s">
        <v>3505</v>
      </c>
      <c r="H1312" s="64" t="s">
        <v>2728</v>
      </c>
      <c r="I1312" s="64" t="s">
        <v>2713</v>
      </c>
      <c r="J1312" s="63" t="s">
        <v>531</v>
      </c>
      <c r="K1312" s="64" t="s">
        <v>4970</v>
      </c>
      <c r="L1312" s="63" t="s">
        <v>157</v>
      </c>
      <c r="M1312" s="63" t="s">
        <v>5781</v>
      </c>
      <c r="N1312" s="65">
        <v>45443</v>
      </c>
    </row>
    <row r="1313" spans="1:14" customFormat="1" ht="14.45" customHeight="1" x14ac:dyDescent="0.2">
      <c r="A1313" s="59" t="s">
        <v>5509</v>
      </c>
      <c r="B1313" s="60" t="s">
        <v>4862</v>
      </c>
      <c r="C1313" s="60" t="s">
        <v>3727</v>
      </c>
      <c r="D1313" s="40">
        <v>45084</v>
      </c>
      <c r="E1313" s="61">
        <v>100</v>
      </c>
      <c r="F1313" s="62">
        <v>100</v>
      </c>
      <c r="G1313" s="63" t="s">
        <v>615</v>
      </c>
      <c r="H1313" s="64" t="s">
        <v>2717</v>
      </c>
      <c r="I1313" s="64" t="s">
        <v>2713</v>
      </c>
      <c r="J1313" s="63" t="s">
        <v>539</v>
      </c>
      <c r="K1313" s="64" t="s">
        <v>5121</v>
      </c>
      <c r="L1313" s="63" t="s">
        <v>1162</v>
      </c>
      <c r="M1313" s="63" t="s">
        <v>5781</v>
      </c>
      <c r="N1313" s="65">
        <v>45443</v>
      </c>
    </row>
    <row r="1314" spans="1:14" customFormat="1" ht="14.45" customHeight="1" x14ac:dyDescent="0.2">
      <c r="A1314" s="59" t="s">
        <v>5510</v>
      </c>
      <c r="B1314" s="60" t="s">
        <v>4937</v>
      </c>
      <c r="C1314" s="60" t="s">
        <v>4958</v>
      </c>
      <c r="D1314" s="40">
        <v>45084</v>
      </c>
      <c r="E1314" s="61">
        <v>250</v>
      </c>
      <c r="F1314" s="62">
        <v>250</v>
      </c>
      <c r="G1314" s="63" t="s">
        <v>615</v>
      </c>
      <c r="H1314" s="64" t="s">
        <v>2717</v>
      </c>
      <c r="I1314" s="64" t="s">
        <v>2713</v>
      </c>
      <c r="J1314" s="63" t="s">
        <v>539</v>
      </c>
      <c r="K1314" s="64" t="s">
        <v>5022</v>
      </c>
      <c r="L1314" s="63" t="s">
        <v>673</v>
      </c>
      <c r="M1314" s="63" t="s">
        <v>5781</v>
      </c>
      <c r="N1314" s="65">
        <v>45504</v>
      </c>
    </row>
    <row r="1315" spans="1:14" customFormat="1" ht="14.45" customHeight="1" x14ac:dyDescent="0.2">
      <c r="A1315" s="59" t="s">
        <v>5511</v>
      </c>
      <c r="B1315" s="60" t="s">
        <v>4863</v>
      </c>
      <c r="C1315" s="60" t="s">
        <v>4864</v>
      </c>
      <c r="D1315" s="40">
        <v>45086</v>
      </c>
      <c r="E1315" s="61">
        <v>1310</v>
      </c>
      <c r="F1315" s="62">
        <v>1310</v>
      </c>
      <c r="G1315" s="63" t="s">
        <v>253</v>
      </c>
      <c r="H1315" s="64" t="s">
        <v>4872</v>
      </c>
      <c r="I1315" s="64" t="s">
        <v>2713</v>
      </c>
      <c r="J1315" s="63" t="s">
        <v>791</v>
      </c>
      <c r="K1315" s="64" t="s">
        <v>4928</v>
      </c>
      <c r="L1315" s="63" t="s">
        <v>4167</v>
      </c>
      <c r="M1315" s="63" t="s">
        <v>5781</v>
      </c>
      <c r="N1315" s="65">
        <v>45443</v>
      </c>
    </row>
    <row r="1316" spans="1:14" customFormat="1" ht="14.45" customHeight="1" x14ac:dyDescent="0.2">
      <c r="A1316" s="59" t="s">
        <v>5512</v>
      </c>
      <c r="B1316" s="60" t="s">
        <v>4865</v>
      </c>
      <c r="C1316" s="60" t="s">
        <v>4866</v>
      </c>
      <c r="D1316" s="40">
        <v>45090</v>
      </c>
      <c r="E1316" s="61">
        <v>140</v>
      </c>
      <c r="F1316" s="62">
        <v>140</v>
      </c>
      <c r="G1316" s="63" t="s">
        <v>55</v>
      </c>
      <c r="H1316" s="64" t="s">
        <v>2800</v>
      </c>
      <c r="I1316" s="64" t="s">
        <v>2713</v>
      </c>
      <c r="J1316" s="63" t="s">
        <v>420</v>
      </c>
      <c r="K1316" s="64" t="s">
        <v>5513</v>
      </c>
      <c r="L1316" s="63" t="s">
        <v>157</v>
      </c>
      <c r="M1316" s="63" t="s">
        <v>5781</v>
      </c>
      <c r="N1316" s="65">
        <v>45443</v>
      </c>
    </row>
    <row r="1317" spans="1:14" customFormat="1" ht="14.45" customHeight="1" x14ac:dyDescent="0.2">
      <c r="A1317" s="59" t="s">
        <v>5036</v>
      </c>
      <c r="B1317" s="60" t="s">
        <v>5037</v>
      </c>
      <c r="C1317" s="60" t="s">
        <v>5038</v>
      </c>
      <c r="D1317" s="40">
        <v>45091</v>
      </c>
      <c r="E1317" s="61">
        <v>0</v>
      </c>
      <c r="F1317" s="62">
        <v>0</v>
      </c>
      <c r="G1317" s="63" t="s">
        <v>253</v>
      </c>
      <c r="H1317" s="64" t="s">
        <v>4350</v>
      </c>
      <c r="I1317" s="64" t="s">
        <v>2713</v>
      </c>
      <c r="J1317" s="63"/>
      <c r="K1317" s="64" t="s">
        <v>5043</v>
      </c>
      <c r="L1317" s="63" t="s">
        <v>403</v>
      </c>
      <c r="M1317" s="63">
        <v>0</v>
      </c>
      <c r="N1317" s="65">
        <v>45169</v>
      </c>
    </row>
    <row r="1318" spans="1:14" customFormat="1" ht="14.45" customHeight="1" x14ac:dyDescent="0.2">
      <c r="A1318" s="59" t="s">
        <v>5039</v>
      </c>
      <c r="B1318" s="60" t="s">
        <v>5037</v>
      </c>
      <c r="C1318" s="60" t="s">
        <v>5040</v>
      </c>
      <c r="D1318" s="40">
        <v>45091</v>
      </c>
      <c r="E1318" s="61">
        <v>0</v>
      </c>
      <c r="F1318" s="62">
        <v>0</v>
      </c>
      <c r="G1318" s="63" t="s">
        <v>253</v>
      </c>
      <c r="H1318" s="64" t="s">
        <v>4350</v>
      </c>
      <c r="I1318" s="64" t="s">
        <v>2713</v>
      </c>
      <c r="J1318" s="63"/>
      <c r="K1318" s="64" t="s">
        <v>5043</v>
      </c>
      <c r="L1318" s="63" t="s">
        <v>403</v>
      </c>
      <c r="M1318" s="63">
        <v>0</v>
      </c>
      <c r="N1318" s="65">
        <v>45169</v>
      </c>
    </row>
    <row r="1319" spans="1:14" customFormat="1" ht="14.45" customHeight="1" x14ac:dyDescent="0.2">
      <c r="A1319" s="59" t="s">
        <v>4848</v>
      </c>
      <c r="B1319" s="60" t="s">
        <v>4867</v>
      </c>
      <c r="C1319" s="60" t="s">
        <v>4868</v>
      </c>
      <c r="D1319" s="40">
        <v>45093</v>
      </c>
      <c r="E1319" s="61"/>
      <c r="F1319" s="62"/>
      <c r="G1319" s="63" t="s">
        <v>256</v>
      </c>
      <c r="H1319" s="64" t="s">
        <v>2731</v>
      </c>
      <c r="I1319" s="64" t="s">
        <v>2713</v>
      </c>
      <c r="J1319" s="63"/>
      <c r="K1319" s="64" t="s">
        <v>5044</v>
      </c>
      <c r="L1319" s="63" t="s">
        <v>34</v>
      </c>
      <c r="M1319" s="63">
        <v>0</v>
      </c>
      <c r="N1319" s="65">
        <v>45169</v>
      </c>
    </row>
    <row r="1320" spans="1:14" customFormat="1" ht="14.45" customHeight="1" x14ac:dyDescent="0.2">
      <c r="A1320" s="59" t="s">
        <v>5514</v>
      </c>
      <c r="B1320" s="60" t="s">
        <v>4950</v>
      </c>
      <c r="C1320" s="60" t="s">
        <v>4959</v>
      </c>
      <c r="D1320" s="40">
        <v>45097</v>
      </c>
      <c r="E1320" s="61">
        <v>200</v>
      </c>
      <c r="F1320" s="62">
        <v>200</v>
      </c>
      <c r="G1320" s="63" t="s">
        <v>615</v>
      </c>
      <c r="H1320" s="64" t="s">
        <v>2719</v>
      </c>
      <c r="I1320" s="64" t="s">
        <v>2713</v>
      </c>
      <c r="J1320" s="63" t="s">
        <v>533</v>
      </c>
      <c r="K1320" s="64" t="s">
        <v>4971</v>
      </c>
      <c r="L1320" s="63" t="s">
        <v>403</v>
      </c>
      <c r="M1320" s="63" t="s">
        <v>5781</v>
      </c>
      <c r="N1320" s="65">
        <v>45443</v>
      </c>
    </row>
    <row r="1321" spans="1:14" customFormat="1" ht="14.45" customHeight="1" x14ac:dyDescent="0.2">
      <c r="A1321" s="59" t="s">
        <v>5515</v>
      </c>
      <c r="B1321" s="60" t="s">
        <v>4951</v>
      </c>
      <c r="C1321" s="60" t="s">
        <v>4960</v>
      </c>
      <c r="D1321" s="40">
        <v>45099</v>
      </c>
      <c r="E1321" s="61">
        <v>59</v>
      </c>
      <c r="F1321" s="62">
        <v>59</v>
      </c>
      <c r="G1321" s="63" t="s">
        <v>615</v>
      </c>
      <c r="H1321" s="64" t="s">
        <v>4568</v>
      </c>
      <c r="I1321" s="64" t="s">
        <v>2713</v>
      </c>
      <c r="J1321" s="63" t="s">
        <v>532</v>
      </c>
      <c r="K1321" s="64" t="s">
        <v>4972</v>
      </c>
      <c r="L1321" s="63" t="s">
        <v>87</v>
      </c>
      <c r="M1321" s="63" t="s">
        <v>5781</v>
      </c>
      <c r="N1321" s="65">
        <v>45443</v>
      </c>
    </row>
    <row r="1322" spans="1:14" customFormat="1" ht="14.45" customHeight="1" x14ac:dyDescent="0.2">
      <c r="A1322" s="59" t="s">
        <v>5516</v>
      </c>
      <c r="B1322" s="60" t="s">
        <v>4046</v>
      </c>
      <c r="C1322" s="60" t="s">
        <v>4961</v>
      </c>
      <c r="D1322" s="40">
        <v>45100</v>
      </c>
      <c r="E1322" s="61">
        <v>80</v>
      </c>
      <c r="F1322" s="62">
        <v>80</v>
      </c>
      <c r="G1322" s="63" t="s">
        <v>615</v>
      </c>
      <c r="H1322" s="64" t="s">
        <v>4584</v>
      </c>
      <c r="I1322" s="64" t="s">
        <v>2713</v>
      </c>
      <c r="J1322" s="63" t="s">
        <v>539</v>
      </c>
      <c r="K1322" s="64" t="s">
        <v>4973</v>
      </c>
      <c r="L1322" s="63" t="s">
        <v>673</v>
      </c>
      <c r="M1322" s="63" t="s">
        <v>5781</v>
      </c>
      <c r="N1322" s="65">
        <v>45443</v>
      </c>
    </row>
    <row r="1323" spans="1:14" customFormat="1" ht="14.45" customHeight="1" x14ac:dyDescent="0.2">
      <c r="A1323" s="59" t="s">
        <v>5517</v>
      </c>
      <c r="B1323" s="60" t="s">
        <v>4046</v>
      </c>
      <c r="C1323" s="60" t="s">
        <v>4869</v>
      </c>
      <c r="D1323" s="40">
        <v>45100</v>
      </c>
      <c r="E1323" s="61">
        <v>180</v>
      </c>
      <c r="F1323" s="62">
        <v>180</v>
      </c>
      <c r="G1323" s="63" t="s">
        <v>615</v>
      </c>
      <c r="H1323" s="64" t="s">
        <v>3154</v>
      </c>
      <c r="I1323" s="64" t="s">
        <v>2713</v>
      </c>
      <c r="J1323" s="63" t="s">
        <v>539</v>
      </c>
      <c r="K1323" s="64" t="s">
        <v>4929</v>
      </c>
      <c r="L1323" s="63" t="s">
        <v>1162</v>
      </c>
      <c r="M1323" s="63" t="s">
        <v>5781</v>
      </c>
      <c r="N1323" s="65">
        <v>45443</v>
      </c>
    </row>
    <row r="1324" spans="1:14" customFormat="1" ht="14.45" customHeight="1" x14ac:dyDescent="0.2">
      <c r="A1324" s="59" t="s">
        <v>5594</v>
      </c>
      <c r="B1324" s="60" t="s">
        <v>4870</v>
      </c>
      <c r="C1324" s="60" t="s">
        <v>4871</v>
      </c>
      <c r="D1324" s="40">
        <v>45104</v>
      </c>
      <c r="E1324" s="61">
        <v>200</v>
      </c>
      <c r="F1324" s="62">
        <v>200</v>
      </c>
      <c r="G1324" s="63" t="s">
        <v>615</v>
      </c>
      <c r="H1324" s="64" t="s">
        <v>2742</v>
      </c>
      <c r="I1324" s="64" t="s">
        <v>2713</v>
      </c>
      <c r="J1324" s="63" t="s">
        <v>393</v>
      </c>
      <c r="K1324" s="64" t="s">
        <v>4930</v>
      </c>
      <c r="L1324" s="63" t="s">
        <v>157</v>
      </c>
      <c r="M1324" s="63" t="s">
        <v>5781</v>
      </c>
      <c r="N1324" s="65">
        <v>45443</v>
      </c>
    </row>
    <row r="1325" spans="1:14" customFormat="1" ht="14.45" customHeight="1" x14ac:dyDescent="0.2">
      <c r="A1325" s="59" t="s">
        <v>7386</v>
      </c>
      <c r="B1325" s="60" t="s">
        <v>7385</v>
      </c>
      <c r="C1325" s="60" t="s">
        <v>7384</v>
      </c>
      <c r="D1325" s="40">
        <v>45106</v>
      </c>
      <c r="E1325" s="61">
        <v>18.399999999999999</v>
      </c>
      <c r="F1325" s="62">
        <v>18.399999999999999</v>
      </c>
      <c r="G1325" s="63" t="s">
        <v>55</v>
      </c>
      <c r="H1325" s="64" t="s">
        <v>2727</v>
      </c>
      <c r="I1325" s="64" t="s">
        <v>2781</v>
      </c>
      <c r="J1325" s="63" t="s">
        <v>393</v>
      </c>
      <c r="K1325" s="64" t="s">
        <v>7383</v>
      </c>
      <c r="L1325" s="63" t="s">
        <v>34</v>
      </c>
      <c r="M1325" s="63" t="s">
        <v>5781</v>
      </c>
      <c r="N1325" s="65">
        <v>45626</v>
      </c>
    </row>
    <row r="1326" spans="1:14" customFormat="1" ht="14.45" customHeight="1" x14ac:dyDescent="0.2">
      <c r="A1326" s="59" t="s">
        <v>5518</v>
      </c>
      <c r="B1326" s="60" t="s">
        <v>3844</v>
      </c>
      <c r="C1326" s="60" t="s">
        <v>5048</v>
      </c>
      <c r="D1326" s="40">
        <v>45113</v>
      </c>
      <c r="E1326" s="61">
        <v>200</v>
      </c>
      <c r="F1326" s="62">
        <v>200</v>
      </c>
      <c r="G1326" s="63" t="s">
        <v>615</v>
      </c>
      <c r="H1326" s="64" t="s">
        <v>2716</v>
      </c>
      <c r="I1326" s="64" t="s">
        <v>2713</v>
      </c>
      <c r="J1326" s="63" t="s">
        <v>532</v>
      </c>
      <c r="K1326" s="64" t="s">
        <v>4974</v>
      </c>
      <c r="L1326" s="63" t="s">
        <v>87</v>
      </c>
      <c r="M1326" s="63">
        <v>0</v>
      </c>
      <c r="N1326" s="65">
        <v>45565</v>
      </c>
    </row>
    <row r="1327" spans="1:14" customFormat="1" ht="14.45" customHeight="1" x14ac:dyDescent="0.2">
      <c r="A1327" s="59" t="s">
        <v>5519</v>
      </c>
      <c r="B1327" s="60" t="s">
        <v>3844</v>
      </c>
      <c r="C1327" s="60" t="s">
        <v>4962</v>
      </c>
      <c r="D1327" s="40">
        <v>45113</v>
      </c>
      <c r="E1327" s="61">
        <v>200</v>
      </c>
      <c r="F1327" s="62">
        <v>200</v>
      </c>
      <c r="G1327" s="63" t="s">
        <v>55</v>
      </c>
      <c r="H1327" s="64" t="s">
        <v>2742</v>
      </c>
      <c r="I1327" s="64" t="s">
        <v>2713</v>
      </c>
      <c r="J1327" s="63" t="s">
        <v>393</v>
      </c>
      <c r="K1327" s="64" t="s">
        <v>5057</v>
      </c>
      <c r="L1327" s="63" t="s">
        <v>157</v>
      </c>
      <c r="M1327" s="63" t="s">
        <v>5781</v>
      </c>
      <c r="N1327" s="65">
        <v>45412</v>
      </c>
    </row>
    <row r="1328" spans="1:14" customFormat="1" ht="14.45" customHeight="1" x14ac:dyDescent="0.2">
      <c r="A1328" s="59" t="s">
        <v>5081</v>
      </c>
      <c r="B1328" s="60" t="s">
        <v>4995</v>
      </c>
      <c r="C1328" s="60" t="s">
        <v>4754</v>
      </c>
      <c r="D1328" s="40">
        <v>45118</v>
      </c>
      <c r="E1328" s="61">
        <v>17.100000000000001</v>
      </c>
      <c r="F1328" s="62">
        <v>17.100000000000001</v>
      </c>
      <c r="G1328" s="63" t="s">
        <v>615</v>
      </c>
      <c r="H1328" s="64" t="s">
        <v>2775</v>
      </c>
      <c r="I1328" s="64" t="s">
        <v>2713</v>
      </c>
      <c r="J1328" s="63" t="s">
        <v>531</v>
      </c>
      <c r="K1328" s="64" t="s">
        <v>5058</v>
      </c>
      <c r="L1328" s="63" t="s">
        <v>34</v>
      </c>
      <c r="M1328" s="63">
        <v>0</v>
      </c>
      <c r="N1328" s="65">
        <v>45230</v>
      </c>
    </row>
    <row r="1329" spans="1:24" customFormat="1" ht="14.45" customHeight="1" x14ac:dyDescent="0.2">
      <c r="A1329" s="59" t="s">
        <v>5065</v>
      </c>
      <c r="B1329" s="60" t="s">
        <v>4996</v>
      </c>
      <c r="C1329" s="60" t="s">
        <v>5001</v>
      </c>
      <c r="D1329" s="40">
        <v>45120</v>
      </c>
      <c r="E1329" s="61">
        <v>20</v>
      </c>
      <c r="F1329" s="62">
        <v>20</v>
      </c>
      <c r="G1329" s="63" t="s">
        <v>3505</v>
      </c>
      <c r="H1329" s="64" t="s">
        <v>2775</v>
      </c>
      <c r="I1329" s="64" t="s">
        <v>2713</v>
      </c>
      <c r="J1329" s="63" t="s">
        <v>531</v>
      </c>
      <c r="K1329" s="64" t="s">
        <v>5023</v>
      </c>
      <c r="L1329" s="63" t="s">
        <v>34</v>
      </c>
      <c r="M1329" s="63">
        <v>0</v>
      </c>
      <c r="N1329" s="65">
        <v>45199</v>
      </c>
    </row>
    <row r="1330" spans="1:24" customFormat="1" ht="14.45" customHeight="1" x14ac:dyDescent="0.2">
      <c r="A1330" s="59" t="s">
        <v>5520</v>
      </c>
      <c r="B1330" s="60" t="s">
        <v>4361</v>
      </c>
      <c r="C1330" s="60" t="s">
        <v>5002</v>
      </c>
      <c r="D1330" s="40">
        <v>45124</v>
      </c>
      <c r="E1330" s="61">
        <v>250</v>
      </c>
      <c r="F1330" s="62">
        <v>250</v>
      </c>
      <c r="G1330" s="63" t="s">
        <v>615</v>
      </c>
      <c r="H1330" s="64" t="s">
        <v>2806</v>
      </c>
      <c r="I1330" s="64" t="s">
        <v>2713</v>
      </c>
      <c r="J1330" s="63" t="s">
        <v>539</v>
      </c>
      <c r="K1330" s="64" t="s">
        <v>5059</v>
      </c>
      <c r="L1330" s="63" t="s">
        <v>673</v>
      </c>
      <c r="M1330" s="63" t="s">
        <v>5781</v>
      </c>
      <c r="N1330" s="65">
        <v>45443</v>
      </c>
    </row>
    <row r="1331" spans="1:24" customFormat="1" ht="14.45" customHeight="1" x14ac:dyDescent="0.2">
      <c r="A1331" s="59" t="s">
        <v>4981</v>
      </c>
      <c r="B1331" s="60" t="s">
        <v>3638</v>
      </c>
      <c r="C1331" s="60" t="s">
        <v>4982</v>
      </c>
      <c r="D1331" s="40">
        <v>45124</v>
      </c>
      <c r="E1331" s="61"/>
      <c r="F1331" s="62"/>
      <c r="G1331" s="63" t="s">
        <v>615</v>
      </c>
      <c r="H1331" s="64" t="s">
        <v>2742</v>
      </c>
      <c r="I1331" s="64" t="s">
        <v>2713</v>
      </c>
      <c r="J1331" s="63" t="s">
        <v>393</v>
      </c>
      <c r="K1331" s="64" t="s">
        <v>4983</v>
      </c>
      <c r="L1331" s="63" t="s">
        <v>157</v>
      </c>
      <c r="M1331" s="63">
        <v>0</v>
      </c>
      <c r="N1331" s="65">
        <v>45138</v>
      </c>
    </row>
    <row r="1332" spans="1:24" customFormat="1" ht="14.45" customHeight="1" x14ac:dyDescent="0.2">
      <c r="A1332" s="59" t="s">
        <v>5066</v>
      </c>
      <c r="B1332" s="60" t="s">
        <v>3638</v>
      </c>
      <c r="C1332" s="60" t="s">
        <v>5003</v>
      </c>
      <c r="D1332" s="40">
        <v>45124</v>
      </c>
      <c r="E1332" s="61"/>
      <c r="F1332" s="62"/>
      <c r="G1332" s="63" t="s">
        <v>615</v>
      </c>
      <c r="H1332" s="64" t="s">
        <v>2723</v>
      </c>
      <c r="I1332" s="64" t="s">
        <v>2713</v>
      </c>
      <c r="J1332" s="63" t="s">
        <v>471</v>
      </c>
      <c r="K1332" s="64" t="s">
        <v>5024</v>
      </c>
      <c r="L1332" s="63" t="s">
        <v>157</v>
      </c>
      <c r="M1332" s="63">
        <v>0</v>
      </c>
      <c r="N1332" s="65">
        <v>45199</v>
      </c>
    </row>
    <row r="1333" spans="1:24" customFormat="1" ht="14.45" customHeight="1" x14ac:dyDescent="0.2">
      <c r="A1333" s="59" t="s">
        <v>5521</v>
      </c>
      <c r="B1333" s="60" t="s">
        <v>3400</v>
      </c>
      <c r="C1333" s="60" t="s">
        <v>5004</v>
      </c>
      <c r="D1333" s="40">
        <v>45128</v>
      </c>
      <c r="E1333" s="61">
        <v>79.3</v>
      </c>
      <c r="F1333" s="62">
        <v>79.3</v>
      </c>
      <c r="G1333" s="63" t="s">
        <v>124</v>
      </c>
      <c r="H1333" s="64" t="s">
        <v>2766</v>
      </c>
      <c r="I1333" s="64" t="s">
        <v>2713</v>
      </c>
      <c r="J1333" s="63" t="s">
        <v>393</v>
      </c>
      <c r="K1333" s="64" t="s">
        <v>5025</v>
      </c>
      <c r="L1333" s="63" t="s">
        <v>34</v>
      </c>
      <c r="M1333" s="63" t="s">
        <v>5781</v>
      </c>
      <c r="N1333" s="65">
        <v>45443</v>
      </c>
    </row>
    <row r="1334" spans="1:24" customFormat="1" ht="14.45" customHeight="1" x14ac:dyDescent="0.2">
      <c r="A1334" s="59" t="s">
        <v>5522</v>
      </c>
      <c r="B1334" s="60" t="s">
        <v>4997</v>
      </c>
      <c r="C1334" s="60" t="s">
        <v>4997</v>
      </c>
      <c r="D1334" s="40">
        <v>45135</v>
      </c>
      <c r="E1334" s="61">
        <v>400</v>
      </c>
      <c r="F1334" s="62">
        <v>400</v>
      </c>
      <c r="G1334" s="63" t="s">
        <v>55</v>
      </c>
      <c r="H1334" s="64" t="s">
        <v>2740</v>
      </c>
      <c r="I1334" s="64" t="s">
        <v>2749</v>
      </c>
      <c r="J1334" s="63" t="s">
        <v>531</v>
      </c>
      <c r="K1334" s="64" t="s">
        <v>4496</v>
      </c>
      <c r="L1334" s="63" t="s">
        <v>34</v>
      </c>
      <c r="M1334" s="63" t="s">
        <v>5781</v>
      </c>
      <c r="N1334" s="65">
        <v>45443</v>
      </c>
    </row>
    <row r="1335" spans="1:24" customFormat="1" ht="14.45" customHeight="1" x14ac:dyDescent="0.2">
      <c r="A1335" s="59" t="s">
        <v>5523</v>
      </c>
      <c r="B1335" s="60" t="s">
        <v>5046</v>
      </c>
      <c r="C1335" s="60" t="s">
        <v>5049</v>
      </c>
      <c r="D1335" s="40">
        <v>45138</v>
      </c>
      <c r="E1335" s="61">
        <v>200</v>
      </c>
      <c r="F1335" s="62">
        <v>200</v>
      </c>
      <c r="G1335" s="63" t="s">
        <v>615</v>
      </c>
      <c r="H1335" s="64" t="s">
        <v>3145</v>
      </c>
      <c r="I1335" s="64" t="s">
        <v>2713</v>
      </c>
      <c r="J1335" s="63" t="s">
        <v>393</v>
      </c>
      <c r="K1335" s="64" t="s">
        <v>5122</v>
      </c>
      <c r="L1335" s="63" t="s">
        <v>34</v>
      </c>
      <c r="M1335" s="63" t="s">
        <v>5781</v>
      </c>
      <c r="N1335" s="65">
        <v>45443</v>
      </c>
    </row>
    <row r="1336" spans="1:24" customFormat="1" ht="14.45" customHeight="1" x14ac:dyDescent="0.2">
      <c r="A1336" s="59" t="s">
        <v>5524</v>
      </c>
      <c r="B1336" s="60" t="s">
        <v>4587</v>
      </c>
      <c r="C1336" s="60" t="s">
        <v>5102</v>
      </c>
      <c r="D1336" s="40">
        <v>45138</v>
      </c>
      <c r="E1336" s="61">
        <v>170</v>
      </c>
      <c r="F1336" s="62">
        <v>170</v>
      </c>
      <c r="G1336" s="63" t="s">
        <v>615</v>
      </c>
      <c r="H1336" s="64" t="s">
        <v>2728</v>
      </c>
      <c r="I1336" s="64" t="s">
        <v>2713</v>
      </c>
      <c r="J1336" s="63" t="s">
        <v>531</v>
      </c>
      <c r="K1336" s="64" t="s">
        <v>5123</v>
      </c>
      <c r="L1336" s="63" t="s">
        <v>157</v>
      </c>
      <c r="M1336" s="63" t="s">
        <v>5781</v>
      </c>
      <c r="N1336" s="65">
        <v>45443</v>
      </c>
    </row>
    <row r="1337" spans="1:24" customFormat="1" ht="14.45" customHeight="1" x14ac:dyDescent="0.2">
      <c r="A1337" s="59" t="s">
        <v>5525</v>
      </c>
      <c r="B1337" s="60" t="s">
        <v>4587</v>
      </c>
      <c r="C1337" s="60" t="s">
        <v>5005</v>
      </c>
      <c r="D1337" s="40">
        <v>45138</v>
      </c>
      <c r="E1337" s="61">
        <v>230</v>
      </c>
      <c r="F1337" s="62">
        <v>230</v>
      </c>
      <c r="G1337" s="63" t="s">
        <v>615</v>
      </c>
      <c r="H1337" s="64" t="s">
        <v>2722</v>
      </c>
      <c r="I1337" s="64" t="s">
        <v>2713</v>
      </c>
      <c r="J1337" s="63" t="s">
        <v>531</v>
      </c>
      <c r="K1337" s="64" t="s">
        <v>5026</v>
      </c>
      <c r="L1337" s="63" t="s">
        <v>5030</v>
      </c>
      <c r="M1337" s="63" t="s">
        <v>5781</v>
      </c>
      <c r="N1337" s="65">
        <v>45443</v>
      </c>
    </row>
    <row r="1338" spans="1:24" customFormat="1" ht="14.45" customHeight="1" x14ac:dyDescent="0.2">
      <c r="A1338" s="59" t="s">
        <v>5526</v>
      </c>
      <c r="B1338" s="60" t="s">
        <v>3522</v>
      </c>
      <c r="C1338" s="60" t="s">
        <v>5006</v>
      </c>
      <c r="D1338" s="40">
        <v>45139</v>
      </c>
      <c r="E1338" s="61">
        <v>14.5</v>
      </c>
      <c r="F1338" s="62">
        <v>14.5</v>
      </c>
      <c r="G1338" s="63" t="s">
        <v>3505</v>
      </c>
      <c r="H1338" s="64" t="s">
        <v>3145</v>
      </c>
      <c r="I1338" s="64" t="s">
        <v>2713</v>
      </c>
      <c r="J1338" s="63" t="s">
        <v>393</v>
      </c>
      <c r="K1338" s="64" t="s">
        <v>5841</v>
      </c>
      <c r="L1338" s="63" t="s">
        <v>34</v>
      </c>
      <c r="M1338" s="63" t="s">
        <v>5781</v>
      </c>
      <c r="N1338" s="65">
        <v>45443</v>
      </c>
    </row>
    <row r="1339" spans="1:24" customFormat="1" ht="14.45" customHeight="1" x14ac:dyDescent="0.2">
      <c r="A1339" s="59" t="s">
        <v>5527</v>
      </c>
      <c r="B1339" s="60" t="s">
        <v>4998</v>
      </c>
      <c r="C1339" s="60" t="s">
        <v>5050</v>
      </c>
      <c r="D1339" s="40">
        <v>45145</v>
      </c>
      <c r="E1339" s="61">
        <v>250</v>
      </c>
      <c r="F1339" s="62">
        <v>250</v>
      </c>
      <c r="G1339" s="63" t="s">
        <v>615</v>
      </c>
      <c r="H1339" s="64" t="s">
        <v>2758</v>
      </c>
      <c r="I1339" s="64" t="s">
        <v>2713</v>
      </c>
      <c r="J1339" s="63" t="s">
        <v>531</v>
      </c>
      <c r="K1339" s="64" t="s">
        <v>5060</v>
      </c>
      <c r="L1339" s="63" t="s">
        <v>157</v>
      </c>
      <c r="M1339" s="63" t="s">
        <v>5781</v>
      </c>
      <c r="N1339" s="65">
        <v>45443</v>
      </c>
    </row>
    <row r="1340" spans="1:24" customFormat="1" ht="14.45" customHeight="1" x14ac:dyDescent="0.2">
      <c r="A1340" s="59" t="s">
        <v>5528</v>
      </c>
      <c r="B1340" s="60" t="s">
        <v>4998</v>
      </c>
      <c r="C1340" s="60" t="s">
        <v>5007</v>
      </c>
      <c r="D1340" s="40">
        <v>45145</v>
      </c>
      <c r="E1340" s="61">
        <v>202.3</v>
      </c>
      <c r="F1340" s="62">
        <v>202.3</v>
      </c>
      <c r="G1340" s="63" t="s">
        <v>615</v>
      </c>
      <c r="H1340" s="64" t="s">
        <v>2742</v>
      </c>
      <c r="I1340" s="64" t="s">
        <v>2713</v>
      </c>
      <c r="J1340" s="63" t="s">
        <v>393</v>
      </c>
      <c r="K1340" s="64" t="s">
        <v>5027</v>
      </c>
      <c r="L1340" s="63" t="s">
        <v>157</v>
      </c>
      <c r="M1340" s="63" t="s">
        <v>5781</v>
      </c>
      <c r="N1340" s="65">
        <v>45443</v>
      </c>
    </row>
    <row r="1341" spans="1:24" customFormat="1" ht="14.45" customHeight="1" x14ac:dyDescent="0.2">
      <c r="A1341" s="59" t="s">
        <v>7766</v>
      </c>
      <c r="B1341" s="60" t="s">
        <v>4661</v>
      </c>
      <c r="C1341" s="60" t="s">
        <v>7767</v>
      </c>
      <c r="D1341" s="40">
        <v>45145</v>
      </c>
      <c r="E1341" s="61">
        <v>20</v>
      </c>
      <c r="F1341" s="62">
        <v>20</v>
      </c>
      <c r="G1341" s="63" t="s">
        <v>3505</v>
      </c>
      <c r="H1341" s="64" t="s">
        <v>2838</v>
      </c>
      <c r="I1341" s="64" t="s">
        <v>2713</v>
      </c>
      <c r="J1341" s="63" t="s">
        <v>531</v>
      </c>
      <c r="K1341" s="64" t="s">
        <v>7768</v>
      </c>
      <c r="L1341" s="63" t="s">
        <v>157</v>
      </c>
      <c r="M1341" s="65" t="s">
        <v>5781</v>
      </c>
      <c r="N1341" s="65">
        <v>45626</v>
      </c>
      <c r="W1341" t="s">
        <v>7427</v>
      </c>
      <c r="X1341" t="s">
        <v>6717</v>
      </c>
    </row>
    <row r="1342" spans="1:24" customFormat="1" ht="14.45" customHeight="1" x14ac:dyDescent="0.2">
      <c r="A1342" s="59" t="s">
        <v>5529</v>
      </c>
      <c r="B1342" s="60" t="s">
        <v>4999</v>
      </c>
      <c r="C1342" s="60" t="s">
        <v>5008</v>
      </c>
      <c r="D1342" s="40">
        <v>45154</v>
      </c>
      <c r="E1342" s="61">
        <v>200</v>
      </c>
      <c r="F1342" s="62">
        <v>200</v>
      </c>
      <c r="G1342" s="63" t="s">
        <v>615</v>
      </c>
      <c r="H1342" s="64" t="s">
        <v>2746</v>
      </c>
      <c r="I1342" s="64" t="s">
        <v>2713</v>
      </c>
      <c r="J1342" s="63" t="s">
        <v>532</v>
      </c>
      <c r="K1342" s="64" t="s">
        <v>5028</v>
      </c>
      <c r="L1342" s="63" t="s">
        <v>41</v>
      </c>
      <c r="M1342" s="63" t="s">
        <v>5781</v>
      </c>
      <c r="N1342" s="65">
        <v>45443</v>
      </c>
    </row>
    <row r="1343" spans="1:24" customFormat="1" ht="14.45" customHeight="1" x14ac:dyDescent="0.2">
      <c r="A1343" s="59" t="s">
        <v>5530</v>
      </c>
      <c r="B1343" s="60" t="s">
        <v>5047</v>
      </c>
      <c r="C1343" s="60" t="s">
        <v>5051</v>
      </c>
      <c r="D1343" s="40">
        <v>45155</v>
      </c>
      <c r="E1343" s="61">
        <v>181.4</v>
      </c>
      <c r="F1343" s="62">
        <v>181.4</v>
      </c>
      <c r="G1343" s="63" t="s">
        <v>615</v>
      </c>
      <c r="H1343" s="64" t="s">
        <v>2759</v>
      </c>
      <c r="I1343" s="64" t="s">
        <v>2713</v>
      </c>
      <c r="J1343" s="63" t="s">
        <v>471</v>
      </c>
      <c r="K1343" s="64" t="s">
        <v>5061</v>
      </c>
      <c r="L1343" s="63" t="s">
        <v>157</v>
      </c>
      <c r="M1343" s="63" t="s">
        <v>5781</v>
      </c>
      <c r="N1343" s="65">
        <v>45443</v>
      </c>
    </row>
    <row r="1344" spans="1:24" customFormat="1" ht="14.45" customHeight="1" x14ac:dyDescent="0.2">
      <c r="A1344" s="59" t="s">
        <v>5531</v>
      </c>
      <c r="B1344" s="60" t="s">
        <v>5103</v>
      </c>
      <c r="C1344" s="60" t="s">
        <v>5104</v>
      </c>
      <c r="D1344" s="40">
        <v>45161</v>
      </c>
      <c r="E1344" s="61">
        <v>100</v>
      </c>
      <c r="F1344" s="62">
        <v>100</v>
      </c>
      <c r="G1344" s="63" t="s">
        <v>55</v>
      </c>
      <c r="H1344" s="64" t="s">
        <v>2727</v>
      </c>
      <c r="I1344" s="64" t="s">
        <v>2713</v>
      </c>
      <c r="J1344" s="63" t="s">
        <v>393</v>
      </c>
      <c r="K1344" s="64" t="s">
        <v>5124</v>
      </c>
      <c r="L1344" s="63" t="s">
        <v>34</v>
      </c>
      <c r="M1344" s="63" t="s">
        <v>5781</v>
      </c>
      <c r="N1344" s="65">
        <v>45443</v>
      </c>
    </row>
    <row r="1345" spans="1:14" customFormat="1" ht="14.45" customHeight="1" x14ac:dyDescent="0.2">
      <c r="A1345" s="59" t="s">
        <v>5625</v>
      </c>
      <c r="B1345" s="60" t="s">
        <v>5103</v>
      </c>
      <c r="C1345" s="60" t="s">
        <v>5626</v>
      </c>
      <c r="D1345" s="40">
        <v>45161</v>
      </c>
      <c r="E1345" s="61">
        <v>100</v>
      </c>
      <c r="F1345" s="62">
        <v>100</v>
      </c>
      <c r="G1345" s="63" t="s">
        <v>55</v>
      </c>
      <c r="H1345" s="64" t="s">
        <v>2727</v>
      </c>
      <c r="I1345" s="64" t="s">
        <v>2713</v>
      </c>
      <c r="J1345" s="63" t="s">
        <v>393</v>
      </c>
      <c r="K1345" s="64" t="s">
        <v>5627</v>
      </c>
      <c r="L1345" s="63" t="s">
        <v>34</v>
      </c>
      <c r="M1345" s="63">
        <v>0</v>
      </c>
      <c r="N1345" s="65">
        <v>45291</v>
      </c>
    </row>
    <row r="1346" spans="1:14" customFormat="1" ht="14.45" customHeight="1" x14ac:dyDescent="0.2">
      <c r="A1346" s="59" t="s">
        <v>5532</v>
      </c>
      <c r="B1346" s="60" t="s">
        <v>5105</v>
      </c>
      <c r="C1346" s="60" t="s">
        <v>5106</v>
      </c>
      <c r="D1346" s="40">
        <v>45161</v>
      </c>
      <c r="E1346" s="61">
        <v>100</v>
      </c>
      <c r="F1346" s="62">
        <v>100</v>
      </c>
      <c r="G1346" s="63" t="s">
        <v>615</v>
      </c>
      <c r="H1346" s="64" t="s">
        <v>2727</v>
      </c>
      <c r="I1346" s="64" t="s">
        <v>2713</v>
      </c>
      <c r="J1346" s="63" t="s">
        <v>393</v>
      </c>
      <c r="K1346" s="64" t="s">
        <v>5125</v>
      </c>
      <c r="L1346" s="63" t="s">
        <v>34</v>
      </c>
      <c r="M1346" s="63" t="s">
        <v>5781</v>
      </c>
      <c r="N1346" s="65">
        <v>45443</v>
      </c>
    </row>
    <row r="1347" spans="1:14" customFormat="1" ht="14.45" customHeight="1" x14ac:dyDescent="0.2">
      <c r="A1347" s="59" t="s">
        <v>5533</v>
      </c>
      <c r="B1347" s="60" t="s">
        <v>5105</v>
      </c>
      <c r="C1347" s="60" t="s">
        <v>5107</v>
      </c>
      <c r="D1347" s="40">
        <v>45161</v>
      </c>
      <c r="E1347" s="61">
        <v>100</v>
      </c>
      <c r="F1347" s="62">
        <v>100</v>
      </c>
      <c r="G1347" s="63" t="s">
        <v>615</v>
      </c>
      <c r="H1347" s="64" t="s">
        <v>2727</v>
      </c>
      <c r="I1347" s="64" t="s">
        <v>2713</v>
      </c>
      <c r="J1347" s="63" t="s">
        <v>393</v>
      </c>
      <c r="K1347" s="64" t="s">
        <v>5126</v>
      </c>
      <c r="L1347" s="63" t="s">
        <v>34</v>
      </c>
      <c r="M1347" s="63" t="s">
        <v>5781</v>
      </c>
      <c r="N1347" s="65">
        <v>45443</v>
      </c>
    </row>
    <row r="1348" spans="1:14" customFormat="1" ht="14.45" customHeight="1" x14ac:dyDescent="0.2">
      <c r="A1348" s="59" t="s">
        <v>5628</v>
      </c>
      <c r="B1348" s="60" t="s">
        <v>3638</v>
      </c>
      <c r="C1348" s="60" t="s">
        <v>5629</v>
      </c>
      <c r="D1348" s="40">
        <v>45163</v>
      </c>
      <c r="E1348" s="61"/>
      <c r="F1348" s="62"/>
      <c r="G1348" s="63" t="s">
        <v>615</v>
      </c>
      <c r="H1348" s="64" t="s">
        <v>2766</v>
      </c>
      <c r="I1348" s="64" t="s">
        <v>2713</v>
      </c>
      <c r="J1348" s="63" t="s">
        <v>393</v>
      </c>
      <c r="K1348" s="64" t="s">
        <v>5630</v>
      </c>
      <c r="L1348" s="63" t="s">
        <v>34</v>
      </c>
      <c r="M1348" s="63">
        <v>0</v>
      </c>
      <c r="N1348" s="65">
        <v>45291</v>
      </c>
    </row>
    <row r="1349" spans="1:14" customFormat="1" ht="14.45" customHeight="1" x14ac:dyDescent="0.2">
      <c r="A1349" s="59" t="s">
        <v>5094</v>
      </c>
      <c r="B1349" s="60" t="s">
        <v>5095</v>
      </c>
      <c r="C1349" s="60" t="s">
        <v>5096</v>
      </c>
      <c r="D1349" s="40">
        <v>45169</v>
      </c>
      <c r="E1349" s="61">
        <v>500</v>
      </c>
      <c r="F1349" s="62">
        <v>500</v>
      </c>
      <c r="G1349" s="63" t="s">
        <v>615</v>
      </c>
      <c r="H1349" s="64" t="s">
        <v>2720</v>
      </c>
      <c r="I1349" s="64" t="s">
        <v>2713</v>
      </c>
      <c r="J1349" s="63" t="s">
        <v>539</v>
      </c>
      <c r="K1349" s="64" t="s">
        <v>5097</v>
      </c>
      <c r="L1349" s="63" t="s">
        <v>403</v>
      </c>
      <c r="M1349" s="63">
        <v>0</v>
      </c>
      <c r="N1349" s="65">
        <v>45230</v>
      </c>
    </row>
    <row r="1350" spans="1:14" customFormat="1" ht="14.45" customHeight="1" x14ac:dyDescent="0.2">
      <c r="A1350" s="59" t="s">
        <v>5053</v>
      </c>
      <c r="B1350" s="60" t="s">
        <v>5067</v>
      </c>
      <c r="C1350" s="60" t="s">
        <v>5068</v>
      </c>
      <c r="D1350" s="40">
        <v>45169</v>
      </c>
      <c r="E1350" s="61"/>
      <c r="F1350" s="62"/>
      <c r="G1350" s="63" t="s">
        <v>55</v>
      </c>
      <c r="H1350" s="64" t="s">
        <v>2748</v>
      </c>
      <c r="I1350" s="64" t="s">
        <v>2713</v>
      </c>
      <c r="J1350" s="63" t="s">
        <v>393</v>
      </c>
      <c r="K1350" s="64" t="s">
        <v>5069</v>
      </c>
      <c r="L1350" s="63" t="s">
        <v>34</v>
      </c>
      <c r="M1350" s="63">
        <v>0</v>
      </c>
      <c r="N1350" s="65">
        <v>45199</v>
      </c>
    </row>
    <row r="1351" spans="1:14" customFormat="1" ht="14.45" customHeight="1" x14ac:dyDescent="0.2">
      <c r="A1351" s="59" t="s">
        <v>5070</v>
      </c>
      <c r="B1351" s="60" t="s">
        <v>5067</v>
      </c>
      <c r="C1351" s="60" t="s">
        <v>5071</v>
      </c>
      <c r="D1351" s="40">
        <v>45169</v>
      </c>
      <c r="E1351" s="61"/>
      <c r="F1351" s="62"/>
      <c r="G1351" s="63" t="s">
        <v>55</v>
      </c>
      <c r="H1351" s="64" t="s">
        <v>2748</v>
      </c>
      <c r="I1351" s="64" t="s">
        <v>2713</v>
      </c>
      <c r="J1351" s="63" t="s">
        <v>393</v>
      </c>
      <c r="K1351" s="64" t="s">
        <v>5072</v>
      </c>
      <c r="L1351" s="63" t="s">
        <v>34</v>
      </c>
      <c r="M1351" s="63">
        <v>0</v>
      </c>
      <c r="N1351" s="65">
        <v>45199</v>
      </c>
    </row>
    <row r="1352" spans="1:14" customFormat="1" ht="14.45" customHeight="1" x14ac:dyDescent="0.2">
      <c r="A1352" s="59" t="s">
        <v>5079</v>
      </c>
      <c r="B1352" s="60" t="s">
        <v>4859</v>
      </c>
      <c r="C1352" s="60" t="s">
        <v>5052</v>
      </c>
      <c r="D1352" s="40">
        <v>45174</v>
      </c>
      <c r="E1352" s="61">
        <v>255</v>
      </c>
      <c r="F1352" s="62">
        <v>255</v>
      </c>
      <c r="G1352" s="63" t="s">
        <v>615</v>
      </c>
      <c r="H1352" s="64" t="s">
        <v>2719</v>
      </c>
      <c r="I1352" s="64" t="s">
        <v>2713</v>
      </c>
      <c r="J1352" s="63" t="s">
        <v>533</v>
      </c>
      <c r="K1352" s="64" t="s">
        <v>5062</v>
      </c>
      <c r="L1352" s="63" t="s">
        <v>403</v>
      </c>
      <c r="M1352" s="63">
        <v>0</v>
      </c>
      <c r="N1352" s="65">
        <v>45230</v>
      </c>
    </row>
    <row r="1353" spans="1:14" customFormat="1" ht="14.45" customHeight="1" x14ac:dyDescent="0.2">
      <c r="A1353" s="59" t="s">
        <v>5534</v>
      </c>
      <c r="B1353" s="60" t="s">
        <v>5108</v>
      </c>
      <c r="C1353" s="60" t="s">
        <v>5109</v>
      </c>
      <c r="D1353" s="40">
        <v>45174</v>
      </c>
      <c r="E1353" s="61">
        <v>400</v>
      </c>
      <c r="F1353" s="62">
        <v>400</v>
      </c>
      <c r="G1353" s="63" t="s">
        <v>615</v>
      </c>
      <c r="H1353" s="64" t="s">
        <v>2736</v>
      </c>
      <c r="I1353" s="64" t="s">
        <v>2713</v>
      </c>
      <c r="J1353" s="63" t="s">
        <v>471</v>
      </c>
      <c r="K1353" s="64" t="s">
        <v>5127</v>
      </c>
      <c r="L1353" s="63" t="s">
        <v>4731</v>
      </c>
      <c r="M1353" s="63" t="s">
        <v>5781</v>
      </c>
      <c r="N1353" s="65">
        <v>45443</v>
      </c>
    </row>
    <row r="1354" spans="1:14" customFormat="1" ht="14.45" customHeight="1" x14ac:dyDescent="0.2">
      <c r="A1354" s="59" t="s">
        <v>5535</v>
      </c>
      <c r="B1354" s="60" t="s">
        <v>5108</v>
      </c>
      <c r="C1354" s="60" t="s">
        <v>5109</v>
      </c>
      <c r="D1354" s="40">
        <v>45174</v>
      </c>
      <c r="E1354" s="61">
        <v>400</v>
      </c>
      <c r="F1354" s="62">
        <v>400</v>
      </c>
      <c r="G1354" s="63" t="s">
        <v>615</v>
      </c>
      <c r="H1354" s="64" t="s">
        <v>2736</v>
      </c>
      <c r="I1354" s="64" t="s">
        <v>2713</v>
      </c>
      <c r="J1354" s="63" t="s">
        <v>530</v>
      </c>
      <c r="K1354" s="64" t="s">
        <v>5128</v>
      </c>
      <c r="L1354" s="63" t="s">
        <v>157</v>
      </c>
      <c r="M1354" s="63" t="s">
        <v>5781</v>
      </c>
      <c r="N1354" s="65">
        <v>45443</v>
      </c>
    </row>
    <row r="1355" spans="1:14" customFormat="1" ht="14.45" customHeight="1" x14ac:dyDescent="0.2">
      <c r="A1355" s="59" t="s">
        <v>5589</v>
      </c>
      <c r="B1355" s="60" t="s">
        <v>4998</v>
      </c>
      <c r="C1355" s="60" t="s">
        <v>5110</v>
      </c>
      <c r="D1355" s="40">
        <v>45176</v>
      </c>
      <c r="E1355" s="61">
        <v>101.1</v>
      </c>
      <c r="F1355" s="62">
        <v>101.1</v>
      </c>
      <c r="G1355" s="63" t="s">
        <v>615</v>
      </c>
      <c r="H1355" s="64" t="s">
        <v>2742</v>
      </c>
      <c r="I1355" s="64" t="s">
        <v>2713</v>
      </c>
      <c r="J1355" s="63" t="s">
        <v>540</v>
      </c>
      <c r="K1355" s="64" t="s">
        <v>5129</v>
      </c>
      <c r="L1355" s="63" t="s">
        <v>157</v>
      </c>
      <c r="M1355" s="63">
        <v>0</v>
      </c>
      <c r="N1355" s="65">
        <v>45260</v>
      </c>
    </row>
    <row r="1356" spans="1:14" customFormat="1" ht="14.45" customHeight="1" x14ac:dyDescent="0.2">
      <c r="A1356" s="59" t="s">
        <v>5536</v>
      </c>
      <c r="B1356" s="60" t="s">
        <v>5537</v>
      </c>
      <c r="C1356" s="60" t="s">
        <v>5538</v>
      </c>
      <c r="D1356" s="40">
        <v>45180</v>
      </c>
      <c r="E1356" s="61">
        <v>100</v>
      </c>
      <c r="F1356" s="62">
        <v>100</v>
      </c>
      <c r="G1356" s="63" t="s">
        <v>55</v>
      </c>
      <c r="H1356" s="64" t="s">
        <v>2738</v>
      </c>
      <c r="I1356" s="64" t="s">
        <v>2713</v>
      </c>
      <c r="J1356" s="63" t="s">
        <v>420</v>
      </c>
      <c r="K1356" s="64" t="s">
        <v>5539</v>
      </c>
      <c r="L1356" s="63" t="s">
        <v>41</v>
      </c>
      <c r="M1356" s="63" t="s">
        <v>5781</v>
      </c>
      <c r="N1356" s="65">
        <v>45443</v>
      </c>
    </row>
    <row r="1357" spans="1:14" customFormat="1" ht="14.45" customHeight="1" x14ac:dyDescent="0.2">
      <c r="A1357" s="59" t="s">
        <v>5540</v>
      </c>
      <c r="B1357" s="60" t="s">
        <v>5111</v>
      </c>
      <c r="C1357" s="60" t="s">
        <v>5112</v>
      </c>
      <c r="D1357" s="40">
        <v>45183</v>
      </c>
      <c r="E1357" s="61">
        <v>206.7</v>
      </c>
      <c r="F1357" s="62">
        <v>206.7</v>
      </c>
      <c r="G1357" s="63" t="s">
        <v>3505</v>
      </c>
      <c r="H1357" s="64" t="s">
        <v>2737</v>
      </c>
      <c r="I1357" s="64" t="s">
        <v>2713</v>
      </c>
      <c r="J1357" s="63" t="s">
        <v>945</v>
      </c>
      <c r="K1357" s="64" t="s">
        <v>5541</v>
      </c>
      <c r="L1357" s="63" t="s">
        <v>157</v>
      </c>
      <c r="M1357" s="63" t="s">
        <v>5781</v>
      </c>
      <c r="N1357" s="65">
        <v>45443</v>
      </c>
    </row>
    <row r="1358" spans="1:14" customFormat="1" ht="14.45" customHeight="1" x14ac:dyDescent="0.2">
      <c r="A1358" s="59" t="s">
        <v>5073</v>
      </c>
      <c r="B1358" s="60" t="s">
        <v>5074</v>
      </c>
      <c r="C1358" s="60" t="s">
        <v>5075</v>
      </c>
      <c r="D1358" s="40">
        <v>45189</v>
      </c>
      <c r="E1358" s="61">
        <v>11.6</v>
      </c>
      <c r="F1358" s="62">
        <v>11.6</v>
      </c>
      <c r="G1358" s="63" t="s">
        <v>615</v>
      </c>
      <c r="H1358" s="64" t="s">
        <v>3860</v>
      </c>
      <c r="I1358" s="64" t="s">
        <v>2713</v>
      </c>
      <c r="J1358" s="63" t="s">
        <v>533</v>
      </c>
      <c r="K1358" s="64" t="s">
        <v>2568</v>
      </c>
      <c r="L1358" s="63" t="s">
        <v>403</v>
      </c>
      <c r="M1358" s="63">
        <v>0</v>
      </c>
      <c r="N1358" s="65">
        <v>45199</v>
      </c>
    </row>
    <row r="1359" spans="1:14" customFormat="1" ht="14.45" customHeight="1" x14ac:dyDescent="0.2">
      <c r="A1359" s="59" t="s">
        <v>5542</v>
      </c>
      <c r="B1359" s="60" t="s">
        <v>5113</v>
      </c>
      <c r="C1359" s="60" t="s">
        <v>5114</v>
      </c>
      <c r="D1359" s="40">
        <v>45191</v>
      </c>
      <c r="E1359" s="61">
        <v>200</v>
      </c>
      <c r="F1359" s="62">
        <v>200</v>
      </c>
      <c r="G1359" s="63" t="s">
        <v>615</v>
      </c>
      <c r="H1359" s="64" t="s">
        <v>2722</v>
      </c>
      <c r="I1359" s="64" t="s">
        <v>2713</v>
      </c>
      <c r="J1359" s="63" t="s">
        <v>531</v>
      </c>
      <c r="K1359" s="64" t="s">
        <v>5130</v>
      </c>
      <c r="L1359" s="63" t="s">
        <v>34</v>
      </c>
      <c r="M1359" s="63" t="s">
        <v>5781</v>
      </c>
      <c r="N1359" s="65">
        <v>45443</v>
      </c>
    </row>
    <row r="1360" spans="1:14" customFormat="1" ht="14.45" customHeight="1" x14ac:dyDescent="0.2">
      <c r="A1360" s="59" t="s">
        <v>5543</v>
      </c>
      <c r="B1360" s="60" t="s">
        <v>5544</v>
      </c>
      <c r="C1360" s="60" t="s">
        <v>5545</v>
      </c>
      <c r="D1360" s="40">
        <v>45195</v>
      </c>
      <c r="E1360" s="61">
        <v>1310</v>
      </c>
      <c r="F1360" s="62">
        <v>1310</v>
      </c>
      <c r="G1360" s="63" t="s">
        <v>124</v>
      </c>
      <c r="H1360" s="64" t="s">
        <v>5546</v>
      </c>
      <c r="I1360" s="64" t="s">
        <v>2713</v>
      </c>
      <c r="J1360" s="63" t="s">
        <v>533</v>
      </c>
      <c r="K1360" s="64" t="s">
        <v>5014</v>
      </c>
      <c r="L1360" s="63" t="s">
        <v>403</v>
      </c>
      <c r="M1360" s="63" t="s">
        <v>5781</v>
      </c>
      <c r="N1360" s="65">
        <v>45443</v>
      </c>
    </row>
    <row r="1361" spans="1:14" customFormat="1" ht="14.45" customHeight="1" x14ac:dyDescent="0.2">
      <c r="A1361" s="59" t="s">
        <v>5547</v>
      </c>
      <c r="B1361" s="60" t="s">
        <v>5544</v>
      </c>
      <c r="C1361" s="60" t="s">
        <v>5548</v>
      </c>
      <c r="D1361" s="40">
        <v>45195</v>
      </c>
      <c r="E1361" s="61">
        <v>1310</v>
      </c>
      <c r="F1361" s="62">
        <v>1310</v>
      </c>
      <c r="G1361" s="63" t="s">
        <v>124</v>
      </c>
      <c r="H1361" s="64" t="s">
        <v>4350</v>
      </c>
      <c r="I1361" s="64" t="s">
        <v>2713</v>
      </c>
      <c r="J1361" s="63" t="s">
        <v>533</v>
      </c>
      <c r="K1361" s="64" t="s">
        <v>3731</v>
      </c>
      <c r="L1361" s="63" t="s">
        <v>403</v>
      </c>
      <c r="M1361" s="63" t="s">
        <v>5781</v>
      </c>
      <c r="N1361" s="65">
        <v>45443</v>
      </c>
    </row>
    <row r="1362" spans="1:14" customFormat="1" ht="14.45" customHeight="1" x14ac:dyDescent="0.2">
      <c r="A1362" s="59" t="s">
        <v>5703</v>
      </c>
      <c r="B1362" s="60" t="s">
        <v>5544</v>
      </c>
      <c r="C1362" s="60" t="s">
        <v>5704</v>
      </c>
      <c r="D1362" s="40">
        <v>45195</v>
      </c>
      <c r="E1362" s="61">
        <v>1310</v>
      </c>
      <c r="F1362" s="62">
        <v>1310</v>
      </c>
      <c r="G1362" s="63" t="s">
        <v>124</v>
      </c>
      <c r="H1362" s="64" t="s">
        <v>2714</v>
      </c>
      <c r="I1362" s="64" t="s">
        <v>2713</v>
      </c>
      <c r="J1362" s="63" t="s">
        <v>533</v>
      </c>
      <c r="K1362" s="64" t="s">
        <v>5706</v>
      </c>
      <c r="L1362" s="63" t="s">
        <v>403</v>
      </c>
      <c r="M1362" s="63">
        <v>0</v>
      </c>
      <c r="N1362" s="65">
        <v>45351</v>
      </c>
    </row>
    <row r="1363" spans="1:14" customFormat="1" ht="14.45" customHeight="1" x14ac:dyDescent="0.2">
      <c r="A1363" s="59" t="s">
        <v>5549</v>
      </c>
      <c r="B1363" s="60" t="s">
        <v>5544</v>
      </c>
      <c r="C1363" s="60" t="s">
        <v>5550</v>
      </c>
      <c r="D1363" s="40">
        <v>45195</v>
      </c>
      <c r="E1363" s="61">
        <v>1381.8</v>
      </c>
      <c r="F1363" s="62">
        <v>1381.1</v>
      </c>
      <c r="G1363" s="63" t="s">
        <v>124</v>
      </c>
      <c r="H1363" s="64" t="s">
        <v>2746</v>
      </c>
      <c r="I1363" s="64" t="s">
        <v>2713</v>
      </c>
      <c r="J1363" s="63" t="s">
        <v>532</v>
      </c>
      <c r="K1363" s="64" t="s">
        <v>3552</v>
      </c>
      <c r="L1363" s="63" t="s">
        <v>41</v>
      </c>
      <c r="M1363" s="63" t="s">
        <v>5781</v>
      </c>
      <c r="N1363" s="65">
        <v>45443</v>
      </c>
    </row>
    <row r="1364" spans="1:14" customFormat="1" ht="14.45" customHeight="1" x14ac:dyDescent="0.2">
      <c r="A1364" s="59" t="s">
        <v>5648</v>
      </c>
      <c r="B1364" s="60" t="s">
        <v>5544</v>
      </c>
      <c r="C1364" s="60" t="s">
        <v>5667</v>
      </c>
      <c r="D1364" s="40">
        <v>45195</v>
      </c>
      <c r="E1364" s="61">
        <v>1310</v>
      </c>
      <c r="F1364" s="62">
        <v>1310</v>
      </c>
      <c r="G1364" s="63" t="s">
        <v>124</v>
      </c>
      <c r="H1364" s="64" t="s">
        <v>2714</v>
      </c>
      <c r="I1364" s="64" t="s">
        <v>2713</v>
      </c>
      <c r="J1364" s="63" t="s">
        <v>533</v>
      </c>
      <c r="K1364" s="64" t="s">
        <v>5749</v>
      </c>
      <c r="L1364" s="63" t="s">
        <v>403</v>
      </c>
      <c r="M1364" s="63" t="s">
        <v>5781</v>
      </c>
      <c r="N1364" s="65">
        <v>45443</v>
      </c>
    </row>
    <row r="1365" spans="1:14" customFormat="1" ht="14.45" customHeight="1" x14ac:dyDescent="0.2">
      <c r="A1365" s="59" t="s">
        <v>5551</v>
      </c>
      <c r="B1365" s="60" t="s">
        <v>5115</v>
      </c>
      <c r="C1365" s="60" t="s">
        <v>5116</v>
      </c>
      <c r="D1365" s="40">
        <v>45195</v>
      </c>
      <c r="E1365" s="61">
        <v>250</v>
      </c>
      <c r="F1365" s="62">
        <v>250</v>
      </c>
      <c r="G1365" s="63" t="s">
        <v>615</v>
      </c>
      <c r="H1365" s="64" t="s">
        <v>2769</v>
      </c>
      <c r="I1365" s="64" t="s">
        <v>2713</v>
      </c>
      <c r="J1365" s="63" t="s">
        <v>471</v>
      </c>
      <c r="K1365" s="64" t="s">
        <v>5131</v>
      </c>
      <c r="L1365" s="63" t="s">
        <v>3533</v>
      </c>
      <c r="M1365" s="63" t="s">
        <v>5781</v>
      </c>
      <c r="N1365" s="65">
        <v>45504</v>
      </c>
    </row>
    <row r="1366" spans="1:14" customFormat="1" ht="14.45" customHeight="1" x14ac:dyDescent="0.2">
      <c r="A1366" s="59" t="s">
        <v>5552</v>
      </c>
      <c r="B1366" s="60" t="s">
        <v>5553</v>
      </c>
      <c r="C1366" s="60" t="s">
        <v>4979</v>
      </c>
      <c r="D1366" s="40">
        <v>45196</v>
      </c>
      <c r="E1366" s="61">
        <v>140</v>
      </c>
      <c r="F1366" s="62">
        <v>140</v>
      </c>
      <c r="G1366" s="63" t="s">
        <v>615</v>
      </c>
      <c r="H1366" s="64" t="s">
        <v>2716</v>
      </c>
      <c r="I1366" s="64" t="s">
        <v>2713</v>
      </c>
      <c r="J1366" s="63" t="s">
        <v>532</v>
      </c>
      <c r="K1366" s="64" t="s">
        <v>5554</v>
      </c>
      <c r="L1366" s="63" t="s">
        <v>87</v>
      </c>
      <c r="M1366" s="63" t="s">
        <v>5781</v>
      </c>
      <c r="N1366" s="65">
        <v>45443</v>
      </c>
    </row>
    <row r="1367" spans="1:14" customFormat="1" ht="14.45" customHeight="1" x14ac:dyDescent="0.2">
      <c r="A1367" s="59" t="s">
        <v>5639</v>
      </c>
      <c r="B1367" s="60" t="s">
        <v>5612</v>
      </c>
      <c r="C1367" s="60" t="s">
        <v>5613</v>
      </c>
      <c r="D1367" s="40">
        <v>45196</v>
      </c>
      <c r="E1367" s="61"/>
      <c r="F1367" s="62"/>
      <c r="G1367" s="63"/>
      <c r="H1367" s="64" t="s">
        <v>2759</v>
      </c>
      <c r="I1367" s="64" t="s">
        <v>2713</v>
      </c>
      <c r="J1367" s="63"/>
      <c r="K1367" s="64" t="s">
        <v>5640</v>
      </c>
      <c r="L1367" s="63" t="s">
        <v>5624</v>
      </c>
      <c r="M1367" s="63">
        <v>0</v>
      </c>
      <c r="N1367" s="65">
        <v>45322</v>
      </c>
    </row>
    <row r="1368" spans="1:14" customFormat="1" ht="14.45" customHeight="1" x14ac:dyDescent="0.2">
      <c r="A1368" s="59" t="s">
        <v>5555</v>
      </c>
      <c r="B1368" s="60" t="s">
        <v>3638</v>
      </c>
      <c r="C1368" s="60" t="s">
        <v>4828</v>
      </c>
      <c r="D1368" s="40">
        <v>45209</v>
      </c>
      <c r="E1368" s="61">
        <v>2</v>
      </c>
      <c r="F1368" s="62">
        <v>2</v>
      </c>
      <c r="G1368" s="63" t="s">
        <v>615</v>
      </c>
      <c r="H1368" s="64" t="s">
        <v>2799</v>
      </c>
      <c r="I1368" s="64" t="s">
        <v>2713</v>
      </c>
      <c r="J1368" s="63" t="s">
        <v>393</v>
      </c>
      <c r="K1368" s="64" t="s">
        <v>5688</v>
      </c>
      <c r="L1368" s="63" t="s">
        <v>34</v>
      </c>
      <c r="M1368" s="63" t="s">
        <v>5781</v>
      </c>
      <c r="N1368" s="65">
        <v>45412</v>
      </c>
    </row>
    <row r="1369" spans="1:14" customFormat="1" ht="14.45" customHeight="1" x14ac:dyDescent="0.2">
      <c r="A1369" s="59" t="s">
        <v>5556</v>
      </c>
      <c r="B1369" s="60" t="s">
        <v>5095</v>
      </c>
      <c r="C1369" s="60" t="s">
        <v>5117</v>
      </c>
      <c r="D1369" s="40">
        <v>45210</v>
      </c>
      <c r="E1369" s="61">
        <v>500</v>
      </c>
      <c r="F1369" s="62">
        <v>500</v>
      </c>
      <c r="G1369" s="63" t="s">
        <v>615</v>
      </c>
      <c r="H1369" s="64" t="s">
        <v>2720</v>
      </c>
      <c r="I1369" s="64" t="s">
        <v>2713</v>
      </c>
      <c r="J1369" s="63" t="s">
        <v>539</v>
      </c>
      <c r="K1369" s="64" t="s">
        <v>5764</v>
      </c>
      <c r="L1369" s="63" t="s">
        <v>403</v>
      </c>
      <c r="M1369" s="63" t="s">
        <v>5781</v>
      </c>
      <c r="N1369" s="65">
        <v>45504</v>
      </c>
    </row>
    <row r="1370" spans="1:14" customFormat="1" ht="14.45" customHeight="1" x14ac:dyDescent="0.2">
      <c r="A1370" s="59" t="s">
        <v>5557</v>
      </c>
      <c r="B1370" s="60" t="s">
        <v>3638</v>
      </c>
      <c r="C1370" s="60" t="s">
        <v>5558</v>
      </c>
      <c r="D1370" s="40">
        <v>45211</v>
      </c>
      <c r="E1370" s="61">
        <v>20</v>
      </c>
      <c r="F1370" s="62">
        <v>20</v>
      </c>
      <c r="G1370" s="63" t="s">
        <v>615</v>
      </c>
      <c r="H1370" s="64" t="s">
        <v>3145</v>
      </c>
      <c r="I1370" s="64" t="s">
        <v>2713</v>
      </c>
      <c r="J1370" s="63" t="s">
        <v>393</v>
      </c>
      <c r="K1370" s="64" t="s">
        <v>5559</v>
      </c>
      <c r="L1370" s="63" t="s">
        <v>34</v>
      </c>
      <c r="M1370" s="63" t="s">
        <v>5781</v>
      </c>
      <c r="N1370" s="65">
        <v>45443</v>
      </c>
    </row>
    <row r="1371" spans="1:14" customFormat="1" ht="14.45" customHeight="1" x14ac:dyDescent="0.2">
      <c r="A1371" s="59" t="s">
        <v>5560</v>
      </c>
      <c r="B1371" s="60" t="s">
        <v>5561</v>
      </c>
      <c r="C1371" s="60" t="s">
        <v>5562</v>
      </c>
      <c r="D1371" s="40">
        <v>45211</v>
      </c>
      <c r="E1371" s="61">
        <v>50</v>
      </c>
      <c r="F1371" s="62">
        <v>50</v>
      </c>
      <c r="G1371" s="63" t="s">
        <v>615</v>
      </c>
      <c r="H1371" s="64" t="s">
        <v>2776</v>
      </c>
      <c r="I1371" s="64" t="s">
        <v>2713</v>
      </c>
      <c r="J1371" s="63" t="s">
        <v>471</v>
      </c>
      <c r="K1371" s="64" t="s">
        <v>5563</v>
      </c>
      <c r="L1371" s="63" t="s">
        <v>157</v>
      </c>
      <c r="M1371" s="63" t="s">
        <v>5781</v>
      </c>
      <c r="N1371" s="65">
        <v>45443</v>
      </c>
    </row>
    <row r="1372" spans="1:14" customFormat="1" ht="14.45" customHeight="1" x14ac:dyDescent="0.2">
      <c r="A1372" s="59" t="s">
        <v>5564</v>
      </c>
      <c r="B1372" s="60" t="s">
        <v>5561</v>
      </c>
      <c r="C1372" s="60" t="s">
        <v>5565</v>
      </c>
      <c r="D1372" s="40">
        <v>45216</v>
      </c>
      <c r="E1372" s="61">
        <v>200</v>
      </c>
      <c r="F1372" s="62">
        <v>200</v>
      </c>
      <c r="G1372" s="63" t="s">
        <v>615</v>
      </c>
      <c r="H1372" s="64" t="s">
        <v>2777</v>
      </c>
      <c r="I1372" s="64" t="s">
        <v>2713</v>
      </c>
      <c r="J1372" s="63" t="s">
        <v>471</v>
      </c>
      <c r="K1372" s="64" t="s">
        <v>5566</v>
      </c>
      <c r="L1372" s="63" t="s">
        <v>157</v>
      </c>
      <c r="M1372" s="63" t="s">
        <v>5781</v>
      </c>
      <c r="N1372" s="65">
        <v>45443</v>
      </c>
    </row>
    <row r="1373" spans="1:14" customFormat="1" ht="14.45" customHeight="1" x14ac:dyDescent="0.2">
      <c r="A1373" s="59" t="s">
        <v>5649</v>
      </c>
      <c r="B1373" s="60" t="s">
        <v>4527</v>
      </c>
      <c r="C1373" s="60" t="s">
        <v>5668</v>
      </c>
      <c r="D1373" s="40">
        <v>45224</v>
      </c>
      <c r="E1373" s="61">
        <v>19.899999999999999</v>
      </c>
      <c r="F1373" s="62">
        <v>19.899999999999999</v>
      </c>
      <c r="G1373" s="63" t="s">
        <v>615</v>
      </c>
      <c r="H1373" s="64" t="s">
        <v>2735</v>
      </c>
      <c r="I1373" s="64" t="s">
        <v>5702</v>
      </c>
      <c r="J1373" s="63" t="s">
        <v>420</v>
      </c>
      <c r="K1373" s="64" t="s">
        <v>5689</v>
      </c>
      <c r="L1373" s="63" t="s">
        <v>34</v>
      </c>
      <c r="M1373" s="63">
        <v>0</v>
      </c>
      <c r="N1373" s="65">
        <v>45382</v>
      </c>
    </row>
    <row r="1374" spans="1:14" customFormat="1" ht="14.45" customHeight="1" x14ac:dyDescent="0.2">
      <c r="A1374" s="59" t="s">
        <v>5567</v>
      </c>
      <c r="B1374" s="60" t="s">
        <v>4527</v>
      </c>
      <c r="C1374" s="60" t="s">
        <v>5568</v>
      </c>
      <c r="D1374" s="40">
        <v>45224</v>
      </c>
      <c r="E1374" s="61">
        <v>120</v>
      </c>
      <c r="F1374" s="62">
        <v>120</v>
      </c>
      <c r="G1374" s="63" t="s">
        <v>615</v>
      </c>
      <c r="H1374" s="64" t="s">
        <v>2735</v>
      </c>
      <c r="I1374" s="64" t="s">
        <v>2713</v>
      </c>
      <c r="J1374" s="63" t="s">
        <v>420</v>
      </c>
      <c r="K1374" s="64" t="s">
        <v>5753</v>
      </c>
      <c r="L1374" s="63" t="s">
        <v>34</v>
      </c>
      <c r="M1374" s="63" t="s">
        <v>5781</v>
      </c>
      <c r="N1374" s="65">
        <v>45443</v>
      </c>
    </row>
    <row r="1375" spans="1:14" customFormat="1" ht="14.45" customHeight="1" x14ac:dyDescent="0.2">
      <c r="A1375" s="59" t="s">
        <v>5569</v>
      </c>
      <c r="B1375" s="60" t="s">
        <v>4527</v>
      </c>
      <c r="C1375" s="60" t="s">
        <v>5118</v>
      </c>
      <c r="D1375" s="40">
        <v>45224</v>
      </c>
      <c r="E1375" s="61">
        <v>160</v>
      </c>
      <c r="F1375" s="62">
        <v>160</v>
      </c>
      <c r="G1375" s="63" t="s">
        <v>615</v>
      </c>
      <c r="H1375" s="64" t="s">
        <v>2735</v>
      </c>
      <c r="I1375" s="64" t="s">
        <v>2713</v>
      </c>
      <c r="J1375" s="63" t="s">
        <v>420</v>
      </c>
      <c r="K1375" s="64" t="s">
        <v>5132</v>
      </c>
      <c r="L1375" s="63" t="s">
        <v>41</v>
      </c>
      <c r="M1375" s="63" t="s">
        <v>5781</v>
      </c>
      <c r="N1375" s="65">
        <v>45443</v>
      </c>
    </row>
    <row r="1376" spans="1:14" customFormat="1" ht="14.45" customHeight="1" x14ac:dyDescent="0.2">
      <c r="A1376" s="59" t="s">
        <v>6154</v>
      </c>
      <c r="B1376" s="60" t="s">
        <v>6155</v>
      </c>
      <c r="C1376" s="60" t="s">
        <v>6156</v>
      </c>
      <c r="D1376" s="40">
        <v>45224</v>
      </c>
      <c r="E1376" s="61">
        <v>200</v>
      </c>
      <c r="F1376" s="62">
        <v>200</v>
      </c>
      <c r="G1376" s="63" t="s">
        <v>615</v>
      </c>
      <c r="H1376" s="64" t="s">
        <v>2811</v>
      </c>
      <c r="I1376" s="64" t="s">
        <v>2713</v>
      </c>
      <c r="J1376" s="63" t="s">
        <v>6157</v>
      </c>
      <c r="K1376" s="64" t="s">
        <v>6158</v>
      </c>
      <c r="L1376" s="63" t="s">
        <v>403</v>
      </c>
      <c r="M1376" s="63">
        <v>0</v>
      </c>
      <c r="N1376" s="65">
        <v>45565</v>
      </c>
    </row>
    <row r="1377" spans="1:14" customFormat="1" ht="14.45" customHeight="1" x14ac:dyDescent="0.2">
      <c r="A1377" s="59" t="s">
        <v>5573</v>
      </c>
      <c r="B1377" s="60" t="s">
        <v>5037</v>
      </c>
      <c r="C1377" s="60" t="s">
        <v>5038</v>
      </c>
      <c r="D1377" s="40">
        <v>45232</v>
      </c>
      <c r="E1377" s="61">
        <v>1200</v>
      </c>
      <c r="F1377" s="62">
        <v>1200</v>
      </c>
      <c r="G1377" s="63" t="s">
        <v>253</v>
      </c>
      <c r="H1377" s="64" t="s">
        <v>2715</v>
      </c>
      <c r="I1377" s="64" t="s">
        <v>2713</v>
      </c>
      <c r="J1377" s="63" t="s">
        <v>533</v>
      </c>
      <c r="K1377" s="64" t="s">
        <v>5014</v>
      </c>
      <c r="L1377" s="63" t="s">
        <v>403</v>
      </c>
      <c r="M1377" s="63" t="s">
        <v>5781</v>
      </c>
      <c r="N1377" s="65">
        <v>45412</v>
      </c>
    </row>
    <row r="1378" spans="1:14" customFormat="1" ht="14.45" customHeight="1" x14ac:dyDescent="0.2">
      <c r="A1378" s="59" t="s">
        <v>5574</v>
      </c>
      <c r="B1378" s="60" t="s">
        <v>5037</v>
      </c>
      <c r="C1378" s="60" t="s">
        <v>5040</v>
      </c>
      <c r="D1378" s="40">
        <v>45232</v>
      </c>
      <c r="E1378" s="61">
        <v>1500</v>
      </c>
      <c r="F1378" s="62">
        <v>1500</v>
      </c>
      <c r="G1378" s="63" t="s">
        <v>253</v>
      </c>
      <c r="H1378" s="64" t="s">
        <v>2715</v>
      </c>
      <c r="I1378" s="64" t="s">
        <v>2713</v>
      </c>
      <c r="J1378" s="63" t="s">
        <v>533</v>
      </c>
      <c r="K1378" s="64" t="s">
        <v>5014</v>
      </c>
      <c r="L1378" s="63" t="s">
        <v>403</v>
      </c>
      <c r="M1378" s="63" t="s">
        <v>5781</v>
      </c>
      <c r="N1378" s="65">
        <v>45412</v>
      </c>
    </row>
    <row r="1379" spans="1:14" customFormat="1" ht="14.45" customHeight="1" x14ac:dyDescent="0.2">
      <c r="A1379" s="59" t="s">
        <v>5631</v>
      </c>
      <c r="B1379" s="60" t="s">
        <v>544</v>
      </c>
      <c r="C1379" s="60" t="s">
        <v>5632</v>
      </c>
      <c r="D1379" s="40">
        <v>45233</v>
      </c>
      <c r="E1379" s="61"/>
      <c r="F1379" s="62"/>
      <c r="G1379" s="63"/>
      <c r="H1379" s="64" t="s">
        <v>2720</v>
      </c>
      <c r="I1379" s="64" t="s">
        <v>2713</v>
      </c>
      <c r="J1379" s="63" t="s">
        <v>539</v>
      </c>
      <c r="K1379" s="64" t="s">
        <v>5633</v>
      </c>
      <c r="L1379" s="63" t="s">
        <v>1162</v>
      </c>
      <c r="M1379" s="63">
        <v>0</v>
      </c>
      <c r="N1379" s="65">
        <v>45291</v>
      </c>
    </row>
    <row r="1380" spans="1:14" customFormat="1" ht="14.45" customHeight="1" x14ac:dyDescent="0.2">
      <c r="A1380" s="59" t="s">
        <v>5641</v>
      </c>
      <c r="B1380" s="60" t="s">
        <v>4762</v>
      </c>
      <c r="C1380" s="60" t="s">
        <v>5642</v>
      </c>
      <c r="D1380" s="40">
        <v>45233</v>
      </c>
      <c r="E1380" s="61">
        <v>1350</v>
      </c>
      <c r="F1380" s="62">
        <v>1350</v>
      </c>
      <c r="G1380" s="63" t="s">
        <v>615</v>
      </c>
      <c r="H1380" s="64" t="s">
        <v>2759</v>
      </c>
      <c r="I1380" s="64" t="s">
        <v>2713</v>
      </c>
      <c r="J1380" s="63" t="s">
        <v>471</v>
      </c>
      <c r="K1380" s="64" t="s">
        <v>5643</v>
      </c>
      <c r="L1380" s="63" t="s">
        <v>157</v>
      </c>
      <c r="M1380" s="63">
        <v>0</v>
      </c>
      <c r="N1380" s="65">
        <v>45322</v>
      </c>
    </row>
    <row r="1381" spans="1:14" customFormat="1" ht="14.45" customHeight="1" x14ac:dyDescent="0.2">
      <c r="A1381" s="59" t="s">
        <v>5575</v>
      </c>
      <c r="B1381" s="60" t="s">
        <v>5576</v>
      </c>
      <c r="C1381" s="60" t="s">
        <v>5577</v>
      </c>
      <c r="D1381" s="40">
        <v>45238</v>
      </c>
      <c r="E1381" s="61">
        <v>400</v>
      </c>
      <c r="F1381" s="62">
        <v>400</v>
      </c>
      <c r="G1381" s="63" t="s">
        <v>615</v>
      </c>
      <c r="H1381" s="64" t="s">
        <v>3300</v>
      </c>
      <c r="I1381" s="64" t="s">
        <v>2749</v>
      </c>
      <c r="J1381" s="63" t="s">
        <v>393</v>
      </c>
      <c r="K1381" s="64" t="s">
        <v>5578</v>
      </c>
      <c r="L1381" s="63" t="s">
        <v>34</v>
      </c>
      <c r="M1381" s="63" t="s">
        <v>5781</v>
      </c>
      <c r="N1381" s="65">
        <v>45443</v>
      </c>
    </row>
    <row r="1382" spans="1:14" customFormat="1" ht="14.45" customHeight="1" x14ac:dyDescent="0.2">
      <c r="A1382" s="59" t="s">
        <v>5595</v>
      </c>
      <c r="B1382" s="60" t="s">
        <v>5606</v>
      </c>
      <c r="C1382" s="60" t="s">
        <v>5606</v>
      </c>
      <c r="D1382" s="40">
        <v>45244</v>
      </c>
      <c r="E1382" s="61">
        <v>19.899999999999999</v>
      </c>
      <c r="F1382" s="62">
        <v>19.899999999999999</v>
      </c>
      <c r="G1382" s="63" t="s">
        <v>55</v>
      </c>
      <c r="H1382" s="64" t="s">
        <v>2735</v>
      </c>
      <c r="I1382" s="64" t="s">
        <v>2713</v>
      </c>
      <c r="J1382" s="63" t="s">
        <v>420</v>
      </c>
      <c r="K1382" s="64" t="s">
        <v>5618</v>
      </c>
      <c r="L1382" s="63" t="s">
        <v>41</v>
      </c>
      <c r="M1382" s="63" t="s">
        <v>5781</v>
      </c>
      <c r="N1382" s="65">
        <v>45443</v>
      </c>
    </row>
    <row r="1383" spans="1:14" customFormat="1" ht="14.45" customHeight="1" x14ac:dyDescent="0.2">
      <c r="A1383" s="59" t="s">
        <v>5596</v>
      </c>
      <c r="B1383" s="60" t="s">
        <v>5561</v>
      </c>
      <c r="C1383" s="60" t="s">
        <v>5607</v>
      </c>
      <c r="D1383" s="40">
        <v>45245</v>
      </c>
      <c r="E1383" s="61">
        <v>80</v>
      </c>
      <c r="F1383" s="62">
        <v>80</v>
      </c>
      <c r="G1383" s="63" t="s">
        <v>615</v>
      </c>
      <c r="H1383" s="64" t="s">
        <v>2738</v>
      </c>
      <c r="I1383" s="64" t="s">
        <v>2713</v>
      </c>
      <c r="J1383" s="63" t="s">
        <v>420</v>
      </c>
      <c r="K1383" s="64" t="s">
        <v>5619</v>
      </c>
      <c r="L1383" s="63" t="s">
        <v>157</v>
      </c>
      <c r="M1383" s="63" t="s">
        <v>5781</v>
      </c>
      <c r="N1383" s="65">
        <v>45443</v>
      </c>
    </row>
    <row r="1384" spans="1:14" customFormat="1" ht="14.45" customHeight="1" x14ac:dyDescent="0.2">
      <c r="A1384" s="59" t="s">
        <v>5597</v>
      </c>
      <c r="B1384" s="60" t="s">
        <v>5561</v>
      </c>
      <c r="C1384" s="60" t="s">
        <v>5608</v>
      </c>
      <c r="D1384" s="40">
        <v>45245</v>
      </c>
      <c r="E1384" s="61">
        <v>35</v>
      </c>
      <c r="F1384" s="62">
        <v>35</v>
      </c>
      <c r="G1384" s="63" t="s">
        <v>615</v>
      </c>
      <c r="H1384" s="64" t="s">
        <v>2699</v>
      </c>
      <c r="I1384" s="64" t="s">
        <v>2713</v>
      </c>
      <c r="J1384" s="63" t="s">
        <v>471</v>
      </c>
      <c r="K1384" s="64" t="s">
        <v>5620</v>
      </c>
      <c r="L1384" s="63" t="s">
        <v>157</v>
      </c>
      <c r="M1384" s="63" t="s">
        <v>5781</v>
      </c>
      <c r="N1384" s="65">
        <v>45443</v>
      </c>
    </row>
    <row r="1385" spans="1:14" customFormat="1" ht="14.45" customHeight="1" x14ac:dyDescent="0.2">
      <c r="A1385" s="59" t="s">
        <v>5598</v>
      </c>
      <c r="B1385" s="60" t="s">
        <v>5609</v>
      </c>
      <c r="C1385" s="60" t="s">
        <v>5609</v>
      </c>
      <c r="D1385" s="40">
        <v>45246</v>
      </c>
      <c r="E1385" s="61">
        <v>120</v>
      </c>
      <c r="F1385" s="62">
        <v>120</v>
      </c>
      <c r="G1385" s="63" t="s">
        <v>615</v>
      </c>
      <c r="H1385" s="64" t="s">
        <v>2759</v>
      </c>
      <c r="I1385" s="64" t="s">
        <v>2713</v>
      </c>
      <c r="J1385" s="63" t="s">
        <v>471</v>
      </c>
      <c r="K1385" s="64" t="s">
        <v>5732</v>
      </c>
      <c r="L1385" s="63" t="s">
        <v>157</v>
      </c>
      <c r="M1385" s="63" t="s">
        <v>5781</v>
      </c>
      <c r="N1385" s="65">
        <v>45443</v>
      </c>
    </row>
    <row r="1386" spans="1:14" customFormat="1" ht="14.45" customHeight="1" x14ac:dyDescent="0.2">
      <c r="A1386" s="59" t="s">
        <v>5599</v>
      </c>
      <c r="B1386" s="60" t="s">
        <v>3844</v>
      </c>
      <c r="C1386" s="60" t="s">
        <v>5610</v>
      </c>
      <c r="D1386" s="40">
        <v>45246</v>
      </c>
      <c r="E1386" s="61">
        <v>85</v>
      </c>
      <c r="F1386" s="62">
        <v>85</v>
      </c>
      <c r="G1386" s="63" t="s">
        <v>615</v>
      </c>
      <c r="H1386" s="64" t="s">
        <v>2728</v>
      </c>
      <c r="I1386" s="64" t="s">
        <v>2713</v>
      </c>
      <c r="J1386" s="63" t="s">
        <v>531</v>
      </c>
      <c r="K1386" s="64" t="s">
        <v>5621</v>
      </c>
      <c r="L1386" s="63" t="s">
        <v>157</v>
      </c>
      <c r="M1386" s="63" t="s">
        <v>5781</v>
      </c>
      <c r="N1386" s="65">
        <v>45443</v>
      </c>
    </row>
    <row r="1387" spans="1:14" customFormat="1" ht="14.45" customHeight="1" x14ac:dyDescent="0.2">
      <c r="A1387" s="59" t="s">
        <v>5650</v>
      </c>
      <c r="B1387" s="60" t="s">
        <v>5669</v>
      </c>
      <c r="C1387" s="60" t="s">
        <v>4740</v>
      </c>
      <c r="D1387" s="40">
        <v>45250</v>
      </c>
      <c r="E1387" s="61">
        <v>20</v>
      </c>
      <c r="F1387" s="62">
        <v>20</v>
      </c>
      <c r="G1387" s="63" t="s">
        <v>5784</v>
      </c>
      <c r="H1387" s="64" t="s">
        <v>2717</v>
      </c>
      <c r="I1387" s="64" t="s">
        <v>2713</v>
      </c>
      <c r="J1387" s="63" t="s">
        <v>539</v>
      </c>
      <c r="K1387" s="64" t="s">
        <v>4741</v>
      </c>
      <c r="L1387" s="63" t="s">
        <v>5700</v>
      </c>
      <c r="M1387" s="63" t="s">
        <v>5781</v>
      </c>
      <c r="N1387" s="65">
        <v>45412</v>
      </c>
    </row>
    <row r="1388" spans="1:14" customFormat="1" ht="14.45" customHeight="1" x14ac:dyDescent="0.2">
      <c r="A1388" s="59" t="s">
        <v>5707</v>
      </c>
      <c r="B1388" s="60" t="s">
        <v>5669</v>
      </c>
      <c r="C1388" s="60" t="s">
        <v>5718</v>
      </c>
      <c r="D1388" s="40">
        <v>45251</v>
      </c>
      <c r="E1388" s="61">
        <v>20</v>
      </c>
      <c r="F1388" s="62">
        <v>20</v>
      </c>
      <c r="G1388" s="63" t="s">
        <v>55</v>
      </c>
      <c r="H1388" s="64" t="s">
        <v>3145</v>
      </c>
      <c r="I1388" s="64" t="s">
        <v>2713</v>
      </c>
      <c r="J1388" s="63" t="s">
        <v>393</v>
      </c>
      <c r="K1388" s="64" t="s">
        <v>5752</v>
      </c>
      <c r="L1388" s="63" t="s">
        <v>34</v>
      </c>
      <c r="M1388" s="63" t="s">
        <v>5781</v>
      </c>
      <c r="N1388" s="65">
        <v>45443</v>
      </c>
    </row>
    <row r="1389" spans="1:14" customFormat="1" ht="14.45" customHeight="1" x14ac:dyDescent="0.2">
      <c r="A1389" s="59" t="s">
        <v>5634</v>
      </c>
      <c r="B1389" s="60" t="s">
        <v>3929</v>
      </c>
      <c r="C1389" s="60" t="s">
        <v>5635</v>
      </c>
      <c r="D1389" s="40">
        <v>45251</v>
      </c>
      <c r="E1389" s="61">
        <v>79.900000000000006</v>
      </c>
      <c r="F1389" s="62">
        <v>79.900000000000006</v>
      </c>
      <c r="G1389" s="63" t="s">
        <v>615</v>
      </c>
      <c r="H1389" s="64" t="s">
        <v>2719</v>
      </c>
      <c r="I1389" s="64" t="s">
        <v>2713</v>
      </c>
      <c r="J1389" s="63" t="s">
        <v>533</v>
      </c>
      <c r="K1389" s="64" t="s">
        <v>5636</v>
      </c>
      <c r="L1389" s="63" t="s">
        <v>5637</v>
      </c>
      <c r="M1389" s="63">
        <v>0</v>
      </c>
      <c r="N1389" s="65">
        <v>45291</v>
      </c>
    </row>
    <row r="1390" spans="1:14" customFormat="1" ht="14.45" customHeight="1" x14ac:dyDescent="0.2">
      <c r="A1390" s="59" t="s">
        <v>5708</v>
      </c>
      <c r="B1390" s="60" t="s">
        <v>5719</v>
      </c>
      <c r="C1390" s="60" t="s">
        <v>5720</v>
      </c>
      <c r="D1390" s="40">
        <v>45258</v>
      </c>
      <c r="E1390" s="61">
        <v>1310</v>
      </c>
      <c r="F1390" s="62">
        <v>1310</v>
      </c>
      <c r="G1390" s="63" t="s">
        <v>124</v>
      </c>
      <c r="H1390" s="64" t="s">
        <v>2719</v>
      </c>
      <c r="I1390" s="64" t="s">
        <v>2713</v>
      </c>
      <c r="J1390" s="63" t="s">
        <v>533</v>
      </c>
      <c r="K1390" s="64" t="s">
        <v>5733</v>
      </c>
      <c r="L1390" s="63" t="s">
        <v>403</v>
      </c>
      <c r="M1390" s="63" t="s">
        <v>5781</v>
      </c>
      <c r="N1390" s="65">
        <v>45443</v>
      </c>
    </row>
    <row r="1391" spans="1:14" customFormat="1" ht="14.45" customHeight="1" x14ac:dyDescent="0.2">
      <c r="A1391" s="59" t="s">
        <v>5651</v>
      </c>
      <c r="B1391" s="60" t="s">
        <v>4029</v>
      </c>
      <c r="C1391" s="60" t="s">
        <v>5670</v>
      </c>
      <c r="D1391" s="40">
        <v>45258</v>
      </c>
      <c r="E1391" s="61">
        <v>1364.5</v>
      </c>
      <c r="F1391" s="62">
        <v>1310</v>
      </c>
      <c r="G1391" s="63" t="s">
        <v>124</v>
      </c>
      <c r="H1391" s="64" t="s">
        <v>3554</v>
      </c>
      <c r="I1391" s="64" t="s">
        <v>2713</v>
      </c>
      <c r="J1391" s="63" t="s">
        <v>533</v>
      </c>
      <c r="K1391" s="64" t="s">
        <v>5690</v>
      </c>
      <c r="L1391" s="63" t="s">
        <v>403</v>
      </c>
      <c r="M1391" s="63" t="s">
        <v>5781</v>
      </c>
      <c r="N1391" s="65">
        <v>45443</v>
      </c>
    </row>
    <row r="1392" spans="1:14" customFormat="1" ht="14.45" customHeight="1" x14ac:dyDescent="0.2">
      <c r="A1392" s="59" t="s">
        <v>7387</v>
      </c>
      <c r="B1392" s="60" t="s">
        <v>3844</v>
      </c>
      <c r="C1392" s="60" t="s">
        <v>7388</v>
      </c>
      <c r="D1392" s="40">
        <v>45258</v>
      </c>
      <c r="E1392" s="61">
        <v>150</v>
      </c>
      <c r="F1392" s="62">
        <v>150</v>
      </c>
      <c r="G1392" s="63" t="s">
        <v>55</v>
      </c>
      <c r="H1392" s="64" t="s">
        <v>2640</v>
      </c>
      <c r="I1392" s="64" t="s">
        <v>2713</v>
      </c>
      <c r="J1392" s="63" t="s">
        <v>393</v>
      </c>
      <c r="K1392" s="64" t="s">
        <v>7389</v>
      </c>
      <c r="L1392" s="63" t="s">
        <v>34</v>
      </c>
      <c r="M1392" s="63" t="s">
        <v>5781</v>
      </c>
      <c r="N1392" s="65">
        <v>45626</v>
      </c>
    </row>
    <row r="1393" spans="1:14" customFormat="1" ht="14.45" customHeight="1" x14ac:dyDescent="0.2">
      <c r="A1393" s="59" t="s">
        <v>5600</v>
      </c>
      <c r="B1393" s="60" t="s">
        <v>4527</v>
      </c>
      <c r="C1393" s="60" t="s">
        <v>5611</v>
      </c>
      <c r="D1393" s="40">
        <v>45259</v>
      </c>
      <c r="E1393" s="61">
        <v>80</v>
      </c>
      <c r="F1393" s="62">
        <v>80</v>
      </c>
      <c r="G1393" s="63" t="s">
        <v>615</v>
      </c>
      <c r="H1393" s="64" t="s">
        <v>2800</v>
      </c>
      <c r="I1393" s="64" t="s">
        <v>2713</v>
      </c>
      <c r="J1393" s="63" t="s">
        <v>530</v>
      </c>
      <c r="K1393" s="64" t="s">
        <v>5734</v>
      </c>
      <c r="L1393" s="63" t="s">
        <v>157</v>
      </c>
      <c r="M1393" s="63" t="s">
        <v>5781</v>
      </c>
      <c r="N1393" s="65">
        <v>45443</v>
      </c>
    </row>
    <row r="1394" spans="1:14" customFormat="1" ht="14.45" customHeight="1" x14ac:dyDescent="0.2">
      <c r="A1394" s="59" t="s">
        <v>5652</v>
      </c>
      <c r="B1394" s="60" t="s">
        <v>5671</v>
      </c>
      <c r="C1394" s="60" t="s">
        <v>5672</v>
      </c>
      <c r="D1394" s="40">
        <v>45265</v>
      </c>
      <c r="E1394" s="61">
        <v>300</v>
      </c>
      <c r="F1394" s="62">
        <v>300</v>
      </c>
      <c r="G1394" s="63" t="s">
        <v>124</v>
      </c>
      <c r="H1394" s="64" t="s">
        <v>5691</v>
      </c>
      <c r="I1394" s="64" t="s">
        <v>2749</v>
      </c>
      <c r="J1394" s="63" t="s">
        <v>531</v>
      </c>
      <c r="K1394" s="64" t="s">
        <v>5692</v>
      </c>
      <c r="L1394" s="63" t="s">
        <v>157</v>
      </c>
      <c r="M1394" s="63" t="s">
        <v>5781</v>
      </c>
      <c r="N1394" s="65">
        <v>45443</v>
      </c>
    </row>
    <row r="1395" spans="1:14" customFormat="1" ht="14.45" customHeight="1" x14ac:dyDescent="0.2">
      <c r="A1395" s="59" t="s">
        <v>5653</v>
      </c>
      <c r="B1395" s="60" t="s">
        <v>5671</v>
      </c>
      <c r="C1395" s="60" t="s">
        <v>5673</v>
      </c>
      <c r="D1395" s="40">
        <v>45265</v>
      </c>
      <c r="E1395" s="61">
        <v>300</v>
      </c>
      <c r="F1395" s="62">
        <v>300</v>
      </c>
      <c r="G1395" s="63" t="s">
        <v>124</v>
      </c>
      <c r="H1395" s="64" t="s">
        <v>5691</v>
      </c>
      <c r="I1395" s="64" t="s">
        <v>2749</v>
      </c>
      <c r="J1395" s="63" t="s">
        <v>531</v>
      </c>
      <c r="K1395" s="64" t="s">
        <v>5693</v>
      </c>
      <c r="L1395" s="63" t="s">
        <v>157</v>
      </c>
      <c r="M1395" s="63" t="s">
        <v>5781</v>
      </c>
      <c r="N1395" s="65">
        <v>45443</v>
      </c>
    </row>
    <row r="1396" spans="1:14" customFormat="1" ht="14.45" customHeight="1" x14ac:dyDescent="0.2">
      <c r="A1396" s="59" t="s">
        <v>5654</v>
      </c>
      <c r="B1396" s="60" t="s">
        <v>5671</v>
      </c>
      <c r="C1396" s="60" t="s">
        <v>5674</v>
      </c>
      <c r="D1396" s="40">
        <v>45265</v>
      </c>
      <c r="E1396" s="61">
        <v>400</v>
      </c>
      <c r="F1396" s="62">
        <v>400</v>
      </c>
      <c r="G1396" s="63" t="s">
        <v>615</v>
      </c>
      <c r="H1396" s="64" t="s">
        <v>5691</v>
      </c>
      <c r="I1396" s="64" t="s">
        <v>2749</v>
      </c>
      <c r="J1396" s="63" t="s">
        <v>531</v>
      </c>
      <c r="K1396" s="64" t="s">
        <v>5692</v>
      </c>
      <c r="L1396" s="63" t="s">
        <v>157</v>
      </c>
      <c r="M1396" s="63" t="s">
        <v>5781</v>
      </c>
      <c r="N1396" s="65">
        <v>45443</v>
      </c>
    </row>
    <row r="1397" spans="1:14" customFormat="1" ht="14.45" customHeight="1" x14ac:dyDescent="0.2">
      <c r="A1397" s="59" t="s">
        <v>5602</v>
      </c>
      <c r="B1397" s="60" t="s">
        <v>4527</v>
      </c>
      <c r="C1397" s="60" t="s">
        <v>5614</v>
      </c>
      <c r="D1397" s="40">
        <v>45272</v>
      </c>
      <c r="E1397" s="61">
        <v>130</v>
      </c>
      <c r="F1397" s="62">
        <v>130</v>
      </c>
      <c r="G1397" s="63" t="s">
        <v>615</v>
      </c>
      <c r="H1397" s="64" t="s">
        <v>2744</v>
      </c>
      <c r="I1397" s="64" t="s">
        <v>2713</v>
      </c>
      <c r="J1397" s="63" t="s">
        <v>530</v>
      </c>
      <c r="K1397" s="64" t="s">
        <v>5735</v>
      </c>
      <c r="L1397" s="63" t="s">
        <v>157</v>
      </c>
      <c r="M1397" s="63">
        <v>0</v>
      </c>
      <c r="N1397" s="65">
        <v>45382</v>
      </c>
    </row>
    <row r="1398" spans="1:14" customFormat="1" ht="14.45" customHeight="1" x14ac:dyDescent="0.2">
      <c r="A1398" s="59" t="s">
        <v>5603</v>
      </c>
      <c r="B1398" s="60" t="s">
        <v>5615</v>
      </c>
      <c r="C1398" s="60" t="s">
        <v>5616</v>
      </c>
      <c r="D1398" s="40">
        <v>45274</v>
      </c>
      <c r="E1398" s="61">
        <v>200</v>
      </c>
      <c r="F1398" s="62">
        <v>200</v>
      </c>
      <c r="G1398" s="63" t="s">
        <v>615</v>
      </c>
      <c r="H1398" s="64" t="s">
        <v>590</v>
      </c>
      <c r="I1398" s="64" t="s">
        <v>2713</v>
      </c>
      <c r="J1398" s="63" t="s">
        <v>393</v>
      </c>
      <c r="K1398" s="64" t="s">
        <v>5622</v>
      </c>
      <c r="L1398" s="63" t="s">
        <v>157</v>
      </c>
      <c r="M1398" s="63" t="s">
        <v>5781</v>
      </c>
      <c r="N1398" s="65">
        <v>45351</v>
      </c>
    </row>
    <row r="1399" spans="1:14" customFormat="1" ht="14.45" customHeight="1" x14ac:dyDescent="0.2">
      <c r="A1399" s="59" t="s">
        <v>5604</v>
      </c>
      <c r="B1399" s="60" t="s">
        <v>3844</v>
      </c>
      <c r="C1399" s="60" t="s">
        <v>5617</v>
      </c>
      <c r="D1399" s="40">
        <v>45280</v>
      </c>
      <c r="E1399" s="61">
        <v>300</v>
      </c>
      <c r="F1399" s="62">
        <v>300</v>
      </c>
      <c r="G1399" s="63" t="s">
        <v>615</v>
      </c>
      <c r="H1399" s="64" t="s">
        <v>2718</v>
      </c>
      <c r="I1399" s="64" t="s">
        <v>2713</v>
      </c>
      <c r="J1399" s="63" t="s">
        <v>530</v>
      </c>
      <c r="K1399" s="64" t="s">
        <v>5623</v>
      </c>
      <c r="L1399" s="63" t="s">
        <v>34</v>
      </c>
      <c r="M1399" s="63" t="s">
        <v>5781</v>
      </c>
      <c r="N1399" s="65">
        <v>45535</v>
      </c>
    </row>
    <row r="1400" spans="1:14" customFormat="1" ht="14.45" customHeight="1" x14ac:dyDescent="0.2">
      <c r="A1400" s="59" t="s">
        <v>5655</v>
      </c>
      <c r="B1400" s="60" t="s">
        <v>4029</v>
      </c>
      <c r="C1400" s="60" t="s">
        <v>5675</v>
      </c>
      <c r="D1400" s="40">
        <v>45281</v>
      </c>
      <c r="E1400" s="61">
        <v>1310</v>
      </c>
      <c r="F1400" s="62">
        <v>1310</v>
      </c>
      <c r="G1400" s="63" t="s">
        <v>124</v>
      </c>
      <c r="H1400" s="64" t="s">
        <v>2746</v>
      </c>
      <c r="I1400" s="64" t="s">
        <v>2713</v>
      </c>
      <c r="J1400" s="63" t="s">
        <v>532</v>
      </c>
      <c r="K1400" s="64" t="s">
        <v>5736</v>
      </c>
      <c r="L1400" s="63" t="s">
        <v>87</v>
      </c>
      <c r="M1400" s="63">
        <v>0</v>
      </c>
      <c r="N1400" s="65">
        <v>45443</v>
      </c>
    </row>
    <row r="1401" spans="1:14" customFormat="1" ht="14.45" customHeight="1" x14ac:dyDescent="0.2">
      <c r="A1401" s="59" t="s">
        <v>5656</v>
      </c>
      <c r="B1401" s="60" t="s">
        <v>5676</v>
      </c>
      <c r="C1401" s="60" t="s">
        <v>5677</v>
      </c>
      <c r="D1401" s="40">
        <v>45281</v>
      </c>
      <c r="E1401" s="61">
        <v>500</v>
      </c>
      <c r="F1401" s="62">
        <v>500</v>
      </c>
      <c r="G1401" s="63" t="s">
        <v>615</v>
      </c>
      <c r="H1401" s="64" t="s">
        <v>2744</v>
      </c>
      <c r="I1401" s="64" t="s">
        <v>2713</v>
      </c>
      <c r="J1401" s="63" t="s">
        <v>530</v>
      </c>
      <c r="K1401" s="64" t="s">
        <v>5694</v>
      </c>
      <c r="L1401" s="63" t="s">
        <v>41</v>
      </c>
      <c r="M1401" s="63">
        <v>0</v>
      </c>
      <c r="N1401" s="65">
        <v>45443</v>
      </c>
    </row>
    <row r="1402" spans="1:14" customFormat="1" ht="14.45" customHeight="1" x14ac:dyDescent="0.2">
      <c r="A1402" s="59" t="s">
        <v>5657</v>
      </c>
      <c r="B1402" s="60" t="s">
        <v>5678</v>
      </c>
      <c r="C1402" s="60" t="s">
        <v>5679</v>
      </c>
      <c r="D1402" s="40">
        <v>45281</v>
      </c>
      <c r="E1402" s="61">
        <v>350</v>
      </c>
      <c r="F1402" s="62">
        <v>350</v>
      </c>
      <c r="G1402" s="63" t="s">
        <v>55</v>
      </c>
      <c r="H1402" s="64" t="s">
        <v>2733</v>
      </c>
      <c r="I1402" s="64" t="s">
        <v>2713</v>
      </c>
      <c r="J1402" s="63" t="s">
        <v>530</v>
      </c>
      <c r="K1402" s="64" t="s">
        <v>5737</v>
      </c>
      <c r="L1402" s="63" t="s">
        <v>41</v>
      </c>
      <c r="M1402" s="63">
        <v>0</v>
      </c>
      <c r="N1402" s="65">
        <v>45565</v>
      </c>
    </row>
    <row r="1403" spans="1:14" customFormat="1" ht="14.45" customHeight="1" x14ac:dyDescent="0.2">
      <c r="A1403" s="59" t="s">
        <v>5658</v>
      </c>
      <c r="B1403" s="60" t="s">
        <v>5676</v>
      </c>
      <c r="C1403" s="60" t="s">
        <v>5680</v>
      </c>
      <c r="D1403" s="40">
        <v>45281</v>
      </c>
      <c r="E1403" s="61">
        <v>500</v>
      </c>
      <c r="F1403" s="62">
        <v>500</v>
      </c>
      <c r="G1403" s="63" t="s">
        <v>615</v>
      </c>
      <c r="H1403" s="64" t="s">
        <v>2744</v>
      </c>
      <c r="I1403" s="64" t="s">
        <v>2713</v>
      </c>
      <c r="J1403" s="63" t="s">
        <v>530</v>
      </c>
      <c r="K1403" s="64" t="s">
        <v>5695</v>
      </c>
      <c r="L1403" s="63" t="s">
        <v>157</v>
      </c>
      <c r="M1403" s="63">
        <v>0</v>
      </c>
      <c r="N1403" s="65">
        <v>45443</v>
      </c>
    </row>
    <row r="1404" spans="1:14" customFormat="1" ht="14.45" customHeight="1" x14ac:dyDescent="0.2">
      <c r="A1404" s="59" t="s">
        <v>5659</v>
      </c>
      <c r="B1404" s="60" t="s">
        <v>5681</v>
      </c>
      <c r="C1404" s="60" t="s">
        <v>1013</v>
      </c>
      <c r="D1404" s="40">
        <v>45287</v>
      </c>
      <c r="E1404" s="61">
        <v>150</v>
      </c>
      <c r="F1404" s="62">
        <v>150</v>
      </c>
      <c r="G1404" s="63" t="s">
        <v>615</v>
      </c>
      <c r="H1404" s="64" t="s">
        <v>2806</v>
      </c>
      <c r="I1404" s="64" t="s">
        <v>2713</v>
      </c>
      <c r="J1404" s="63" t="s">
        <v>539</v>
      </c>
      <c r="K1404" s="64" t="s">
        <v>5696</v>
      </c>
      <c r="L1404" s="63" t="s">
        <v>673</v>
      </c>
      <c r="M1404" s="63">
        <v>0</v>
      </c>
      <c r="N1404" s="65">
        <v>45443</v>
      </c>
    </row>
    <row r="1405" spans="1:14" customFormat="1" ht="14.45" customHeight="1" x14ac:dyDescent="0.2">
      <c r="A1405" s="59" t="s">
        <v>5660</v>
      </c>
      <c r="B1405" s="60" t="s">
        <v>5681</v>
      </c>
      <c r="C1405" s="60" t="s">
        <v>5682</v>
      </c>
      <c r="D1405" s="40">
        <v>45287</v>
      </c>
      <c r="E1405" s="61">
        <v>100</v>
      </c>
      <c r="F1405" s="62">
        <v>100</v>
      </c>
      <c r="G1405" s="63" t="s">
        <v>615</v>
      </c>
      <c r="H1405" s="64" t="s">
        <v>2777</v>
      </c>
      <c r="I1405" s="64" t="s">
        <v>2713</v>
      </c>
      <c r="J1405" s="63" t="s">
        <v>539</v>
      </c>
      <c r="K1405" s="64" t="s">
        <v>5697</v>
      </c>
      <c r="L1405" s="63" t="s">
        <v>673</v>
      </c>
      <c r="M1405" s="63">
        <v>0</v>
      </c>
      <c r="N1405" s="65">
        <v>45443</v>
      </c>
    </row>
    <row r="1406" spans="1:14" customFormat="1" ht="14.45" customHeight="1" x14ac:dyDescent="0.2">
      <c r="A1406" s="59" t="s">
        <v>5661</v>
      </c>
      <c r="B1406" s="60" t="s">
        <v>5678</v>
      </c>
      <c r="C1406" s="60" t="s">
        <v>5683</v>
      </c>
      <c r="D1406" s="40">
        <v>45287</v>
      </c>
      <c r="E1406" s="61">
        <v>150</v>
      </c>
      <c r="F1406" s="62">
        <v>150</v>
      </c>
      <c r="G1406" s="63" t="s">
        <v>55</v>
      </c>
      <c r="H1406" s="64" t="s">
        <v>2758</v>
      </c>
      <c r="I1406" s="64" t="s">
        <v>2713</v>
      </c>
      <c r="J1406" s="63" t="s">
        <v>540</v>
      </c>
      <c r="K1406" s="64" t="s">
        <v>6159</v>
      </c>
      <c r="L1406" s="63" t="s">
        <v>4751</v>
      </c>
      <c r="M1406" s="63">
        <v>0</v>
      </c>
      <c r="N1406" s="65">
        <v>45565</v>
      </c>
    </row>
    <row r="1407" spans="1:14" customFormat="1" ht="14.45" customHeight="1" x14ac:dyDescent="0.2">
      <c r="A1407" s="59" t="s">
        <v>5662</v>
      </c>
      <c r="B1407" s="60" t="s">
        <v>4527</v>
      </c>
      <c r="C1407" s="60" t="s">
        <v>5684</v>
      </c>
      <c r="D1407" s="40">
        <v>45288</v>
      </c>
      <c r="E1407" s="61">
        <v>150</v>
      </c>
      <c r="F1407" s="62">
        <v>150</v>
      </c>
      <c r="G1407" s="63" t="s">
        <v>615</v>
      </c>
      <c r="H1407" s="64" t="s">
        <v>2735</v>
      </c>
      <c r="I1407" s="64" t="s">
        <v>2713</v>
      </c>
      <c r="J1407" s="63" t="s">
        <v>420</v>
      </c>
      <c r="K1407" s="64" t="s">
        <v>5738</v>
      </c>
      <c r="L1407" s="63" t="s">
        <v>41</v>
      </c>
      <c r="M1407" s="63">
        <v>0</v>
      </c>
      <c r="N1407" s="65">
        <v>45443</v>
      </c>
    </row>
    <row r="1408" spans="1:14" customFormat="1" ht="14.45" customHeight="1" x14ac:dyDescent="0.2">
      <c r="A1408" s="59" t="s">
        <v>5663</v>
      </c>
      <c r="B1408" s="60" t="s">
        <v>5685</v>
      </c>
      <c r="C1408" s="60" t="s">
        <v>5686</v>
      </c>
      <c r="D1408" s="40">
        <v>45288</v>
      </c>
      <c r="E1408" s="61">
        <v>20</v>
      </c>
      <c r="F1408" s="62">
        <v>20</v>
      </c>
      <c r="G1408" s="63" t="s">
        <v>3505</v>
      </c>
      <c r="H1408" s="64" t="s">
        <v>2776</v>
      </c>
      <c r="I1408" s="64" t="s">
        <v>2713</v>
      </c>
      <c r="J1408" s="63" t="s">
        <v>471</v>
      </c>
      <c r="K1408" s="64" t="s">
        <v>5750</v>
      </c>
      <c r="L1408" s="63" t="s">
        <v>157</v>
      </c>
      <c r="M1408" s="63">
        <v>0</v>
      </c>
      <c r="N1408" s="65">
        <v>45412</v>
      </c>
    </row>
    <row r="1409" spans="1:14" customFormat="1" ht="14.45" customHeight="1" x14ac:dyDescent="0.2">
      <c r="A1409" s="59" t="s">
        <v>5664</v>
      </c>
      <c r="B1409" s="60" t="s">
        <v>3726</v>
      </c>
      <c r="C1409" s="60" t="s">
        <v>3726</v>
      </c>
      <c r="D1409" s="40">
        <v>45300</v>
      </c>
      <c r="E1409" s="61">
        <v>50</v>
      </c>
      <c r="F1409" s="62">
        <v>50</v>
      </c>
      <c r="G1409" s="63" t="s">
        <v>615</v>
      </c>
      <c r="H1409" s="64" t="s">
        <v>2717</v>
      </c>
      <c r="I1409" s="64" t="s">
        <v>2713</v>
      </c>
      <c r="J1409" s="63" t="s">
        <v>539</v>
      </c>
      <c r="K1409" s="64" t="s">
        <v>5698</v>
      </c>
      <c r="L1409" s="63" t="s">
        <v>1162</v>
      </c>
      <c r="M1409" s="63">
        <v>0</v>
      </c>
      <c r="N1409" s="65">
        <v>45443</v>
      </c>
    </row>
    <row r="1410" spans="1:14" customFormat="1" ht="14.45" customHeight="1" x14ac:dyDescent="0.2">
      <c r="A1410" s="59" t="s">
        <v>5665</v>
      </c>
      <c r="B1410" s="60" t="s">
        <v>3849</v>
      </c>
      <c r="C1410" s="60" t="s">
        <v>3849</v>
      </c>
      <c r="D1410" s="40">
        <v>45300</v>
      </c>
      <c r="E1410" s="61">
        <v>50</v>
      </c>
      <c r="F1410" s="62">
        <v>50</v>
      </c>
      <c r="G1410" s="63" t="s">
        <v>615</v>
      </c>
      <c r="H1410" s="64" t="s">
        <v>2806</v>
      </c>
      <c r="I1410" s="64" t="s">
        <v>2713</v>
      </c>
      <c r="J1410" s="63" t="s">
        <v>539</v>
      </c>
      <c r="K1410" s="64" t="s">
        <v>5699</v>
      </c>
      <c r="L1410" s="63" t="s">
        <v>673</v>
      </c>
      <c r="M1410" s="63">
        <v>0</v>
      </c>
      <c r="N1410" s="65">
        <v>45443</v>
      </c>
    </row>
    <row r="1411" spans="1:14" customFormat="1" ht="14.45" customHeight="1" x14ac:dyDescent="0.2">
      <c r="A1411" s="59" t="s">
        <v>5709</v>
      </c>
      <c r="B1411" s="60" t="s">
        <v>5721</v>
      </c>
      <c r="C1411" s="60" t="s">
        <v>5722</v>
      </c>
      <c r="D1411" s="40">
        <v>45301</v>
      </c>
      <c r="E1411" s="61">
        <v>100</v>
      </c>
      <c r="F1411" s="62">
        <v>100</v>
      </c>
      <c r="G1411" s="63" t="s">
        <v>615</v>
      </c>
      <c r="H1411" s="64" t="s">
        <v>2758</v>
      </c>
      <c r="I1411" s="64" t="s">
        <v>2713</v>
      </c>
      <c r="J1411" s="63" t="s">
        <v>540</v>
      </c>
      <c r="K1411" s="64" t="s">
        <v>5739</v>
      </c>
      <c r="L1411" s="63" t="s">
        <v>191</v>
      </c>
      <c r="M1411" s="63">
        <v>0</v>
      </c>
      <c r="N1411" s="65">
        <v>45443</v>
      </c>
    </row>
    <row r="1412" spans="1:14" customFormat="1" ht="14.45" customHeight="1" x14ac:dyDescent="0.2">
      <c r="A1412" s="59" t="s">
        <v>5710</v>
      </c>
      <c r="B1412" s="60" t="s">
        <v>5721</v>
      </c>
      <c r="C1412" s="60" t="s">
        <v>5723</v>
      </c>
      <c r="D1412" s="40">
        <v>45301</v>
      </c>
      <c r="E1412" s="61">
        <v>150</v>
      </c>
      <c r="F1412" s="62">
        <v>150</v>
      </c>
      <c r="G1412" s="63" t="s">
        <v>615</v>
      </c>
      <c r="H1412" s="64" t="s">
        <v>5740</v>
      </c>
      <c r="I1412" s="64" t="s">
        <v>2713</v>
      </c>
      <c r="J1412" s="63" t="s">
        <v>531</v>
      </c>
      <c r="K1412" s="64" t="s">
        <v>5741</v>
      </c>
      <c r="L1412" s="63" t="s">
        <v>157</v>
      </c>
      <c r="M1412" s="63">
        <v>0</v>
      </c>
      <c r="N1412" s="65">
        <v>45443</v>
      </c>
    </row>
    <row r="1413" spans="1:14" customFormat="1" ht="14.45" customHeight="1" x14ac:dyDescent="0.2">
      <c r="A1413" s="59" t="s">
        <v>5711</v>
      </c>
      <c r="B1413" s="60" t="s">
        <v>5721</v>
      </c>
      <c r="C1413" s="60" t="s">
        <v>5724</v>
      </c>
      <c r="D1413" s="40">
        <v>45301</v>
      </c>
      <c r="E1413" s="61">
        <v>250</v>
      </c>
      <c r="F1413" s="62">
        <v>250</v>
      </c>
      <c r="G1413" s="63" t="s">
        <v>615</v>
      </c>
      <c r="H1413" s="64" t="s">
        <v>2775</v>
      </c>
      <c r="I1413" s="64" t="s">
        <v>2713</v>
      </c>
      <c r="J1413" s="63" t="s">
        <v>531</v>
      </c>
      <c r="K1413" s="64" t="s">
        <v>5742</v>
      </c>
      <c r="L1413" s="63" t="s">
        <v>157</v>
      </c>
      <c r="M1413" s="63">
        <v>0</v>
      </c>
      <c r="N1413" s="65">
        <v>45443</v>
      </c>
    </row>
    <row r="1414" spans="1:14" customFormat="1" ht="14.45" customHeight="1" x14ac:dyDescent="0.2">
      <c r="A1414" s="59" t="s">
        <v>5766</v>
      </c>
      <c r="B1414" s="60" t="s">
        <v>5669</v>
      </c>
      <c r="C1414" s="60" t="s">
        <v>5767</v>
      </c>
      <c r="D1414" s="40">
        <v>45308</v>
      </c>
      <c r="E1414" s="61"/>
      <c r="F1414" s="62"/>
      <c r="G1414" s="63" t="s">
        <v>55</v>
      </c>
      <c r="H1414" s="64" t="s">
        <v>5768</v>
      </c>
      <c r="I1414" s="64" t="s">
        <v>2713</v>
      </c>
      <c r="J1414" s="63" t="s">
        <v>393</v>
      </c>
      <c r="K1414" s="64" t="s">
        <v>5769</v>
      </c>
      <c r="L1414" s="63" t="s">
        <v>34</v>
      </c>
      <c r="M1414" s="63">
        <v>0</v>
      </c>
      <c r="N1414" s="65">
        <v>45382</v>
      </c>
    </row>
    <row r="1415" spans="1:14" customFormat="1" ht="14.45" customHeight="1" x14ac:dyDescent="0.2">
      <c r="A1415" s="59" t="s">
        <v>5713</v>
      </c>
      <c r="B1415" s="60" t="s">
        <v>5726</v>
      </c>
      <c r="C1415" s="60" t="s">
        <v>5727</v>
      </c>
      <c r="D1415" s="40">
        <v>45308</v>
      </c>
      <c r="E1415" s="61">
        <v>20</v>
      </c>
      <c r="F1415" s="62">
        <v>20</v>
      </c>
      <c r="G1415" s="63" t="s">
        <v>3505</v>
      </c>
      <c r="H1415" s="64" t="s">
        <v>2731</v>
      </c>
      <c r="I1415" s="64" t="s">
        <v>2713</v>
      </c>
      <c r="J1415" s="63" t="s">
        <v>393</v>
      </c>
      <c r="K1415" s="64" t="s">
        <v>5744</v>
      </c>
      <c r="L1415" s="63" t="s">
        <v>34</v>
      </c>
      <c r="M1415" s="63">
        <v>0</v>
      </c>
      <c r="N1415" s="65">
        <v>45443</v>
      </c>
    </row>
    <row r="1416" spans="1:14" customFormat="1" ht="14.45" customHeight="1" x14ac:dyDescent="0.2">
      <c r="A1416" s="59" t="s">
        <v>5770</v>
      </c>
      <c r="B1416" s="60" t="s">
        <v>5771</v>
      </c>
      <c r="C1416" s="60" t="s">
        <v>5772</v>
      </c>
      <c r="D1416" s="40">
        <v>45331</v>
      </c>
      <c r="E1416" s="61"/>
      <c r="F1416" s="62"/>
      <c r="G1416" s="63" t="s">
        <v>55</v>
      </c>
      <c r="H1416" s="64" t="s">
        <v>2777</v>
      </c>
      <c r="I1416" s="64" t="s">
        <v>2713</v>
      </c>
      <c r="J1416" s="63" t="s">
        <v>539</v>
      </c>
      <c r="K1416" s="64" t="s">
        <v>5773</v>
      </c>
      <c r="L1416" s="63" t="s">
        <v>673</v>
      </c>
      <c r="M1416" s="63">
        <v>0</v>
      </c>
      <c r="N1416" s="65">
        <v>45382</v>
      </c>
    </row>
    <row r="1417" spans="1:14" customFormat="1" ht="14.45" customHeight="1" x14ac:dyDescent="0.2">
      <c r="A1417" s="59" t="s">
        <v>5754</v>
      </c>
      <c r="B1417" s="60" t="s">
        <v>5757</v>
      </c>
      <c r="C1417" s="60" t="s">
        <v>5758</v>
      </c>
      <c r="D1417" s="40">
        <v>45336</v>
      </c>
      <c r="E1417" s="61">
        <v>1091</v>
      </c>
      <c r="F1417" s="62">
        <v>1091</v>
      </c>
      <c r="G1417" s="63" t="s">
        <v>615</v>
      </c>
      <c r="H1417" s="64" t="s">
        <v>2763</v>
      </c>
      <c r="I1417" s="64" t="s">
        <v>2713</v>
      </c>
      <c r="J1417" s="63" t="s">
        <v>393</v>
      </c>
      <c r="K1417" s="64" t="s">
        <v>5765</v>
      </c>
      <c r="L1417" s="63" t="s">
        <v>34</v>
      </c>
      <c r="M1417" s="63">
        <v>0</v>
      </c>
      <c r="N1417" s="65">
        <v>45443</v>
      </c>
    </row>
    <row r="1418" spans="1:14" customFormat="1" ht="14.45" customHeight="1" x14ac:dyDescent="0.2">
      <c r="A1418" s="59" t="s">
        <v>5774</v>
      </c>
      <c r="B1418" s="60" t="s">
        <v>5775</v>
      </c>
      <c r="C1418" s="60" t="s">
        <v>5776</v>
      </c>
      <c r="D1418" s="40">
        <v>45338</v>
      </c>
      <c r="E1418" s="61"/>
      <c r="F1418" s="62"/>
      <c r="G1418" s="63" t="s">
        <v>55</v>
      </c>
      <c r="H1418" s="64" t="s">
        <v>5777</v>
      </c>
      <c r="I1418" s="64" t="s">
        <v>2713</v>
      </c>
      <c r="J1418" s="63" t="s">
        <v>471</v>
      </c>
      <c r="K1418" s="64" t="s">
        <v>5778</v>
      </c>
      <c r="L1418" s="63" t="s">
        <v>157</v>
      </c>
      <c r="M1418" s="63">
        <v>0</v>
      </c>
      <c r="N1418" s="65">
        <v>45382</v>
      </c>
    </row>
    <row r="1419" spans="1:14" customFormat="1" ht="14.45" customHeight="1" x14ac:dyDescent="0.2">
      <c r="A1419" s="59" t="s">
        <v>5755</v>
      </c>
      <c r="B1419" s="60" t="s">
        <v>5759</v>
      </c>
      <c r="C1419" s="60" t="s">
        <v>5642</v>
      </c>
      <c r="D1419" s="40">
        <v>45338</v>
      </c>
      <c r="E1419" s="61">
        <v>1350</v>
      </c>
      <c r="F1419" s="62">
        <v>1350</v>
      </c>
      <c r="G1419" s="63" t="s">
        <v>615</v>
      </c>
      <c r="H1419" s="64" t="s">
        <v>2759</v>
      </c>
      <c r="I1419" s="64" t="s">
        <v>2713</v>
      </c>
      <c r="J1419" s="63" t="s">
        <v>471</v>
      </c>
      <c r="K1419" s="64" t="s">
        <v>5842</v>
      </c>
      <c r="L1419" s="63" t="s">
        <v>4731</v>
      </c>
      <c r="M1419" s="63">
        <v>0</v>
      </c>
      <c r="N1419" s="65">
        <v>45443</v>
      </c>
    </row>
    <row r="1420" spans="1:14" customFormat="1" ht="14.45" customHeight="1" x14ac:dyDescent="0.2">
      <c r="A1420" s="59" t="s">
        <v>5756</v>
      </c>
      <c r="B1420" s="60" t="s">
        <v>5760</v>
      </c>
      <c r="C1420" s="60" t="s">
        <v>5761</v>
      </c>
      <c r="D1420" s="40">
        <v>45350</v>
      </c>
      <c r="E1420" s="61">
        <v>18.05</v>
      </c>
      <c r="F1420" s="62">
        <v>18.05</v>
      </c>
      <c r="G1420" s="63" t="s">
        <v>55</v>
      </c>
      <c r="H1420" s="64" t="s">
        <v>5763</v>
      </c>
      <c r="I1420" s="64" t="s">
        <v>2713</v>
      </c>
      <c r="J1420" s="63" t="s">
        <v>393</v>
      </c>
      <c r="K1420" s="64" t="s">
        <v>5934</v>
      </c>
      <c r="L1420" s="63" t="s">
        <v>34</v>
      </c>
      <c r="M1420" s="63">
        <v>0</v>
      </c>
      <c r="N1420" s="65">
        <v>45443</v>
      </c>
    </row>
    <row r="1421" spans="1:14" customFormat="1" ht="14.45" customHeight="1" x14ac:dyDescent="0.2">
      <c r="A1421" s="59" t="s">
        <v>5785</v>
      </c>
      <c r="B1421" s="60" t="s">
        <v>5786</v>
      </c>
      <c r="C1421" s="60" t="s">
        <v>5787</v>
      </c>
      <c r="D1421" s="40">
        <v>45352</v>
      </c>
      <c r="E1421" s="61">
        <v>100</v>
      </c>
      <c r="F1421" s="62">
        <v>100</v>
      </c>
      <c r="G1421" s="63" t="s">
        <v>615</v>
      </c>
      <c r="H1421" s="64" t="s">
        <v>2766</v>
      </c>
      <c r="I1421" s="64" t="s">
        <v>2713</v>
      </c>
      <c r="J1421" s="63" t="s">
        <v>393</v>
      </c>
      <c r="K1421" s="64" t="s">
        <v>5843</v>
      </c>
      <c r="L1421" s="63" t="s">
        <v>34</v>
      </c>
      <c r="M1421" s="63">
        <v>0</v>
      </c>
      <c r="N1421" s="65">
        <v>45443</v>
      </c>
    </row>
    <row r="1422" spans="1:14" customFormat="1" ht="14.45" customHeight="1" x14ac:dyDescent="0.2">
      <c r="A1422" s="59" t="s">
        <v>5925</v>
      </c>
      <c r="B1422" s="60" t="s">
        <v>6004</v>
      </c>
      <c r="C1422" s="60" t="s">
        <v>5926</v>
      </c>
      <c r="D1422" s="40">
        <v>45362</v>
      </c>
      <c r="E1422" s="61">
        <v>70</v>
      </c>
      <c r="F1422" s="62">
        <v>70</v>
      </c>
      <c r="G1422" s="63" t="s">
        <v>3505</v>
      </c>
      <c r="H1422" s="64" t="s">
        <v>2098</v>
      </c>
      <c r="I1422" s="64" t="s">
        <v>2713</v>
      </c>
      <c r="J1422" s="63" t="s">
        <v>393</v>
      </c>
      <c r="K1422" s="64" t="s">
        <v>5935</v>
      </c>
      <c r="L1422" s="63" t="s">
        <v>34</v>
      </c>
      <c r="M1422" s="63">
        <v>0</v>
      </c>
      <c r="N1422" s="65">
        <v>45443</v>
      </c>
    </row>
    <row r="1423" spans="1:14" customFormat="1" ht="14.45" customHeight="1" x14ac:dyDescent="0.2">
      <c r="A1423" s="59" t="s">
        <v>5927</v>
      </c>
      <c r="B1423" s="60" t="s">
        <v>5928</v>
      </c>
      <c r="C1423" s="60" t="s">
        <v>5928</v>
      </c>
      <c r="D1423" s="40">
        <v>45380</v>
      </c>
      <c r="E1423" s="61"/>
      <c r="F1423" s="62"/>
      <c r="G1423" s="63" t="s">
        <v>3505</v>
      </c>
      <c r="H1423" s="64" t="s">
        <v>2788</v>
      </c>
      <c r="I1423" s="64" t="s">
        <v>2713</v>
      </c>
      <c r="J1423" s="63" t="s">
        <v>530</v>
      </c>
      <c r="K1423" s="64" t="s">
        <v>5936</v>
      </c>
      <c r="L1423" s="63" t="s">
        <v>5937</v>
      </c>
      <c r="M1423" s="63">
        <v>0</v>
      </c>
      <c r="N1423" s="65">
        <v>45443</v>
      </c>
    </row>
    <row r="1424" spans="1:14" customFormat="1" ht="14.45" customHeight="1" x14ac:dyDescent="0.2">
      <c r="A1424" s="59" t="s">
        <v>5929</v>
      </c>
      <c r="B1424" s="60" t="s">
        <v>5930</v>
      </c>
      <c r="C1424" s="60" t="s">
        <v>5931</v>
      </c>
      <c r="D1424" s="40">
        <v>45435</v>
      </c>
      <c r="E1424" s="61"/>
      <c r="F1424" s="62"/>
      <c r="G1424" s="63"/>
      <c r="H1424" s="64" t="s">
        <v>2742</v>
      </c>
      <c r="I1424" s="64" t="s">
        <v>2713</v>
      </c>
      <c r="J1424" s="63" t="s">
        <v>393</v>
      </c>
      <c r="K1424" s="64" t="s">
        <v>5938</v>
      </c>
      <c r="L1424" s="63" t="s">
        <v>157</v>
      </c>
      <c r="M1424" s="63">
        <v>0</v>
      </c>
      <c r="N1424" s="65">
        <v>45443</v>
      </c>
    </row>
    <row r="1425" spans="1:14" customFormat="1" ht="14.45" customHeight="1" x14ac:dyDescent="0.2">
      <c r="A1425" s="59" t="s">
        <v>7431</v>
      </c>
      <c r="B1425" s="60" t="s">
        <v>7432</v>
      </c>
      <c r="C1425" s="60" t="s">
        <v>7433</v>
      </c>
      <c r="D1425" s="40">
        <v>45442</v>
      </c>
      <c r="E1425" s="61"/>
      <c r="F1425" s="62"/>
      <c r="G1425" s="63"/>
      <c r="H1425" s="64" t="s">
        <v>7434</v>
      </c>
      <c r="I1425" s="64" t="s">
        <v>2713</v>
      </c>
      <c r="J1425" s="63" t="s">
        <v>533</v>
      </c>
      <c r="K1425" s="64" t="s">
        <v>7130</v>
      </c>
      <c r="L1425" s="63" t="s">
        <v>5951</v>
      </c>
      <c r="M1425" s="63" t="s">
        <v>5781</v>
      </c>
      <c r="N1425" s="65">
        <v>45900</v>
      </c>
    </row>
    <row r="1426" spans="1:14" customFormat="1" ht="14.45" customHeight="1" x14ac:dyDescent="0.2">
      <c r="A1426" s="59" t="s">
        <v>7435</v>
      </c>
      <c r="B1426" s="60" t="s">
        <v>7432</v>
      </c>
      <c r="C1426" s="60" t="s">
        <v>7436</v>
      </c>
      <c r="D1426" s="40">
        <v>45442</v>
      </c>
      <c r="E1426" s="61"/>
      <c r="F1426" s="62"/>
      <c r="G1426" s="63"/>
      <c r="H1426" s="64" t="s">
        <v>7437</v>
      </c>
      <c r="I1426" s="64" t="s">
        <v>2713</v>
      </c>
      <c r="J1426" s="63" t="s">
        <v>533</v>
      </c>
      <c r="K1426" s="64" t="s">
        <v>7438</v>
      </c>
      <c r="L1426" s="63" t="s">
        <v>86</v>
      </c>
      <c r="M1426" s="63" t="s">
        <v>5781</v>
      </c>
      <c r="N1426" s="65">
        <v>45900</v>
      </c>
    </row>
    <row r="1427" spans="1:14" customFormat="1" ht="14.45" customHeight="1" x14ac:dyDescent="0.2">
      <c r="A1427" s="59" t="s">
        <v>7439</v>
      </c>
      <c r="B1427" s="60" t="s">
        <v>7432</v>
      </c>
      <c r="C1427" s="60" t="s">
        <v>7440</v>
      </c>
      <c r="D1427" s="40">
        <v>45442</v>
      </c>
      <c r="E1427" s="61"/>
      <c r="F1427" s="62"/>
      <c r="G1427" s="63"/>
      <c r="H1427" s="64" t="s">
        <v>7441</v>
      </c>
      <c r="I1427" s="64" t="s">
        <v>2713</v>
      </c>
      <c r="J1427" s="63" t="s">
        <v>533</v>
      </c>
      <c r="K1427" s="64" t="s">
        <v>7442</v>
      </c>
      <c r="L1427" s="63" t="s">
        <v>5951</v>
      </c>
      <c r="M1427" s="63" t="s">
        <v>5781</v>
      </c>
      <c r="N1427" s="65">
        <v>45900</v>
      </c>
    </row>
    <row r="1428" spans="1:14" customFormat="1" ht="14.45" customHeight="1" x14ac:dyDescent="0.2">
      <c r="A1428" s="59" t="s">
        <v>6005</v>
      </c>
      <c r="B1428" s="60" t="s">
        <v>7596</v>
      </c>
      <c r="C1428" s="60" t="s">
        <v>6006</v>
      </c>
      <c r="D1428" s="40">
        <v>45443</v>
      </c>
      <c r="E1428" s="61"/>
      <c r="F1428" s="62"/>
      <c r="G1428" s="63"/>
      <c r="H1428" s="64" t="s">
        <v>7131</v>
      </c>
      <c r="I1428" s="64" t="s">
        <v>2713</v>
      </c>
      <c r="J1428" s="63" t="s">
        <v>3006</v>
      </c>
      <c r="K1428" s="64" t="s">
        <v>6045</v>
      </c>
      <c r="L1428" s="63" t="s">
        <v>199</v>
      </c>
      <c r="M1428" s="63" t="s">
        <v>5781</v>
      </c>
      <c r="N1428" s="65">
        <v>45991</v>
      </c>
    </row>
    <row r="1429" spans="1:14" customFormat="1" ht="14.45" customHeight="1" x14ac:dyDescent="0.2">
      <c r="A1429" s="59" t="s">
        <v>6007</v>
      </c>
      <c r="B1429" s="60" t="s">
        <v>7596</v>
      </c>
      <c r="C1429" s="60" t="s">
        <v>6008</v>
      </c>
      <c r="D1429" s="40">
        <v>45443</v>
      </c>
      <c r="E1429" s="61"/>
      <c r="F1429" s="62"/>
      <c r="G1429" s="63"/>
      <c r="H1429" s="64" t="s">
        <v>7131</v>
      </c>
      <c r="I1429" s="64" t="s">
        <v>2713</v>
      </c>
      <c r="J1429" s="63" t="s">
        <v>3006</v>
      </c>
      <c r="K1429" s="64" t="s">
        <v>6045</v>
      </c>
      <c r="L1429" s="63" t="s">
        <v>199</v>
      </c>
      <c r="M1429" s="63" t="s">
        <v>5781</v>
      </c>
      <c r="N1429" s="65">
        <v>45991</v>
      </c>
    </row>
    <row r="1430" spans="1:14" customFormat="1" ht="14.45" customHeight="1" x14ac:dyDescent="0.2">
      <c r="A1430" s="59" t="s">
        <v>6009</v>
      </c>
      <c r="B1430" s="60" t="s">
        <v>7596</v>
      </c>
      <c r="C1430" s="60" t="s">
        <v>6010</v>
      </c>
      <c r="D1430" s="40">
        <v>45443</v>
      </c>
      <c r="E1430" s="61"/>
      <c r="F1430" s="62"/>
      <c r="G1430" s="63"/>
      <c r="H1430" s="64" t="s">
        <v>7595</v>
      </c>
      <c r="I1430" s="64" t="s">
        <v>2713</v>
      </c>
      <c r="J1430" s="63" t="s">
        <v>533</v>
      </c>
      <c r="K1430" s="64" t="s">
        <v>6718</v>
      </c>
      <c r="L1430" s="63" t="s">
        <v>199</v>
      </c>
      <c r="M1430" s="63" t="s">
        <v>5781</v>
      </c>
      <c r="N1430" s="65">
        <v>45991</v>
      </c>
    </row>
    <row r="1431" spans="1:14" customFormat="1" ht="14.45" customHeight="1" x14ac:dyDescent="0.2">
      <c r="A1431" s="59" t="s">
        <v>5941</v>
      </c>
      <c r="B1431" s="60" t="s">
        <v>7324</v>
      </c>
      <c r="C1431" s="60" t="s">
        <v>7325</v>
      </c>
      <c r="D1431" s="40">
        <v>45456</v>
      </c>
      <c r="E1431" s="61"/>
      <c r="F1431" s="62"/>
      <c r="G1431" s="63"/>
      <c r="H1431" s="64" t="s">
        <v>5942</v>
      </c>
      <c r="I1431" s="64" t="s">
        <v>2713</v>
      </c>
      <c r="J1431" s="63" t="s">
        <v>6034</v>
      </c>
      <c r="K1431" s="64" t="s">
        <v>7130</v>
      </c>
      <c r="L1431" s="63" t="s">
        <v>5951</v>
      </c>
      <c r="M1431" s="63" t="s">
        <v>5781</v>
      </c>
      <c r="N1431" s="65">
        <v>45961</v>
      </c>
    </row>
    <row r="1432" spans="1:14" customFormat="1" ht="14.45" customHeight="1" x14ac:dyDescent="0.2">
      <c r="A1432" s="59" t="s">
        <v>6011</v>
      </c>
      <c r="B1432" s="60" t="s">
        <v>7324</v>
      </c>
      <c r="C1432" s="60" t="s">
        <v>7326</v>
      </c>
      <c r="D1432" s="40">
        <v>45456</v>
      </c>
      <c r="E1432" s="61"/>
      <c r="F1432" s="62"/>
      <c r="G1432" s="63"/>
      <c r="H1432" s="64" t="s">
        <v>5942</v>
      </c>
      <c r="I1432" s="64" t="s">
        <v>2713</v>
      </c>
      <c r="J1432" s="63" t="s">
        <v>3006</v>
      </c>
      <c r="K1432" s="64" t="s">
        <v>6046</v>
      </c>
      <c r="L1432" s="63" t="s">
        <v>5951</v>
      </c>
      <c r="M1432" s="63" t="s">
        <v>5781</v>
      </c>
      <c r="N1432" s="65">
        <v>45961</v>
      </c>
    </row>
    <row r="1433" spans="1:14" customFormat="1" ht="14.45" customHeight="1" x14ac:dyDescent="0.2">
      <c r="A1433" s="59" t="s">
        <v>6012</v>
      </c>
      <c r="B1433" s="60" t="s">
        <v>7324</v>
      </c>
      <c r="C1433" s="60" t="s">
        <v>7327</v>
      </c>
      <c r="D1433" s="40">
        <v>45456</v>
      </c>
      <c r="E1433" s="61"/>
      <c r="F1433" s="62"/>
      <c r="G1433" s="63"/>
      <c r="H1433" s="64" t="s">
        <v>5942</v>
      </c>
      <c r="I1433" s="64" t="s">
        <v>2713</v>
      </c>
      <c r="J1433" s="63" t="s">
        <v>3006</v>
      </c>
      <c r="K1433" s="64" t="s">
        <v>7210</v>
      </c>
      <c r="L1433" s="63" t="s">
        <v>5951</v>
      </c>
      <c r="M1433" s="63" t="s">
        <v>5781</v>
      </c>
      <c r="N1433" s="65">
        <v>45961</v>
      </c>
    </row>
    <row r="1434" spans="1:14" customFormat="1" ht="14.45" customHeight="1" x14ac:dyDescent="0.2">
      <c r="A1434" s="59" t="s">
        <v>6013</v>
      </c>
      <c r="B1434" s="60" t="s">
        <v>7324</v>
      </c>
      <c r="C1434" s="60" t="s">
        <v>7328</v>
      </c>
      <c r="D1434" s="40">
        <v>45456</v>
      </c>
      <c r="E1434" s="61"/>
      <c r="F1434" s="62"/>
      <c r="G1434" s="63"/>
      <c r="H1434" s="64" t="s">
        <v>5942</v>
      </c>
      <c r="I1434" s="64" t="s">
        <v>2713</v>
      </c>
      <c r="J1434" s="63" t="s">
        <v>3006</v>
      </c>
      <c r="K1434" s="64" t="s">
        <v>6046</v>
      </c>
      <c r="L1434" s="63" t="s">
        <v>5951</v>
      </c>
      <c r="M1434" s="63" t="s">
        <v>5781</v>
      </c>
      <c r="N1434" s="65">
        <v>45961</v>
      </c>
    </row>
    <row r="1435" spans="1:14" customFormat="1" ht="14.45" customHeight="1" x14ac:dyDescent="0.2">
      <c r="A1435" s="59" t="s">
        <v>6014</v>
      </c>
      <c r="B1435" s="60" t="s">
        <v>7324</v>
      </c>
      <c r="C1435" s="60" t="s">
        <v>7329</v>
      </c>
      <c r="D1435" s="40">
        <v>45456</v>
      </c>
      <c r="E1435" s="61"/>
      <c r="F1435" s="62"/>
      <c r="G1435" s="63"/>
      <c r="H1435" s="64" t="s">
        <v>7132</v>
      </c>
      <c r="I1435" s="64" t="s">
        <v>2713</v>
      </c>
      <c r="J1435" s="63" t="s">
        <v>6034</v>
      </c>
      <c r="K1435" s="64" t="s">
        <v>7130</v>
      </c>
      <c r="L1435" s="63" t="s">
        <v>5951</v>
      </c>
      <c r="M1435" s="63" t="s">
        <v>5781</v>
      </c>
      <c r="N1435" s="65">
        <v>45961</v>
      </c>
    </row>
    <row r="1436" spans="1:14" customFormat="1" ht="14.45" customHeight="1" x14ac:dyDescent="0.2">
      <c r="A1436" s="59" t="s">
        <v>5943</v>
      </c>
      <c r="B1436" s="60" t="s">
        <v>7324</v>
      </c>
      <c r="C1436" s="60" t="s">
        <v>7330</v>
      </c>
      <c r="D1436" s="40">
        <v>45456</v>
      </c>
      <c r="E1436" s="61"/>
      <c r="F1436" s="62"/>
      <c r="G1436" s="63"/>
      <c r="H1436" s="64" t="s">
        <v>5942</v>
      </c>
      <c r="I1436" s="64" t="s">
        <v>2713</v>
      </c>
      <c r="J1436" s="63" t="s">
        <v>6034</v>
      </c>
      <c r="K1436" s="64" t="s">
        <v>7133</v>
      </c>
      <c r="L1436" s="63" t="s">
        <v>5951</v>
      </c>
      <c r="M1436" s="63" t="s">
        <v>5781</v>
      </c>
      <c r="N1436" s="65">
        <v>45961</v>
      </c>
    </row>
    <row r="1437" spans="1:14" customFormat="1" ht="14.45" customHeight="1" x14ac:dyDescent="0.2">
      <c r="A1437" s="59" t="s">
        <v>6015</v>
      </c>
      <c r="B1437" s="60" t="s">
        <v>7324</v>
      </c>
      <c r="C1437" s="60" t="s">
        <v>7331</v>
      </c>
      <c r="D1437" s="40">
        <v>45456</v>
      </c>
      <c r="E1437" s="61"/>
      <c r="F1437" s="62"/>
      <c r="G1437" s="63"/>
      <c r="H1437" s="64" t="s">
        <v>6035</v>
      </c>
      <c r="I1437" s="64" t="s">
        <v>2713</v>
      </c>
      <c r="J1437" s="63" t="s">
        <v>6034</v>
      </c>
      <c r="K1437" s="64" t="s">
        <v>7211</v>
      </c>
      <c r="L1437" s="63" t="s">
        <v>5951</v>
      </c>
      <c r="M1437" s="63" t="s">
        <v>5781</v>
      </c>
      <c r="N1437" s="65">
        <v>45961</v>
      </c>
    </row>
    <row r="1438" spans="1:14" customFormat="1" ht="14.45" customHeight="1" x14ac:dyDescent="0.2">
      <c r="A1438" s="59" t="s">
        <v>6016</v>
      </c>
      <c r="B1438" s="60" t="s">
        <v>7324</v>
      </c>
      <c r="C1438" s="60" t="s">
        <v>7332</v>
      </c>
      <c r="D1438" s="40">
        <v>45456</v>
      </c>
      <c r="E1438" s="61"/>
      <c r="F1438" s="62"/>
      <c r="G1438" s="63"/>
      <c r="H1438" s="64" t="s">
        <v>5942</v>
      </c>
      <c r="I1438" s="64" t="s">
        <v>2713</v>
      </c>
      <c r="J1438" s="63" t="s">
        <v>3006</v>
      </c>
      <c r="K1438" s="64" t="s">
        <v>7212</v>
      </c>
      <c r="L1438" s="63" t="s">
        <v>5951</v>
      </c>
      <c r="M1438" s="63" t="s">
        <v>5781</v>
      </c>
      <c r="N1438" s="65">
        <v>45961</v>
      </c>
    </row>
    <row r="1439" spans="1:14" customFormat="1" ht="14.45" customHeight="1" x14ac:dyDescent="0.2">
      <c r="A1439" s="59" t="s">
        <v>6017</v>
      </c>
      <c r="B1439" s="60" t="s">
        <v>7333</v>
      </c>
      <c r="C1439" s="60" t="s">
        <v>7213</v>
      </c>
      <c r="D1439" s="40">
        <v>45456</v>
      </c>
      <c r="E1439" s="61"/>
      <c r="F1439" s="62"/>
      <c r="G1439" s="63"/>
      <c r="H1439" s="64" t="s">
        <v>7308</v>
      </c>
      <c r="I1439" s="64" t="s">
        <v>2713</v>
      </c>
      <c r="J1439" s="63" t="s">
        <v>791</v>
      </c>
      <c r="K1439" s="64" t="s">
        <v>7134</v>
      </c>
      <c r="L1439" s="63" t="s">
        <v>6047</v>
      </c>
      <c r="M1439" s="63" t="s">
        <v>5781</v>
      </c>
      <c r="N1439" s="65">
        <v>45869</v>
      </c>
    </row>
    <row r="1440" spans="1:14" customFormat="1" ht="14.45" customHeight="1" x14ac:dyDescent="0.2">
      <c r="A1440" s="59" t="s">
        <v>5944</v>
      </c>
      <c r="B1440" s="60" t="s">
        <v>7324</v>
      </c>
      <c r="C1440" s="60" t="s">
        <v>7334</v>
      </c>
      <c r="D1440" s="40">
        <v>45458</v>
      </c>
      <c r="E1440" s="61"/>
      <c r="F1440" s="62"/>
      <c r="G1440" s="63"/>
      <c r="H1440" s="64" t="s">
        <v>7135</v>
      </c>
      <c r="I1440" s="64" t="s">
        <v>2713</v>
      </c>
      <c r="J1440" s="63" t="s">
        <v>6034</v>
      </c>
      <c r="K1440" s="64" t="s">
        <v>7136</v>
      </c>
      <c r="L1440" s="63" t="s">
        <v>86</v>
      </c>
      <c r="M1440" s="63" t="s">
        <v>5781</v>
      </c>
      <c r="N1440" s="65">
        <v>45961</v>
      </c>
    </row>
    <row r="1441" spans="1:14" customFormat="1" ht="14.45" customHeight="1" x14ac:dyDescent="0.2">
      <c r="A1441" s="59" t="s">
        <v>5945</v>
      </c>
      <c r="B1441" s="60" t="s">
        <v>7324</v>
      </c>
      <c r="C1441" s="60" t="s">
        <v>7335</v>
      </c>
      <c r="D1441" s="40">
        <v>45458</v>
      </c>
      <c r="E1441" s="61"/>
      <c r="F1441" s="62"/>
      <c r="G1441" s="63"/>
      <c r="H1441" s="64" t="s">
        <v>7135</v>
      </c>
      <c r="I1441" s="64" t="s">
        <v>2713</v>
      </c>
      <c r="J1441" s="63" t="s">
        <v>6034</v>
      </c>
      <c r="K1441" s="64" t="s">
        <v>7137</v>
      </c>
      <c r="L1441" s="63" t="s">
        <v>86</v>
      </c>
      <c r="M1441" s="63" t="s">
        <v>5781</v>
      </c>
      <c r="N1441" s="65">
        <v>45961</v>
      </c>
    </row>
    <row r="1442" spans="1:14" customFormat="1" ht="14.45" customHeight="1" x14ac:dyDescent="0.2">
      <c r="A1442" s="59" t="s">
        <v>6018</v>
      </c>
      <c r="B1442" s="60" t="s">
        <v>7333</v>
      </c>
      <c r="C1442" s="60" t="s">
        <v>7214</v>
      </c>
      <c r="D1442" s="40">
        <v>45458</v>
      </c>
      <c r="E1442" s="61"/>
      <c r="F1442" s="62"/>
      <c r="G1442" s="63"/>
      <c r="H1442" s="64" t="s">
        <v>7336</v>
      </c>
      <c r="I1442" s="64" t="s">
        <v>2713</v>
      </c>
      <c r="J1442" s="63" t="s">
        <v>533</v>
      </c>
      <c r="K1442" s="64" t="s">
        <v>7138</v>
      </c>
      <c r="L1442" s="63" t="s">
        <v>5951</v>
      </c>
      <c r="M1442" s="63" t="s">
        <v>5781</v>
      </c>
      <c r="N1442" s="65">
        <v>45869</v>
      </c>
    </row>
    <row r="1443" spans="1:14" customFormat="1" ht="14.45" customHeight="1" x14ac:dyDescent="0.2">
      <c r="A1443" s="59" t="s">
        <v>5946</v>
      </c>
      <c r="B1443" s="60" t="s">
        <v>7333</v>
      </c>
      <c r="C1443" s="60" t="s">
        <v>6019</v>
      </c>
      <c r="D1443" s="40">
        <v>45458</v>
      </c>
      <c r="E1443" s="61"/>
      <c r="F1443" s="62"/>
      <c r="G1443" s="63"/>
      <c r="H1443" s="64" t="s">
        <v>7336</v>
      </c>
      <c r="I1443" s="64" t="s">
        <v>2713</v>
      </c>
      <c r="J1443" s="63" t="s">
        <v>533</v>
      </c>
      <c r="K1443" s="64" t="s">
        <v>7139</v>
      </c>
      <c r="L1443" s="63" t="s">
        <v>5951</v>
      </c>
      <c r="M1443" s="63" t="s">
        <v>5781</v>
      </c>
      <c r="N1443" s="65">
        <v>45869</v>
      </c>
    </row>
    <row r="1444" spans="1:14" customFormat="1" ht="14.45" customHeight="1" x14ac:dyDescent="0.2">
      <c r="A1444" s="59" t="s">
        <v>5947</v>
      </c>
      <c r="B1444" s="60" t="s">
        <v>7333</v>
      </c>
      <c r="C1444" s="60" t="s">
        <v>5955</v>
      </c>
      <c r="D1444" s="40">
        <v>45458</v>
      </c>
      <c r="E1444" s="61"/>
      <c r="F1444" s="62"/>
      <c r="G1444" s="63"/>
      <c r="H1444" s="64" t="s">
        <v>7336</v>
      </c>
      <c r="I1444" s="64" t="s">
        <v>2713</v>
      </c>
      <c r="J1444" s="63" t="s">
        <v>533</v>
      </c>
      <c r="K1444" s="64" t="s">
        <v>7139</v>
      </c>
      <c r="L1444" s="63" t="s">
        <v>5951</v>
      </c>
      <c r="M1444" s="63" t="s">
        <v>5781</v>
      </c>
      <c r="N1444" s="65">
        <v>45869</v>
      </c>
    </row>
    <row r="1445" spans="1:14" customFormat="1" ht="14.45" customHeight="1" x14ac:dyDescent="0.2">
      <c r="A1445" s="59" t="s">
        <v>6020</v>
      </c>
      <c r="B1445" s="60" t="s">
        <v>7333</v>
      </c>
      <c r="C1445" s="60" t="s">
        <v>7215</v>
      </c>
      <c r="D1445" s="40">
        <v>45458</v>
      </c>
      <c r="E1445" s="61"/>
      <c r="F1445" s="62"/>
      <c r="G1445" s="63"/>
      <c r="H1445" s="64" t="s">
        <v>7309</v>
      </c>
      <c r="I1445" s="64" t="s">
        <v>2713</v>
      </c>
      <c r="J1445" s="63" t="s">
        <v>791</v>
      </c>
      <c r="K1445" s="64" t="s">
        <v>7140</v>
      </c>
      <c r="L1445" s="63" t="s">
        <v>6047</v>
      </c>
      <c r="M1445" s="63" t="s">
        <v>5781</v>
      </c>
      <c r="N1445" s="65">
        <v>45869</v>
      </c>
    </row>
    <row r="1446" spans="1:14" customFormat="1" ht="14.45" customHeight="1" x14ac:dyDescent="0.2">
      <c r="A1446" s="59" t="s">
        <v>6021</v>
      </c>
      <c r="B1446" s="60" t="s">
        <v>7333</v>
      </c>
      <c r="C1446" s="60" t="s">
        <v>7216</v>
      </c>
      <c r="D1446" s="40">
        <v>45460</v>
      </c>
      <c r="E1446" s="61"/>
      <c r="F1446" s="62"/>
      <c r="G1446" s="63"/>
      <c r="H1446" s="64" t="s">
        <v>7336</v>
      </c>
      <c r="I1446" s="64" t="s">
        <v>2713</v>
      </c>
      <c r="J1446" s="63" t="s">
        <v>533</v>
      </c>
      <c r="K1446" s="64" t="s">
        <v>7141</v>
      </c>
      <c r="L1446" s="63" t="s">
        <v>5952</v>
      </c>
      <c r="M1446" s="63" t="s">
        <v>5781</v>
      </c>
      <c r="N1446" s="65">
        <v>45869</v>
      </c>
    </row>
    <row r="1447" spans="1:14" customFormat="1" ht="14.45" customHeight="1" x14ac:dyDescent="0.2">
      <c r="A1447" s="59" t="s">
        <v>6022</v>
      </c>
      <c r="B1447" s="60" t="s">
        <v>7333</v>
      </c>
      <c r="C1447" s="60" t="s">
        <v>7217</v>
      </c>
      <c r="D1447" s="40">
        <v>45460</v>
      </c>
      <c r="E1447" s="61"/>
      <c r="F1447" s="62"/>
      <c r="G1447" s="63"/>
      <c r="H1447" s="64" t="s">
        <v>7309</v>
      </c>
      <c r="I1447" s="64" t="s">
        <v>2713</v>
      </c>
      <c r="J1447" s="63" t="s">
        <v>791</v>
      </c>
      <c r="K1447" s="64" t="s">
        <v>7142</v>
      </c>
      <c r="L1447" s="63" t="s">
        <v>6048</v>
      </c>
      <c r="M1447" s="63" t="s">
        <v>5781</v>
      </c>
      <c r="N1447" s="65">
        <v>45869</v>
      </c>
    </row>
    <row r="1448" spans="1:14" customFormat="1" ht="14.45" customHeight="1" x14ac:dyDescent="0.2">
      <c r="A1448" s="59" t="s">
        <v>6023</v>
      </c>
      <c r="B1448" s="60" t="s">
        <v>7333</v>
      </c>
      <c r="C1448" s="60" t="s">
        <v>7218</v>
      </c>
      <c r="D1448" s="40">
        <v>45460</v>
      </c>
      <c r="E1448" s="61"/>
      <c r="F1448" s="62"/>
      <c r="G1448" s="63"/>
      <c r="H1448" s="64" t="s">
        <v>7143</v>
      </c>
      <c r="I1448" s="64" t="s">
        <v>2713</v>
      </c>
      <c r="J1448" s="63" t="s">
        <v>3006</v>
      </c>
      <c r="K1448" s="64" t="s">
        <v>7219</v>
      </c>
      <c r="L1448" s="63" t="s">
        <v>5952</v>
      </c>
      <c r="M1448" s="63" t="s">
        <v>5781</v>
      </c>
      <c r="N1448" s="65">
        <v>45869</v>
      </c>
    </row>
    <row r="1449" spans="1:14" customFormat="1" ht="14.45" customHeight="1" x14ac:dyDescent="0.2">
      <c r="A1449" s="59" t="s">
        <v>6024</v>
      </c>
      <c r="B1449" s="60" t="s">
        <v>7333</v>
      </c>
      <c r="C1449" s="60" t="s">
        <v>7220</v>
      </c>
      <c r="D1449" s="40">
        <v>45460</v>
      </c>
      <c r="E1449" s="61"/>
      <c r="F1449" s="62"/>
      <c r="G1449" s="63"/>
      <c r="H1449" s="64" t="s">
        <v>7144</v>
      </c>
      <c r="I1449" s="64" t="s">
        <v>2713</v>
      </c>
      <c r="J1449" s="63" t="s">
        <v>533</v>
      </c>
      <c r="K1449" s="64" t="s">
        <v>7145</v>
      </c>
      <c r="L1449" s="63" t="s">
        <v>5952</v>
      </c>
      <c r="M1449" s="63" t="s">
        <v>5781</v>
      </c>
      <c r="N1449" s="65">
        <v>45869</v>
      </c>
    </row>
    <row r="1450" spans="1:14" customFormat="1" ht="14.45" customHeight="1" x14ac:dyDescent="0.2">
      <c r="A1450" s="59" t="s">
        <v>6025</v>
      </c>
      <c r="B1450" s="60" t="s">
        <v>7333</v>
      </c>
      <c r="C1450" s="60" t="s">
        <v>7221</v>
      </c>
      <c r="D1450" s="40">
        <v>45460</v>
      </c>
      <c r="E1450" s="61"/>
      <c r="F1450" s="62"/>
      <c r="G1450" s="63"/>
      <c r="H1450" s="64" t="s">
        <v>7146</v>
      </c>
      <c r="I1450" s="64" t="s">
        <v>2713</v>
      </c>
      <c r="J1450" s="63" t="s">
        <v>6036</v>
      </c>
      <c r="K1450" s="64" t="s">
        <v>7222</v>
      </c>
      <c r="L1450" s="63" t="s">
        <v>6049</v>
      </c>
      <c r="M1450" s="63" t="s">
        <v>5781</v>
      </c>
      <c r="N1450" s="65">
        <v>45869</v>
      </c>
    </row>
    <row r="1451" spans="1:14" customFormat="1" ht="14.45" customHeight="1" x14ac:dyDescent="0.2">
      <c r="A1451" s="59" t="s">
        <v>6026</v>
      </c>
      <c r="B1451" s="60" t="s">
        <v>7333</v>
      </c>
      <c r="C1451" s="60" t="s">
        <v>7223</v>
      </c>
      <c r="D1451" s="40">
        <v>45460</v>
      </c>
      <c r="E1451" s="61"/>
      <c r="F1451" s="62"/>
      <c r="G1451" s="63"/>
      <c r="H1451" s="64" t="s">
        <v>7310</v>
      </c>
      <c r="I1451" s="64" t="s">
        <v>2713</v>
      </c>
      <c r="J1451" s="63" t="s">
        <v>791</v>
      </c>
      <c r="K1451" s="64" t="s">
        <v>7147</v>
      </c>
      <c r="L1451" s="63" t="s">
        <v>6049</v>
      </c>
      <c r="M1451" s="63" t="s">
        <v>5781</v>
      </c>
      <c r="N1451" s="65">
        <v>45869</v>
      </c>
    </row>
    <row r="1452" spans="1:14" customFormat="1" ht="14.45" customHeight="1" x14ac:dyDescent="0.2">
      <c r="A1452" s="59" t="s">
        <v>6027</v>
      </c>
      <c r="B1452" s="60" t="s">
        <v>7333</v>
      </c>
      <c r="C1452" s="60" t="s">
        <v>7224</v>
      </c>
      <c r="D1452" s="40">
        <v>45460</v>
      </c>
      <c r="E1452" s="61"/>
      <c r="F1452" s="62"/>
      <c r="G1452" s="63"/>
      <c r="H1452" s="64" t="s">
        <v>7311</v>
      </c>
      <c r="I1452" s="64" t="s">
        <v>2713</v>
      </c>
      <c r="J1452" s="63" t="s">
        <v>791</v>
      </c>
      <c r="K1452" s="64" t="s">
        <v>7148</v>
      </c>
      <c r="L1452" s="63" t="s">
        <v>6048</v>
      </c>
      <c r="M1452" s="63" t="s">
        <v>5781</v>
      </c>
      <c r="N1452" s="65">
        <v>45869</v>
      </c>
    </row>
    <row r="1453" spans="1:14" customFormat="1" ht="14.45" customHeight="1" x14ac:dyDescent="0.2">
      <c r="A1453" s="59">
        <v>1727</v>
      </c>
      <c r="B1453" s="60" t="s">
        <v>2954</v>
      </c>
      <c r="C1453" s="60" t="s">
        <v>7293</v>
      </c>
      <c r="D1453" s="40">
        <v>45706</v>
      </c>
      <c r="E1453" s="61"/>
      <c r="F1453" s="62"/>
      <c r="G1453" s="63"/>
      <c r="H1453" s="64" t="s">
        <v>2796</v>
      </c>
      <c r="I1453" s="64" t="s">
        <v>2713</v>
      </c>
      <c r="J1453" s="63" t="s">
        <v>471</v>
      </c>
      <c r="K1453" s="64" t="s">
        <v>7292</v>
      </c>
      <c r="L1453" s="63" t="s">
        <v>157</v>
      </c>
      <c r="M1453" s="63">
        <v>0</v>
      </c>
      <c r="N1453" s="65"/>
    </row>
    <row r="1454" spans="1:14" x14ac:dyDescent="0.2">
      <c r="C1454" s="59"/>
      <c r="I1454" s="43" t="s">
        <v>2713</v>
      </c>
    </row>
    <row r="1455" spans="1:14" x14ac:dyDescent="0.2">
      <c r="C1455" s="59"/>
      <c r="I1455" s="43" t="s">
        <v>2713</v>
      </c>
    </row>
    <row r="1456" spans="1:14" x14ac:dyDescent="0.2">
      <c r="C1456" s="59"/>
      <c r="I1456" s="43" t="s">
        <v>2713</v>
      </c>
    </row>
    <row r="1457" spans="3:9" x14ac:dyDescent="0.2">
      <c r="C1457" s="59"/>
      <c r="I1457" s="43" t="s">
        <v>2713</v>
      </c>
    </row>
    <row r="1458" spans="3:9" x14ac:dyDescent="0.2">
      <c r="C1458" s="59"/>
      <c r="I1458" s="43" t="s">
        <v>2713</v>
      </c>
    </row>
    <row r="1459" spans="3:9" x14ac:dyDescent="0.2">
      <c r="C1459" s="59"/>
      <c r="I1459" s="43" t="s">
        <v>2713</v>
      </c>
    </row>
    <row r="1460" spans="3:9" x14ac:dyDescent="0.2">
      <c r="C1460" s="59"/>
      <c r="I1460" s="43" t="s">
        <v>2713</v>
      </c>
    </row>
    <row r="1461" spans="3:9" x14ac:dyDescent="0.2">
      <c r="C1461" s="59"/>
      <c r="I1461" s="43" t="s">
        <v>2713</v>
      </c>
    </row>
    <row r="1462" spans="3:9" x14ac:dyDescent="0.2">
      <c r="C1462" s="59"/>
      <c r="I1462" s="43" t="s">
        <v>2713</v>
      </c>
    </row>
    <row r="1463" spans="3:9" x14ac:dyDescent="0.2">
      <c r="C1463" s="59"/>
      <c r="I1463" s="43" t="s">
        <v>2713</v>
      </c>
    </row>
    <row r="1464" spans="3:9" x14ac:dyDescent="0.2">
      <c r="C1464" s="59"/>
      <c r="I1464" s="43" t="s">
        <v>2713</v>
      </c>
    </row>
    <row r="1465" spans="3:9" x14ac:dyDescent="0.2">
      <c r="C1465" s="59"/>
      <c r="I1465" s="43" t="s">
        <v>2713</v>
      </c>
    </row>
    <row r="1466" spans="3:9" x14ac:dyDescent="0.2">
      <c r="C1466" s="59"/>
      <c r="I1466" s="43" t="s">
        <v>2713</v>
      </c>
    </row>
    <row r="1467" spans="3:9" x14ac:dyDescent="0.2">
      <c r="C1467" s="59"/>
      <c r="I1467" s="43" t="s">
        <v>2713</v>
      </c>
    </row>
    <row r="1468" spans="3:9" x14ac:dyDescent="0.2">
      <c r="C1468" s="59"/>
      <c r="I1468" s="43" t="s">
        <v>2713</v>
      </c>
    </row>
    <row r="1469" spans="3:9" x14ac:dyDescent="0.2">
      <c r="C1469" s="59"/>
      <c r="I1469" s="43" t="s">
        <v>2713</v>
      </c>
    </row>
    <row r="1470" spans="3:9" x14ac:dyDescent="0.2">
      <c r="C1470" s="59"/>
      <c r="I1470" s="43" t="s">
        <v>2713</v>
      </c>
    </row>
    <row r="1471" spans="3:9" x14ac:dyDescent="0.2">
      <c r="C1471" s="59"/>
      <c r="I1471" s="43" t="s">
        <v>2713</v>
      </c>
    </row>
    <row r="1472" spans="3:9" x14ac:dyDescent="0.2">
      <c r="C1472" s="59"/>
      <c r="I1472" s="43" t="s">
        <v>2713</v>
      </c>
    </row>
    <row r="1473" spans="3:9" x14ac:dyDescent="0.2">
      <c r="C1473" s="59"/>
      <c r="I1473" s="43" t="s">
        <v>2713</v>
      </c>
    </row>
    <row r="1474" spans="3:9" x14ac:dyDescent="0.2">
      <c r="C1474" s="59"/>
      <c r="I1474" s="43" t="s">
        <v>2713</v>
      </c>
    </row>
    <row r="1475" spans="3:9" x14ac:dyDescent="0.2">
      <c r="C1475" s="59"/>
      <c r="I1475" s="43" t="s">
        <v>2713</v>
      </c>
    </row>
    <row r="1476" spans="3:9" x14ac:dyDescent="0.2">
      <c r="C1476" s="59"/>
      <c r="I1476" s="43" t="s">
        <v>2713</v>
      </c>
    </row>
    <row r="1477" spans="3:9" x14ac:dyDescent="0.2">
      <c r="C1477" s="59"/>
      <c r="I1477" s="43" t="s">
        <v>2713</v>
      </c>
    </row>
    <row r="1478" spans="3:9" x14ac:dyDescent="0.2">
      <c r="C1478" s="59"/>
      <c r="I1478" s="43" t="s">
        <v>2713</v>
      </c>
    </row>
    <row r="1479" spans="3:9" x14ac:dyDescent="0.2">
      <c r="C1479" s="59"/>
      <c r="I1479" s="43" t="s">
        <v>2713</v>
      </c>
    </row>
    <row r="1480" spans="3:9" x14ac:dyDescent="0.2">
      <c r="C1480" s="59"/>
      <c r="I1480" s="43" t="s">
        <v>2713</v>
      </c>
    </row>
    <row r="1481" spans="3:9" x14ac:dyDescent="0.2">
      <c r="C1481" s="59"/>
      <c r="I1481" s="43" t="s">
        <v>2713</v>
      </c>
    </row>
    <row r="1482" spans="3:9" x14ac:dyDescent="0.2">
      <c r="C1482" s="59"/>
      <c r="I1482" s="43" t="s">
        <v>2713</v>
      </c>
    </row>
    <row r="1483" spans="3:9" x14ac:dyDescent="0.2">
      <c r="C1483" s="59"/>
      <c r="I1483" s="43" t="s">
        <v>2713</v>
      </c>
    </row>
    <row r="1484" spans="3:9" x14ac:dyDescent="0.2">
      <c r="C1484" s="59"/>
      <c r="I1484" s="43" t="s">
        <v>2713</v>
      </c>
    </row>
    <row r="1485" spans="3:9" x14ac:dyDescent="0.2">
      <c r="C1485" s="59"/>
      <c r="I1485" s="43" t="s">
        <v>2713</v>
      </c>
    </row>
    <row r="1486" spans="3:9" x14ac:dyDescent="0.2">
      <c r="C1486" s="59"/>
      <c r="I1486" s="43" t="s">
        <v>2713</v>
      </c>
    </row>
    <row r="1487" spans="3:9" x14ac:dyDescent="0.2">
      <c r="C1487" s="59"/>
      <c r="I1487" s="43" t="s">
        <v>2713</v>
      </c>
    </row>
    <row r="1488" spans="3:9" x14ac:dyDescent="0.2">
      <c r="C1488" s="59"/>
      <c r="I1488" s="43" t="s">
        <v>2713</v>
      </c>
    </row>
    <row r="1489" spans="3:9" x14ac:dyDescent="0.2">
      <c r="C1489" s="59"/>
      <c r="I1489" s="43" t="s">
        <v>2713</v>
      </c>
    </row>
    <row r="1490" spans="3:9" x14ac:dyDescent="0.2">
      <c r="C1490" s="59"/>
      <c r="I1490" s="43" t="s">
        <v>2713</v>
      </c>
    </row>
    <row r="1491" spans="3:9" x14ac:dyDescent="0.2">
      <c r="C1491" s="59"/>
      <c r="I1491" s="43" t="s">
        <v>2713</v>
      </c>
    </row>
    <row r="1492" spans="3:9" x14ac:dyDescent="0.2">
      <c r="C1492" s="59"/>
      <c r="I1492" s="43" t="s">
        <v>2713</v>
      </c>
    </row>
    <row r="1493" spans="3:9" x14ac:dyDescent="0.2">
      <c r="C1493" s="59"/>
      <c r="I1493" s="43" t="s">
        <v>2713</v>
      </c>
    </row>
    <row r="1494" spans="3:9" x14ac:dyDescent="0.2">
      <c r="C1494" s="59"/>
      <c r="I1494" s="43" t="s">
        <v>2713</v>
      </c>
    </row>
    <row r="1495" spans="3:9" x14ac:dyDescent="0.2">
      <c r="C1495" s="59"/>
      <c r="I1495" s="43" t="s">
        <v>2713</v>
      </c>
    </row>
    <row r="1496" spans="3:9" x14ac:dyDescent="0.2">
      <c r="C1496" s="59"/>
      <c r="I1496" s="43" t="s">
        <v>2713</v>
      </c>
    </row>
    <row r="1497" spans="3:9" x14ac:dyDescent="0.2">
      <c r="C1497" s="59"/>
      <c r="I1497" s="43" t="s">
        <v>2713</v>
      </c>
    </row>
    <row r="1498" spans="3:9" x14ac:dyDescent="0.2">
      <c r="C1498" s="59"/>
      <c r="I1498" s="43" t="s">
        <v>2713</v>
      </c>
    </row>
    <row r="1499" spans="3:9" x14ac:dyDescent="0.2">
      <c r="C1499" s="59"/>
      <c r="I1499" s="43" t="s">
        <v>2713</v>
      </c>
    </row>
    <row r="1500" spans="3:9" x14ac:dyDescent="0.2">
      <c r="C1500" s="59"/>
      <c r="I1500" s="43" t="s">
        <v>2713</v>
      </c>
    </row>
    <row r="1501" spans="3:9" x14ac:dyDescent="0.2">
      <c r="C1501" s="59"/>
      <c r="I1501" s="43" t="s">
        <v>2713</v>
      </c>
    </row>
    <row r="1502" spans="3:9" x14ac:dyDescent="0.2">
      <c r="C1502" s="59"/>
      <c r="I1502" s="43" t="s">
        <v>2713</v>
      </c>
    </row>
    <row r="1503" spans="3:9" x14ac:dyDescent="0.2">
      <c r="C1503" s="59"/>
      <c r="I1503" s="43" t="s">
        <v>2713</v>
      </c>
    </row>
    <row r="1504" spans="3:9" x14ac:dyDescent="0.2">
      <c r="C1504" s="59"/>
      <c r="I1504" s="43" t="s">
        <v>2713</v>
      </c>
    </row>
    <row r="1505" spans="3:9" x14ac:dyDescent="0.2">
      <c r="C1505" s="59"/>
      <c r="I1505" s="43" t="s">
        <v>2713</v>
      </c>
    </row>
    <row r="1506" spans="3:9" x14ac:dyDescent="0.2">
      <c r="C1506" s="59"/>
      <c r="I1506" s="43" t="s">
        <v>2713</v>
      </c>
    </row>
    <row r="1507" spans="3:9" x14ac:dyDescent="0.2">
      <c r="C1507" s="59"/>
      <c r="I1507" s="43" t="s">
        <v>2713</v>
      </c>
    </row>
    <row r="1508" spans="3:9" x14ac:dyDescent="0.2">
      <c r="C1508" s="59"/>
      <c r="I1508" s="43" t="s">
        <v>2713</v>
      </c>
    </row>
    <row r="1509" spans="3:9" x14ac:dyDescent="0.2">
      <c r="C1509" s="59"/>
      <c r="I1509" s="43" t="s">
        <v>2713</v>
      </c>
    </row>
    <row r="1510" spans="3:9" x14ac:dyDescent="0.2">
      <c r="C1510" s="59"/>
      <c r="I1510" s="43" t="s">
        <v>2713</v>
      </c>
    </row>
    <row r="1511" spans="3:9" x14ac:dyDescent="0.2">
      <c r="C1511" s="59"/>
      <c r="I1511" s="43" t="s">
        <v>2713</v>
      </c>
    </row>
    <row r="1512" spans="3:9" x14ac:dyDescent="0.2">
      <c r="C1512" s="59"/>
      <c r="I1512" s="43" t="s">
        <v>2713</v>
      </c>
    </row>
    <row r="1513" spans="3:9" x14ac:dyDescent="0.2">
      <c r="C1513" s="59"/>
      <c r="I1513" s="43" t="s">
        <v>2713</v>
      </c>
    </row>
    <row r="1514" spans="3:9" x14ac:dyDescent="0.2">
      <c r="C1514" s="59"/>
      <c r="I1514" s="43" t="s">
        <v>2713</v>
      </c>
    </row>
    <row r="1515" spans="3:9" x14ac:dyDescent="0.2">
      <c r="C1515" s="59"/>
      <c r="I1515" s="43" t="s">
        <v>2713</v>
      </c>
    </row>
    <row r="1516" spans="3:9" x14ac:dyDescent="0.2">
      <c r="C1516" s="59"/>
      <c r="I1516" s="43" t="s">
        <v>2713</v>
      </c>
    </row>
    <row r="1517" spans="3:9" x14ac:dyDescent="0.2">
      <c r="C1517" s="59"/>
      <c r="I1517" s="43" t="s">
        <v>2713</v>
      </c>
    </row>
    <row r="1518" spans="3:9" x14ac:dyDescent="0.2">
      <c r="C1518" s="59"/>
      <c r="I1518" s="43" t="s">
        <v>2713</v>
      </c>
    </row>
    <row r="1519" spans="3:9" x14ac:dyDescent="0.2">
      <c r="C1519" s="59"/>
      <c r="I1519" s="43" t="s">
        <v>2713</v>
      </c>
    </row>
    <row r="1520" spans="3:9" x14ac:dyDescent="0.2">
      <c r="C1520" s="59"/>
      <c r="I1520" s="43" t="s">
        <v>2713</v>
      </c>
    </row>
    <row r="1521" spans="3:9" x14ac:dyDescent="0.2">
      <c r="C1521" s="59"/>
      <c r="I1521" s="43" t="s">
        <v>2713</v>
      </c>
    </row>
    <row r="1522" spans="3:9" x14ac:dyDescent="0.2">
      <c r="C1522" s="59"/>
      <c r="I1522" s="43" t="s">
        <v>2713</v>
      </c>
    </row>
    <row r="1523" spans="3:9" x14ac:dyDescent="0.2">
      <c r="C1523" s="59"/>
      <c r="I1523" s="43" t="s">
        <v>2713</v>
      </c>
    </row>
    <row r="1524" spans="3:9" x14ac:dyDescent="0.2">
      <c r="C1524" s="59"/>
      <c r="I1524" s="43" t="s">
        <v>2713</v>
      </c>
    </row>
    <row r="1525" spans="3:9" x14ac:dyDescent="0.2">
      <c r="C1525" s="59"/>
      <c r="I1525" s="43" t="s">
        <v>2713</v>
      </c>
    </row>
    <row r="1526" spans="3:9" x14ac:dyDescent="0.2">
      <c r="C1526" s="59"/>
      <c r="I1526" s="43" t="s">
        <v>2713</v>
      </c>
    </row>
    <row r="1527" spans="3:9" x14ac:dyDescent="0.2">
      <c r="C1527" s="59"/>
      <c r="I1527" s="43" t="s">
        <v>2713</v>
      </c>
    </row>
    <row r="1528" spans="3:9" x14ac:dyDescent="0.2">
      <c r="C1528" s="59"/>
      <c r="I1528" s="43" t="s">
        <v>2713</v>
      </c>
    </row>
    <row r="1529" spans="3:9" x14ac:dyDescent="0.2">
      <c r="C1529" s="59"/>
      <c r="I1529" s="43" t="s">
        <v>2713</v>
      </c>
    </row>
    <row r="1530" spans="3:9" x14ac:dyDescent="0.2">
      <c r="C1530" s="59"/>
      <c r="I1530" s="43" t="s">
        <v>2713</v>
      </c>
    </row>
    <row r="1531" spans="3:9" x14ac:dyDescent="0.2">
      <c r="C1531" s="59"/>
      <c r="I1531" s="43" t="s">
        <v>2713</v>
      </c>
    </row>
    <row r="1532" spans="3:9" x14ac:dyDescent="0.2">
      <c r="C1532" s="59"/>
      <c r="I1532" s="43" t="s">
        <v>2713</v>
      </c>
    </row>
    <row r="1533" spans="3:9" x14ac:dyDescent="0.2">
      <c r="C1533" s="59"/>
      <c r="I1533" s="43" t="s">
        <v>2713</v>
      </c>
    </row>
    <row r="1534" spans="3:9" x14ac:dyDescent="0.2">
      <c r="C1534" s="59"/>
      <c r="I1534" s="43" t="s">
        <v>2713</v>
      </c>
    </row>
    <row r="1535" spans="3:9" x14ac:dyDescent="0.2">
      <c r="C1535" s="59"/>
      <c r="I1535" s="43" t="s">
        <v>2713</v>
      </c>
    </row>
    <row r="1536" spans="3:9" x14ac:dyDescent="0.2">
      <c r="C1536" s="59"/>
      <c r="I1536" s="43" t="s">
        <v>2713</v>
      </c>
    </row>
    <row r="1537" spans="3:9" x14ac:dyDescent="0.2">
      <c r="C1537" s="59"/>
      <c r="I1537" s="43" t="s">
        <v>2713</v>
      </c>
    </row>
    <row r="1538" spans="3:9" x14ac:dyDescent="0.2">
      <c r="C1538" s="59"/>
      <c r="I1538" s="43" t="s">
        <v>2713</v>
      </c>
    </row>
    <row r="1539" spans="3:9" x14ac:dyDescent="0.2">
      <c r="C1539" s="59"/>
      <c r="I1539" s="43" t="s">
        <v>2713</v>
      </c>
    </row>
    <row r="1540" spans="3:9" x14ac:dyDescent="0.2">
      <c r="C1540" s="59"/>
      <c r="I1540" s="43" t="s">
        <v>2713</v>
      </c>
    </row>
    <row r="1541" spans="3:9" x14ac:dyDescent="0.2">
      <c r="C1541" s="59"/>
      <c r="I1541" s="43" t="s">
        <v>2713</v>
      </c>
    </row>
    <row r="1542" spans="3:9" x14ac:dyDescent="0.2">
      <c r="C1542" s="59"/>
      <c r="I1542" s="43" t="s">
        <v>2713</v>
      </c>
    </row>
    <row r="1543" spans="3:9" x14ac:dyDescent="0.2">
      <c r="C1543" s="59"/>
      <c r="I1543" s="43" t="s">
        <v>2713</v>
      </c>
    </row>
    <row r="1544" spans="3:9" x14ac:dyDescent="0.2">
      <c r="C1544" s="59"/>
      <c r="I1544" s="43" t="s">
        <v>2713</v>
      </c>
    </row>
    <row r="1545" spans="3:9" x14ac:dyDescent="0.2">
      <c r="C1545" s="59"/>
      <c r="I1545" s="43" t="s">
        <v>2713</v>
      </c>
    </row>
    <row r="1546" spans="3:9" x14ac:dyDescent="0.2">
      <c r="C1546" s="59"/>
      <c r="I1546" s="43" t="s">
        <v>2713</v>
      </c>
    </row>
    <row r="1547" spans="3:9" x14ac:dyDescent="0.2">
      <c r="C1547" s="59"/>
      <c r="I1547" s="43" t="s">
        <v>2713</v>
      </c>
    </row>
    <row r="1548" spans="3:9" x14ac:dyDescent="0.2">
      <c r="C1548" s="59"/>
      <c r="I1548" s="43" t="s">
        <v>2713</v>
      </c>
    </row>
    <row r="1549" spans="3:9" x14ac:dyDescent="0.2">
      <c r="C1549" s="59"/>
      <c r="I1549" s="43" t="s">
        <v>2713</v>
      </c>
    </row>
    <row r="1550" spans="3:9" x14ac:dyDescent="0.2">
      <c r="C1550" s="59"/>
      <c r="I1550" s="43" t="s">
        <v>2713</v>
      </c>
    </row>
    <row r="1551" spans="3:9" x14ac:dyDescent="0.2">
      <c r="C1551" s="59"/>
      <c r="I1551" s="43" t="s">
        <v>2713</v>
      </c>
    </row>
    <row r="1552" spans="3:9" x14ac:dyDescent="0.2">
      <c r="C1552" s="59"/>
      <c r="I1552" s="43" t="s">
        <v>2713</v>
      </c>
    </row>
    <row r="1553" spans="3:9" x14ac:dyDescent="0.2">
      <c r="C1553" s="59"/>
      <c r="I1553" s="43" t="s">
        <v>2713</v>
      </c>
    </row>
    <row r="1554" spans="3:9" x14ac:dyDescent="0.2">
      <c r="C1554" s="59"/>
      <c r="I1554" s="43" t="s">
        <v>2713</v>
      </c>
    </row>
    <row r="1555" spans="3:9" x14ac:dyDescent="0.2">
      <c r="C1555" s="59"/>
      <c r="I1555" s="43" t="s">
        <v>2713</v>
      </c>
    </row>
    <row r="1556" spans="3:9" x14ac:dyDescent="0.2">
      <c r="C1556" s="59"/>
      <c r="I1556" s="43" t="s">
        <v>2713</v>
      </c>
    </row>
    <row r="1557" spans="3:9" x14ac:dyDescent="0.2">
      <c r="C1557" s="59"/>
      <c r="I1557" s="43" t="s">
        <v>2713</v>
      </c>
    </row>
    <row r="1558" spans="3:9" x14ac:dyDescent="0.2">
      <c r="C1558" s="59"/>
      <c r="I1558" s="43" t="s">
        <v>2713</v>
      </c>
    </row>
    <row r="1559" spans="3:9" x14ac:dyDescent="0.2">
      <c r="C1559" s="59"/>
      <c r="I1559" s="43" t="s">
        <v>2713</v>
      </c>
    </row>
    <row r="1560" spans="3:9" x14ac:dyDescent="0.2">
      <c r="C1560" s="59"/>
      <c r="I1560" s="43" t="s">
        <v>2713</v>
      </c>
    </row>
    <row r="1561" spans="3:9" x14ac:dyDescent="0.2">
      <c r="C1561" s="59"/>
      <c r="I1561" s="43" t="s">
        <v>2713</v>
      </c>
    </row>
    <row r="1562" spans="3:9" x14ac:dyDescent="0.2">
      <c r="C1562" s="59"/>
      <c r="I1562" s="43" t="s">
        <v>2713</v>
      </c>
    </row>
    <row r="1563" spans="3:9" x14ac:dyDescent="0.2">
      <c r="C1563" s="59"/>
      <c r="I1563" s="43" t="s">
        <v>2713</v>
      </c>
    </row>
    <row r="1564" spans="3:9" x14ac:dyDescent="0.2">
      <c r="C1564" s="59"/>
      <c r="I1564" s="43" t="s">
        <v>2713</v>
      </c>
    </row>
    <row r="1565" spans="3:9" x14ac:dyDescent="0.2">
      <c r="C1565" s="59"/>
      <c r="I1565" s="43" t="s">
        <v>2713</v>
      </c>
    </row>
    <row r="1566" spans="3:9" x14ac:dyDescent="0.2">
      <c r="C1566" s="59"/>
      <c r="I1566" s="43" t="s">
        <v>2713</v>
      </c>
    </row>
    <row r="1567" spans="3:9" x14ac:dyDescent="0.2">
      <c r="C1567" s="59"/>
      <c r="I1567" s="43" t="s">
        <v>2713</v>
      </c>
    </row>
    <row r="1568" spans="3:9" x14ac:dyDescent="0.2">
      <c r="C1568" s="59"/>
      <c r="I1568" s="43" t="s">
        <v>2713</v>
      </c>
    </row>
    <row r="1569" spans="3:9" x14ac:dyDescent="0.2">
      <c r="C1569" s="59"/>
      <c r="I1569" s="43" t="s">
        <v>2713</v>
      </c>
    </row>
    <row r="1570" spans="3:9" x14ac:dyDescent="0.2">
      <c r="C1570" s="59"/>
      <c r="I1570" s="43" t="s">
        <v>2713</v>
      </c>
    </row>
    <row r="1571" spans="3:9" x14ac:dyDescent="0.2">
      <c r="C1571" s="59"/>
      <c r="I1571" s="43" t="s">
        <v>2713</v>
      </c>
    </row>
    <row r="1572" spans="3:9" x14ac:dyDescent="0.2">
      <c r="C1572" s="59"/>
      <c r="I1572" s="43" t="s">
        <v>2713</v>
      </c>
    </row>
    <row r="1573" spans="3:9" x14ac:dyDescent="0.2">
      <c r="C1573" s="59"/>
      <c r="I1573" s="43" t="s">
        <v>2713</v>
      </c>
    </row>
    <row r="1574" spans="3:9" x14ac:dyDescent="0.2">
      <c r="C1574" s="59"/>
      <c r="I1574" s="43" t="s">
        <v>2713</v>
      </c>
    </row>
    <row r="1575" spans="3:9" x14ac:dyDescent="0.2">
      <c r="C1575" s="59"/>
      <c r="I1575" s="43" t="s">
        <v>2713</v>
      </c>
    </row>
    <row r="1576" spans="3:9" x14ac:dyDescent="0.2">
      <c r="C1576" s="59"/>
      <c r="I1576" s="43" t="s">
        <v>2713</v>
      </c>
    </row>
    <row r="1577" spans="3:9" x14ac:dyDescent="0.2">
      <c r="C1577" s="59"/>
      <c r="I1577" s="43" t="s">
        <v>2713</v>
      </c>
    </row>
    <row r="1578" spans="3:9" x14ac:dyDescent="0.2">
      <c r="C1578" s="59"/>
      <c r="I1578" s="43" t="s">
        <v>2713</v>
      </c>
    </row>
    <row r="1579" spans="3:9" x14ac:dyDescent="0.2">
      <c r="C1579" s="59"/>
      <c r="I1579" s="43" t="s">
        <v>2713</v>
      </c>
    </row>
    <row r="1580" spans="3:9" x14ac:dyDescent="0.2">
      <c r="C1580" s="59"/>
      <c r="I1580" s="43" t="s">
        <v>2713</v>
      </c>
    </row>
    <row r="1581" spans="3:9" x14ac:dyDescent="0.2">
      <c r="C1581" s="59"/>
      <c r="I1581" s="43" t="s">
        <v>2713</v>
      </c>
    </row>
    <row r="1582" spans="3:9" x14ac:dyDescent="0.2">
      <c r="C1582" s="59"/>
      <c r="I1582" s="43" t="s">
        <v>2713</v>
      </c>
    </row>
    <row r="1583" spans="3:9" x14ac:dyDescent="0.2">
      <c r="C1583" s="59"/>
      <c r="I1583" s="43" t="s">
        <v>2713</v>
      </c>
    </row>
    <row r="1584" spans="3:9" x14ac:dyDescent="0.2">
      <c r="C1584" s="59"/>
      <c r="I1584" s="43" t="s">
        <v>2713</v>
      </c>
    </row>
    <row r="1585" spans="3:9" x14ac:dyDescent="0.2">
      <c r="C1585" s="59"/>
      <c r="I1585" s="43" t="s">
        <v>2713</v>
      </c>
    </row>
    <row r="1586" spans="3:9" x14ac:dyDescent="0.2">
      <c r="C1586" s="59"/>
      <c r="I1586" s="43" t="s">
        <v>2713</v>
      </c>
    </row>
    <row r="1587" spans="3:9" x14ac:dyDescent="0.2">
      <c r="C1587" s="59"/>
      <c r="I1587" s="43" t="s">
        <v>2713</v>
      </c>
    </row>
    <row r="1588" spans="3:9" x14ac:dyDescent="0.2">
      <c r="C1588" s="59"/>
      <c r="I1588" s="43" t="s">
        <v>2713</v>
      </c>
    </row>
    <row r="1589" spans="3:9" x14ac:dyDescent="0.2">
      <c r="C1589" s="59"/>
      <c r="I1589" s="43" t="s">
        <v>2713</v>
      </c>
    </row>
    <row r="1590" spans="3:9" x14ac:dyDescent="0.2">
      <c r="C1590" s="59"/>
      <c r="I1590" s="43" t="s">
        <v>2713</v>
      </c>
    </row>
    <row r="1591" spans="3:9" x14ac:dyDescent="0.2">
      <c r="C1591" s="59"/>
      <c r="I1591" s="43" t="s">
        <v>2713</v>
      </c>
    </row>
    <row r="1592" spans="3:9" x14ac:dyDescent="0.2">
      <c r="C1592" s="59"/>
      <c r="I1592" s="43" t="s">
        <v>2713</v>
      </c>
    </row>
    <row r="1593" spans="3:9" x14ac:dyDescent="0.2">
      <c r="C1593" s="59"/>
      <c r="I1593" s="43" t="s">
        <v>2713</v>
      </c>
    </row>
    <row r="1594" spans="3:9" x14ac:dyDescent="0.2">
      <c r="C1594" s="59"/>
      <c r="I1594" s="43" t="s">
        <v>2713</v>
      </c>
    </row>
    <row r="1595" spans="3:9" x14ac:dyDescent="0.2">
      <c r="C1595" s="59"/>
      <c r="I1595" s="43" t="s">
        <v>2713</v>
      </c>
    </row>
    <row r="1596" spans="3:9" x14ac:dyDescent="0.2">
      <c r="C1596" s="59"/>
      <c r="I1596" s="43" t="s">
        <v>2713</v>
      </c>
    </row>
    <row r="1597" spans="3:9" x14ac:dyDescent="0.2">
      <c r="C1597" s="59"/>
      <c r="I1597" s="43" t="s">
        <v>2713</v>
      </c>
    </row>
    <row r="1598" spans="3:9" x14ac:dyDescent="0.2">
      <c r="C1598" s="59"/>
      <c r="I1598" s="43" t="s">
        <v>2713</v>
      </c>
    </row>
    <row r="1599" spans="3:9" x14ac:dyDescent="0.2">
      <c r="C1599" s="59"/>
      <c r="I1599" s="43" t="s">
        <v>2713</v>
      </c>
    </row>
    <row r="1600" spans="3:9" x14ac:dyDescent="0.2">
      <c r="C1600" s="59"/>
      <c r="I1600" s="43" t="s">
        <v>2713</v>
      </c>
    </row>
    <row r="1601" spans="3:9" x14ac:dyDescent="0.2">
      <c r="C1601" s="59"/>
      <c r="I1601" s="43" t="s">
        <v>2713</v>
      </c>
    </row>
    <row r="1602" spans="3:9" x14ac:dyDescent="0.2">
      <c r="C1602" s="59"/>
      <c r="I1602" s="43" t="s">
        <v>2713</v>
      </c>
    </row>
    <row r="1603" spans="3:9" x14ac:dyDescent="0.2">
      <c r="C1603" s="59"/>
      <c r="I1603" s="43" t="s">
        <v>2713</v>
      </c>
    </row>
    <row r="1604" spans="3:9" x14ac:dyDescent="0.2">
      <c r="C1604" s="59"/>
      <c r="I1604" s="43" t="s">
        <v>2713</v>
      </c>
    </row>
    <row r="1605" spans="3:9" x14ac:dyDescent="0.2">
      <c r="C1605" s="59"/>
      <c r="I1605" s="43" t="s">
        <v>2713</v>
      </c>
    </row>
    <row r="1606" spans="3:9" x14ac:dyDescent="0.2">
      <c r="C1606" s="59"/>
      <c r="I1606" s="43" t="s">
        <v>2713</v>
      </c>
    </row>
    <row r="1607" spans="3:9" x14ac:dyDescent="0.2">
      <c r="C1607" s="59"/>
      <c r="I1607" s="43" t="s">
        <v>2713</v>
      </c>
    </row>
    <row r="1608" spans="3:9" x14ac:dyDescent="0.2">
      <c r="C1608" s="59"/>
      <c r="I1608" s="43" t="s">
        <v>2713</v>
      </c>
    </row>
    <row r="1609" spans="3:9" x14ac:dyDescent="0.2">
      <c r="C1609" s="59"/>
      <c r="I1609" s="43" t="s">
        <v>2713</v>
      </c>
    </row>
    <row r="1610" spans="3:9" x14ac:dyDescent="0.2">
      <c r="C1610" s="59"/>
      <c r="I1610" s="43" t="s">
        <v>2713</v>
      </c>
    </row>
    <row r="1611" spans="3:9" x14ac:dyDescent="0.2">
      <c r="C1611" s="59"/>
      <c r="I1611" s="43" t="s">
        <v>2713</v>
      </c>
    </row>
    <row r="1612" spans="3:9" x14ac:dyDescent="0.2">
      <c r="C1612" s="59"/>
      <c r="I1612" s="43" t="s">
        <v>2713</v>
      </c>
    </row>
    <row r="1613" spans="3:9" x14ac:dyDescent="0.2">
      <c r="C1613" s="59"/>
      <c r="I1613" s="43" t="s">
        <v>2713</v>
      </c>
    </row>
    <row r="1614" spans="3:9" x14ac:dyDescent="0.2">
      <c r="C1614" s="59"/>
      <c r="I1614" s="43" t="s">
        <v>2713</v>
      </c>
    </row>
    <row r="1615" spans="3:9" x14ac:dyDescent="0.2">
      <c r="C1615" s="59"/>
      <c r="I1615" s="43" t="s">
        <v>2713</v>
      </c>
    </row>
    <row r="1616" spans="3:9" x14ac:dyDescent="0.2">
      <c r="C1616" s="59"/>
      <c r="I1616" s="43" t="s">
        <v>2713</v>
      </c>
    </row>
    <row r="1617" spans="3:9" x14ac:dyDescent="0.2">
      <c r="C1617" s="59"/>
      <c r="I1617" s="43" t="s">
        <v>2713</v>
      </c>
    </row>
    <row r="1618" spans="3:9" x14ac:dyDescent="0.2">
      <c r="C1618" s="59"/>
      <c r="I1618" s="43" t="s">
        <v>2713</v>
      </c>
    </row>
    <row r="1619" spans="3:9" x14ac:dyDescent="0.2">
      <c r="C1619" s="59"/>
      <c r="I1619" s="43" t="s">
        <v>2713</v>
      </c>
    </row>
    <row r="1620" spans="3:9" x14ac:dyDescent="0.2">
      <c r="C1620" s="59"/>
      <c r="I1620" s="43" t="s">
        <v>2713</v>
      </c>
    </row>
    <row r="1621" spans="3:9" x14ac:dyDescent="0.2">
      <c r="C1621" s="59"/>
      <c r="I1621" s="43" t="s">
        <v>2713</v>
      </c>
    </row>
    <row r="1622" spans="3:9" x14ac:dyDescent="0.2">
      <c r="C1622" s="59"/>
      <c r="I1622" s="43" t="s">
        <v>2713</v>
      </c>
    </row>
    <row r="1623" spans="3:9" x14ac:dyDescent="0.2">
      <c r="C1623" s="59"/>
      <c r="I1623" s="43" t="s">
        <v>2713</v>
      </c>
    </row>
    <row r="1624" spans="3:9" x14ac:dyDescent="0.2">
      <c r="C1624" s="59"/>
      <c r="I1624" s="43" t="s">
        <v>2713</v>
      </c>
    </row>
    <row r="1625" spans="3:9" x14ac:dyDescent="0.2">
      <c r="C1625" s="59"/>
      <c r="I1625" s="43" t="s">
        <v>2713</v>
      </c>
    </row>
    <row r="1626" spans="3:9" x14ac:dyDescent="0.2">
      <c r="C1626" s="59"/>
      <c r="I1626" s="43" t="s">
        <v>2713</v>
      </c>
    </row>
    <row r="1627" spans="3:9" x14ac:dyDescent="0.2">
      <c r="C1627" s="59"/>
      <c r="I1627" s="43" t="s">
        <v>2713</v>
      </c>
    </row>
    <row r="1628" spans="3:9" x14ac:dyDescent="0.2">
      <c r="C1628" s="59"/>
      <c r="I1628" s="43" t="s">
        <v>2713</v>
      </c>
    </row>
    <row r="1629" spans="3:9" x14ac:dyDescent="0.2">
      <c r="C1629" s="59"/>
      <c r="I1629" s="43" t="s">
        <v>2713</v>
      </c>
    </row>
    <row r="1630" spans="3:9" x14ac:dyDescent="0.2">
      <c r="C1630" s="59"/>
      <c r="I1630" s="43" t="s">
        <v>2713</v>
      </c>
    </row>
    <row r="1631" spans="3:9" x14ac:dyDescent="0.2">
      <c r="C1631" s="59"/>
      <c r="I1631" s="43" t="s">
        <v>2713</v>
      </c>
    </row>
    <row r="1632" spans="3:9" x14ac:dyDescent="0.2">
      <c r="C1632" s="59"/>
      <c r="I1632" s="43" t="s">
        <v>2713</v>
      </c>
    </row>
    <row r="1633" spans="3:9" x14ac:dyDescent="0.2">
      <c r="C1633" s="59"/>
      <c r="I1633" s="43" t="s">
        <v>2713</v>
      </c>
    </row>
    <row r="1634" spans="3:9" x14ac:dyDescent="0.2">
      <c r="C1634" s="59"/>
      <c r="I1634" s="43" t="s">
        <v>2713</v>
      </c>
    </row>
    <row r="1635" spans="3:9" x14ac:dyDescent="0.2">
      <c r="C1635" s="59"/>
      <c r="I1635" s="43" t="s">
        <v>2713</v>
      </c>
    </row>
    <row r="1636" spans="3:9" x14ac:dyDescent="0.2">
      <c r="C1636" s="59"/>
      <c r="I1636" s="43" t="s">
        <v>2713</v>
      </c>
    </row>
    <row r="1637" spans="3:9" x14ac:dyDescent="0.2">
      <c r="C1637" s="59"/>
      <c r="I1637" s="43" t="s">
        <v>2713</v>
      </c>
    </row>
    <row r="1638" spans="3:9" x14ac:dyDescent="0.2">
      <c r="C1638" s="59"/>
      <c r="I1638" s="43" t="s">
        <v>2713</v>
      </c>
    </row>
    <row r="1639" spans="3:9" x14ac:dyDescent="0.2">
      <c r="C1639" s="59"/>
      <c r="I1639" s="43" t="s">
        <v>2713</v>
      </c>
    </row>
    <row r="1640" spans="3:9" x14ac:dyDescent="0.2">
      <c r="C1640" s="59"/>
      <c r="I1640" s="43" t="s">
        <v>2713</v>
      </c>
    </row>
    <row r="1641" spans="3:9" x14ac:dyDescent="0.2">
      <c r="C1641" s="59"/>
      <c r="I1641" s="43" t="s">
        <v>2713</v>
      </c>
    </row>
    <row r="1642" spans="3:9" x14ac:dyDescent="0.2">
      <c r="C1642" s="59"/>
      <c r="I1642" s="43" t="s">
        <v>2713</v>
      </c>
    </row>
    <row r="1643" spans="3:9" x14ac:dyDescent="0.2">
      <c r="C1643" s="59"/>
      <c r="I1643" s="43" t="s">
        <v>2713</v>
      </c>
    </row>
    <row r="1644" spans="3:9" x14ac:dyDescent="0.2">
      <c r="C1644" s="59"/>
      <c r="I1644" s="43" t="s">
        <v>2713</v>
      </c>
    </row>
    <row r="1645" spans="3:9" x14ac:dyDescent="0.2">
      <c r="C1645" s="59"/>
      <c r="I1645" s="43" t="s">
        <v>2713</v>
      </c>
    </row>
    <row r="1646" spans="3:9" x14ac:dyDescent="0.2">
      <c r="C1646" s="59"/>
      <c r="I1646" s="43" t="s">
        <v>2713</v>
      </c>
    </row>
    <row r="1647" spans="3:9" x14ac:dyDescent="0.2">
      <c r="C1647" s="59"/>
      <c r="I1647" s="43" t="s">
        <v>2713</v>
      </c>
    </row>
    <row r="1648" spans="3:9" x14ac:dyDescent="0.2">
      <c r="C1648" s="59"/>
      <c r="I1648" s="43" t="s">
        <v>2713</v>
      </c>
    </row>
    <row r="1649" spans="3:9" x14ac:dyDescent="0.2">
      <c r="C1649" s="59"/>
      <c r="I1649" s="43" t="s">
        <v>2713</v>
      </c>
    </row>
    <row r="1650" spans="3:9" x14ac:dyDescent="0.2">
      <c r="C1650" s="59"/>
      <c r="I1650" s="43" t="s">
        <v>2713</v>
      </c>
    </row>
    <row r="1651" spans="3:9" x14ac:dyDescent="0.2">
      <c r="C1651" s="59"/>
      <c r="I1651" s="43" t="s">
        <v>2713</v>
      </c>
    </row>
    <row r="1652" spans="3:9" x14ac:dyDescent="0.2">
      <c r="C1652" s="59"/>
      <c r="I1652" s="43" t="s">
        <v>2713</v>
      </c>
    </row>
    <row r="1653" spans="3:9" x14ac:dyDescent="0.2">
      <c r="C1653" s="59"/>
      <c r="I1653" s="43" t="s">
        <v>2713</v>
      </c>
    </row>
    <row r="1654" spans="3:9" x14ac:dyDescent="0.2">
      <c r="C1654" s="59"/>
      <c r="I1654" s="43" t="s">
        <v>2713</v>
      </c>
    </row>
    <row r="1655" spans="3:9" x14ac:dyDescent="0.2">
      <c r="C1655" s="59"/>
      <c r="I1655" s="43" t="s">
        <v>2713</v>
      </c>
    </row>
    <row r="1656" spans="3:9" x14ac:dyDescent="0.2">
      <c r="C1656" s="59"/>
      <c r="I1656" s="43" t="s">
        <v>2713</v>
      </c>
    </row>
    <row r="1657" spans="3:9" x14ac:dyDescent="0.2">
      <c r="C1657" s="59"/>
      <c r="I1657" s="43" t="s">
        <v>2713</v>
      </c>
    </row>
    <row r="1658" spans="3:9" x14ac:dyDescent="0.2">
      <c r="C1658" s="59"/>
      <c r="I1658" s="43" t="s">
        <v>2713</v>
      </c>
    </row>
    <row r="1659" spans="3:9" x14ac:dyDescent="0.2">
      <c r="C1659" s="59"/>
      <c r="I1659" s="43" t="s">
        <v>2713</v>
      </c>
    </row>
    <row r="1660" spans="3:9" x14ac:dyDescent="0.2">
      <c r="C1660" s="59"/>
      <c r="I1660" s="43" t="s">
        <v>2713</v>
      </c>
    </row>
    <row r="1661" spans="3:9" x14ac:dyDescent="0.2">
      <c r="C1661" s="59"/>
      <c r="I1661" s="43" t="s">
        <v>2713</v>
      </c>
    </row>
    <row r="1662" spans="3:9" x14ac:dyDescent="0.2">
      <c r="C1662" s="59"/>
      <c r="I1662" s="43" t="s">
        <v>2713</v>
      </c>
    </row>
    <row r="1663" spans="3:9" x14ac:dyDescent="0.2">
      <c r="C1663" s="59"/>
      <c r="I1663" s="43" t="s">
        <v>2713</v>
      </c>
    </row>
    <row r="1664" spans="3:9" x14ac:dyDescent="0.2">
      <c r="C1664" s="59"/>
      <c r="I1664" s="43" t="s">
        <v>2713</v>
      </c>
    </row>
    <row r="1665" spans="3:9" x14ac:dyDescent="0.2">
      <c r="C1665" s="59"/>
      <c r="I1665" s="43" t="s">
        <v>2713</v>
      </c>
    </row>
    <row r="1666" spans="3:9" x14ac:dyDescent="0.2">
      <c r="C1666" s="59"/>
      <c r="I1666" s="43" t="s">
        <v>2713</v>
      </c>
    </row>
    <row r="1667" spans="3:9" x14ac:dyDescent="0.2">
      <c r="C1667" s="59"/>
      <c r="I1667" s="43" t="s">
        <v>2713</v>
      </c>
    </row>
    <row r="1668" spans="3:9" x14ac:dyDescent="0.2">
      <c r="C1668" s="59"/>
      <c r="I1668" s="43" t="s">
        <v>2713</v>
      </c>
    </row>
    <row r="1669" spans="3:9" x14ac:dyDescent="0.2">
      <c r="C1669" s="59"/>
      <c r="I1669" s="43" t="s">
        <v>2713</v>
      </c>
    </row>
    <row r="1670" spans="3:9" x14ac:dyDescent="0.2">
      <c r="C1670" s="59"/>
      <c r="I1670" s="43" t="s">
        <v>2713</v>
      </c>
    </row>
    <row r="1671" spans="3:9" x14ac:dyDescent="0.2">
      <c r="C1671" s="59"/>
      <c r="I1671" s="43" t="s">
        <v>2713</v>
      </c>
    </row>
    <row r="1672" spans="3:9" x14ac:dyDescent="0.2">
      <c r="C1672" s="59"/>
      <c r="I1672" s="43" t="s">
        <v>2713</v>
      </c>
    </row>
    <row r="1673" spans="3:9" x14ac:dyDescent="0.2">
      <c r="C1673" s="59"/>
      <c r="I1673" s="43" t="s">
        <v>2713</v>
      </c>
    </row>
    <row r="1674" spans="3:9" x14ac:dyDescent="0.2">
      <c r="C1674" s="59"/>
      <c r="I1674" s="43" t="s">
        <v>2713</v>
      </c>
    </row>
    <row r="1675" spans="3:9" x14ac:dyDescent="0.2">
      <c r="C1675" s="59"/>
      <c r="I1675" s="43" t="s">
        <v>2713</v>
      </c>
    </row>
    <row r="1676" spans="3:9" x14ac:dyDescent="0.2">
      <c r="C1676" s="59"/>
      <c r="I1676" s="43" t="s">
        <v>2713</v>
      </c>
    </row>
    <row r="1677" spans="3:9" x14ac:dyDescent="0.2">
      <c r="C1677" s="59"/>
      <c r="I1677" s="43" t="s">
        <v>2713</v>
      </c>
    </row>
    <row r="1678" spans="3:9" x14ac:dyDescent="0.2">
      <c r="C1678" s="59"/>
      <c r="I1678" s="43" t="s">
        <v>2713</v>
      </c>
    </row>
    <row r="1679" spans="3:9" x14ac:dyDescent="0.2">
      <c r="C1679" s="59"/>
      <c r="I1679" s="43" t="s">
        <v>2713</v>
      </c>
    </row>
    <row r="1680" spans="3:9" x14ac:dyDescent="0.2">
      <c r="C1680" s="59"/>
      <c r="I1680" s="43" t="s">
        <v>2713</v>
      </c>
    </row>
    <row r="1681" spans="3:9" x14ac:dyDescent="0.2">
      <c r="C1681" s="59"/>
      <c r="I1681" s="43" t="s">
        <v>2713</v>
      </c>
    </row>
    <row r="1682" spans="3:9" x14ac:dyDescent="0.2">
      <c r="C1682" s="59"/>
      <c r="I1682" s="43" t="s">
        <v>2713</v>
      </c>
    </row>
    <row r="1683" spans="3:9" x14ac:dyDescent="0.2">
      <c r="C1683" s="59"/>
      <c r="I1683" s="43" t="s">
        <v>2713</v>
      </c>
    </row>
    <row r="1684" spans="3:9" x14ac:dyDescent="0.2">
      <c r="C1684" s="59"/>
      <c r="I1684" s="43" t="s">
        <v>2713</v>
      </c>
    </row>
    <row r="1685" spans="3:9" x14ac:dyDescent="0.2">
      <c r="C1685" s="59"/>
      <c r="I1685" s="43" t="s">
        <v>2713</v>
      </c>
    </row>
    <row r="1686" spans="3:9" x14ac:dyDescent="0.2">
      <c r="C1686" s="59"/>
      <c r="I1686" s="43" t="s">
        <v>2713</v>
      </c>
    </row>
    <row r="1687" spans="3:9" x14ac:dyDescent="0.2">
      <c r="C1687" s="59"/>
      <c r="I1687" s="43" t="s">
        <v>2713</v>
      </c>
    </row>
    <row r="1688" spans="3:9" x14ac:dyDescent="0.2">
      <c r="C1688" s="59"/>
      <c r="I1688" s="43" t="s">
        <v>2713</v>
      </c>
    </row>
    <row r="1689" spans="3:9" x14ac:dyDescent="0.2">
      <c r="C1689" s="59"/>
      <c r="I1689" s="43" t="s">
        <v>2713</v>
      </c>
    </row>
    <row r="1690" spans="3:9" x14ac:dyDescent="0.2">
      <c r="C1690" s="59"/>
      <c r="I1690" s="43" t="s">
        <v>2713</v>
      </c>
    </row>
    <row r="1691" spans="3:9" x14ac:dyDescent="0.2">
      <c r="C1691" s="59"/>
      <c r="I1691" s="43" t="s">
        <v>2713</v>
      </c>
    </row>
    <row r="1692" spans="3:9" x14ac:dyDescent="0.2">
      <c r="C1692" s="59"/>
      <c r="I1692" s="43" t="s">
        <v>2713</v>
      </c>
    </row>
    <row r="1693" spans="3:9" x14ac:dyDescent="0.2">
      <c r="C1693" s="59"/>
      <c r="I1693" s="43" t="s">
        <v>2713</v>
      </c>
    </row>
    <row r="1694" spans="3:9" x14ac:dyDescent="0.2">
      <c r="C1694" s="59"/>
      <c r="I1694" s="43" t="s">
        <v>2713</v>
      </c>
    </row>
    <row r="1695" spans="3:9" x14ac:dyDescent="0.2">
      <c r="C1695" s="59"/>
      <c r="I1695" s="43" t="s">
        <v>2713</v>
      </c>
    </row>
    <row r="1696" spans="3:9" x14ac:dyDescent="0.2">
      <c r="C1696" s="59"/>
      <c r="I1696" s="43" t="s">
        <v>2713</v>
      </c>
    </row>
    <row r="1697" spans="3:9" x14ac:dyDescent="0.2">
      <c r="C1697" s="59"/>
      <c r="I1697" s="43" t="s">
        <v>2713</v>
      </c>
    </row>
    <row r="1698" spans="3:9" x14ac:dyDescent="0.2">
      <c r="C1698" s="59"/>
      <c r="I1698" s="43" t="s">
        <v>2713</v>
      </c>
    </row>
    <row r="1699" spans="3:9" x14ac:dyDescent="0.2">
      <c r="C1699" s="59"/>
      <c r="I1699" s="43" t="s">
        <v>2713</v>
      </c>
    </row>
    <row r="1700" spans="3:9" x14ac:dyDescent="0.2">
      <c r="C1700" s="59"/>
      <c r="I1700" s="43" t="s">
        <v>2713</v>
      </c>
    </row>
    <row r="1701" spans="3:9" x14ac:dyDescent="0.2">
      <c r="C1701" s="59"/>
      <c r="I1701" s="43" t="s">
        <v>2713</v>
      </c>
    </row>
    <row r="1702" spans="3:9" x14ac:dyDescent="0.2">
      <c r="C1702" s="59"/>
      <c r="I1702" s="43" t="s">
        <v>2713</v>
      </c>
    </row>
    <row r="1703" spans="3:9" x14ac:dyDescent="0.2">
      <c r="C1703" s="59"/>
      <c r="I1703" s="43" t="s">
        <v>2713</v>
      </c>
    </row>
    <row r="1704" spans="3:9" x14ac:dyDescent="0.2">
      <c r="C1704" s="59"/>
      <c r="I1704" s="43" t="s">
        <v>2713</v>
      </c>
    </row>
    <row r="1705" spans="3:9" x14ac:dyDescent="0.2">
      <c r="C1705" s="59"/>
      <c r="I1705" s="43" t="s">
        <v>2713</v>
      </c>
    </row>
    <row r="1706" spans="3:9" x14ac:dyDescent="0.2">
      <c r="C1706" s="59"/>
      <c r="I1706" s="43" t="s">
        <v>2713</v>
      </c>
    </row>
    <row r="1707" spans="3:9" x14ac:dyDescent="0.2">
      <c r="C1707" s="59"/>
      <c r="I1707" s="43" t="s">
        <v>2713</v>
      </c>
    </row>
    <row r="1708" spans="3:9" x14ac:dyDescent="0.2">
      <c r="C1708" s="59"/>
      <c r="I1708" s="43" t="s">
        <v>2713</v>
      </c>
    </row>
    <row r="1709" spans="3:9" x14ac:dyDescent="0.2">
      <c r="C1709" s="59"/>
      <c r="I1709" s="43" t="s">
        <v>2713</v>
      </c>
    </row>
    <row r="1710" spans="3:9" x14ac:dyDescent="0.2">
      <c r="C1710" s="59"/>
      <c r="I1710" s="43" t="s">
        <v>2713</v>
      </c>
    </row>
    <row r="1711" spans="3:9" x14ac:dyDescent="0.2">
      <c r="C1711" s="59"/>
      <c r="I1711" s="43" t="s">
        <v>2713</v>
      </c>
    </row>
    <row r="1712" spans="3:9" x14ac:dyDescent="0.2">
      <c r="C1712" s="59"/>
      <c r="I1712" s="43" t="s">
        <v>2713</v>
      </c>
    </row>
    <row r="1713" spans="3:9" x14ac:dyDescent="0.2">
      <c r="C1713" s="59"/>
      <c r="I1713" s="43" t="s">
        <v>2713</v>
      </c>
    </row>
    <row r="1714" spans="3:9" x14ac:dyDescent="0.2">
      <c r="C1714" s="59"/>
      <c r="I1714" s="43" t="s">
        <v>2713</v>
      </c>
    </row>
    <row r="1715" spans="3:9" x14ac:dyDescent="0.2">
      <c r="C1715" s="59"/>
      <c r="I1715" s="43" t="s">
        <v>2713</v>
      </c>
    </row>
    <row r="1716" spans="3:9" x14ac:dyDescent="0.2">
      <c r="C1716" s="59"/>
      <c r="I1716" s="43" t="s">
        <v>2713</v>
      </c>
    </row>
    <row r="1717" spans="3:9" x14ac:dyDescent="0.2">
      <c r="C1717" s="59"/>
      <c r="I1717" s="43" t="s">
        <v>2713</v>
      </c>
    </row>
    <row r="1718" spans="3:9" x14ac:dyDescent="0.2">
      <c r="C1718" s="59"/>
      <c r="I1718" s="43" t="s">
        <v>2713</v>
      </c>
    </row>
    <row r="1719" spans="3:9" x14ac:dyDescent="0.2">
      <c r="C1719" s="59"/>
      <c r="I1719" s="43" t="s">
        <v>2713</v>
      </c>
    </row>
    <row r="1720" spans="3:9" x14ac:dyDescent="0.2">
      <c r="C1720" s="59"/>
      <c r="I1720" s="43" t="s">
        <v>2713</v>
      </c>
    </row>
    <row r="1721" spans="3:9" x14ac:dyDescent="0.2">
      <c r="C1721" s="59"/>
      <c r="I1721" s="43" t="s">
        <v>2713</v>
      </c>
    </row>
    <row r="1722" spans="3:9" x14ac:dyDescent="0.2">
      <c r="C1722" s="59"/>
      <c r="I1722" s="43" t="s">
        <v>2713</v>
      </c>
    </row>
    <row r="1723" spans="3:9" x14ac:dyDescent="0.2">
      <c r="C1723" s="59"/>
      <c r="I1723" s="43" t="s">
        <v>2713</v>
      </c>
    </row>
    <row r="1724" spans="3:9" x14ac:dyDescent="0.2">
      <c r="C1724" s="59"/>
      <c r="I1724" s="43" t="s">
        <v>2713</v>
      </c>
    </row>
    <row r="1725" spans="3:9" x14ac:dyDescent="0.2">
      <c r="C1725" s="59"/>
      <c r="I1725" s="43" t="s">
        <v>2713</v>
      </c>
    </row>
    <row r="1726" spans="3:9" x14ac:dyDescent="0.2">
      <c r="C1726" s="59"/>
      <c r="I1726" s="43" t="s">
        <v>2713</v>
      </c>
    </row>
    <row r="1727" spans="3:9" x14ac:dyDescent="0.2">
      <c r="C1727" s="59"/>
      <c r="I1727" s="43" t="s">
        <v>2713</v>
      </c>
    </row>
    <row r="1728" spans="3:9" x14ac:dyDescent="0.2">
      <c r="C1728" s="59"/>
      <c r="I1728" s="43" t="s">
        <v>2713</v>
      </c>
    </row>
    <row r="1729" spans="3:9" x14ac:dyDescent="0.2">
      <c r="C1729" s="59"/>
      <c r="I1729" s="43" t="s">
        <v>2713</v>
      </c>
    </row>
    <row r="1730" spans="3:9" x14ac:dyDescent="0.2">
      <c r="C1730" s="59"/>
      <c r="I1730" s="43" t="s">
        <v>2713</v>
      </c>
    </row>
    <row r="1731" spans="3:9" x14ac:dyDescent="0.2">
      <c r="C1731" s="59"/>
      <c r="I1731" s="43" t="s">
        <v>2713</v>
      </c>
    </row>
    <row r="1732" spans="3:9" x14ac:dyDescent="0.2">
      <c r="C1732" s="59"/>
      <c r="I1732" s="43" t="s">
        <v>2713</v>
      </c>
    </row>
    <row r="1733" spans="3:9" x14ac:dyDescent="0.2">
      <c r="C1733" s="59"/>
      <c r="I1733" s="43" t="s">
        <v>2713</v>
      </c>
    </row>
    <row r="1734" spans="3:9" x14ac:dyDescent="0.2">
      <c r="C1734" s="59"/>
      <c r="I1734" s="43" t="s">
        <v>2713</v>
      </c>
    </row>
    <row r="1735" spans="3:9" x14ac:dyDescent="0.2">
      <c r="C1735" s="59"/>
      <c r="I1735" s="43" t="s">
        <v>2713</v>
      </c>
    </row>
    <row r="1736" spans="3:9" x14ac:dyDescent="0.2">
      <c r="C1736" s="59"/>
      <c r="I1736" s="43" t="s">
        <v>2713</v>
      </c>
    </row>
    <row r="1737" spans="3:9" x14ac:dyDescent="0.2">
      <c r="C1737" s="59"/>
      <c r="I1737" s="43" t="s">
        <v>2713</v>
      </c>
    </row>
    <row r="1738" spans="3:9" x14ac:dyDescent="0.2">
      <c r="C1738" s="59"/>
      <c r="I1738" s="43" t="s">
        <v>2713</v>
      </c>
    </row>
    <row r="1739" spans="3:9" x14ac:dyDescent="0.2">
      <c r="C1739" s="59"/>
      <c r="I1739" s="43" t="s">
        <v>2713</v>
      </c>
    </row>
    <row r="1740" spans="3:9" x14ac:dyDescent="0.2">
      <c r="C1740" s="59"/>
      <c r="I1740" s="43" t="s">
        <v>2713</v>
      </c>
    </row>
    <row r="1741" spans="3:9" x14ac:dyDescent="0.2">
      <c r="C1741" s="59"/>
      <c r="I1741" s="43" t="s">
        <v>2713</v>
      </c>
    </row>
    <row r="1742" spans="3:9" x14ac:dyDescent="0.2">
      <c r="C1742" s="59"/>
      <c r="I1742" s="43" t="s">
        <v>2713</v>
      </c>
    </row>
    <row r="1743" spans="3:9" x14ac:dyDescent="0.2">
      <c r="C1743" s="59"/>
      <c r="I1743" s="43" t="s">
        <v>2713</v>
      </c>
    </row>
    <row r="1744" spans="3:9" x14ac:dyDescent="0.2">
      <c r="C1744" s="59"/>
      <c r="I1744" s="43" t="s">
        <v>2713</v>
      </c>
    </row>
    <row r="1745" spans="3:9" x14ac:dyDescent="0.2">
      <c r="C1745" s="59"/>
      <c r="I1745" s="43" t="s">
        <v>2713</v>
      </c>
    </row>
    <row r="1746" spans="3:9" x14ac:dyDescent="0.2">
      <c r="C1746" s="59"/>
      <c r="I1746" s="43" t="s">
        <v>2713</v>
      </c>
    </row>
    <row r="1747" spans="3:9" x14ac:dyDescent="0.2">
      <c r="C1747" s="59"/>
      <c r="I1747" s="43" t="s">
        <v>2713</v>
      </c>
    </row>
    <row r="1748" spans="3:9" x14ac:dyDescent="0.2">
      <c r="C1748" s="59"/>
      <c r="I1748" s="43" t="s">
        <v>2713</v>
      </c>
    </row>
    <row r="1749" spans="3:9" x14ac:dyDescent="0.2">
      <c r="C1749" s="59"/>
      <c r="I1749" s="43" t="s">
        <v>2713</v>
      </c>
    </row>
    <row r="1750" spans="3:9" x14ac:dyDescent="0.2">
      <c r="C1750" s="59"/>
      <c r="I1750" s="43" t="s">
        <v>2713</v>
      </c>
    </row>
    <row r="1751" spans="3:9" x14ac:dyDescent="0.2">
      <c r="C1751" s="59"/>
      <c r="I1751" s="43" t="s">
        <v>2713</v>
      </c>
    </row>
    <row r="1752" spans="3:9" x14ac:dyDescent="0.2">
      <c r="C1752" s="59"/>
      <c r="I1752" s="43" t="s">
        <v>2713</v>
      </c>
    </row>
    <row r="1753" spans="3:9" x14ac:dyDescent="0.2">
      <c r="C1753" s="59"/>
      <c r="I1753" s="43" t="s">
        <v>2713</v>
      </c>
    </row>
    <row r="1754" spans="3:9" x14ac:dyDescent="0.2">
      <c r="C1754" s="59"/>
      <c r="I1754" s="43" t="s">
        <v>2713</v>
      </c>
    </row>
    <row r="1755" spans="3:9" x14ac:dyDescent="0.2">
      <c r="C1755" s="59"/>
      <c r="I1755" s="43" t="s">
        <v>2713</v>
      </c>
    </row>
    <row r="1756" spans="3:9" x14ac:dyDescent="0.2">
      <c r="C1756" s="59"/>
      <c r="I1756" s="43" t="s">
        <v>2713</v>
      </c>
    </row>
    <row r="1757" spans="3:9" x14ac:dyDescent="0.2">
      <c r="C1757" s="59"/>
      <c r="I1757" s="43" t="s">
        <v>2713</v>
      </c>
    </row>
    <row r="1758" spans="3:9" x14ac:dyDescent="0.2">
      <c r="C1758" s="59"/>
      <c r="I1758" s="43" t="s">
        <v>2713</v>
      </c>
    </row>
    <row r="1759" spans="3:9" x14ac:dyDescent="0.2">
      <c r="C1759" s="59"/>
      <c r="I1759" s="43" t="s">
        <v>2713</v>
      </c>
    </row>
    <row r="1760" spans="3:9" x14ac:dyDescent="0.2">
      <c r="C1760" s="59"/>
      <c r="I1760" s="43" t="s">
        <v>2713</v>
      </c>
    </row>
    <row r="1761" spans="3:9" x14ac:dyDescent="0.2">
      <c r="C1761" s="59"/>
      <c r="I1761" s="43" t="s">
        <v>2713</v>
      </c>
    </row>
    <row r="1762" spans="3:9" x14ac:dyDescent="0.2">
      <c r="C1762" s="59"/>
      <c r="I1762" s="43" t="s">
        <v>2713</v>
      </c>
    </row>
    <row r="1763" spans="3:9" x14ac:dyDescent="0.2">
      <c r="C1763" s="59"/>
      <c r="I1763" s="43" t="s">
        <v>2713</v>
      </c>
    </row>
    <row r="1764" spans="3:9" x14ac:dyDescent="0.2">
      <c r="C1764" s="59"/>
      <c r="I1764" s="43" t="s">
        <v>2713</v>
      </c>
    </row>
    <row r="1765" spans="3:9" x14ac:dyDescent="0.2">
      <c r="C1765" s="59"/>
      <c r="I1765" s="43" t="s">
        <v>2713</v>
      </c>
    </row>
    <row r="1766" spans="3:9" x14ac:dyDescent="0.2">
      <c r="C1766" s="59"/>
      <c r="I1766" s="43" t="s">
        <v>2713</v>
      </c>
    </row>
    <row r="1767" spans="3:9" x14ac:dyDescent="0.2">
      <c r="C1767" s="59"/>
      <c r="I1767" s="43" t="s">
        <v>2713</v>
      </c>
    </row>
    <row r="1768" spans="3:9" x14ac:dyDescent="0.2">
      <c r="C1768" s="59"/>
      <c r="I1768" s="43" t="s">
        <v>2713</v>
      </c>
    </row>
    <row r="1769" spans="3:9" x14ac:dyDescent="0.2">
      <c r="C1769" s="59"/>
      <c r="I1769" s="43" t="s">
        <v>2713</v>
      </c>
    </row>
    <row r="1770" spans="3:9" x14ac:dyDescent="0.2">
      <c r="C1770" s="59"/>
      <c r="I1770" s="43" t="s">
        <v>2713</v>
      </c>
    </row>
    <row r="1771" spans="3:9" x14ac:dyDescent="0.2">
      <c r="C1771" s="59"/>
      <c r="I1771" s="43" t="s">
        <v>2713</v>
      </c>
    </row>
    <row r="1772" spans="3:9" x14ac:dyDescent="0.2">
      <c r="C1772" s="59"/>
      <c r="I1772" s="43" t="s">
        <v>2713</v>
      </c>
    </row>
    <row r="1773" spans="3:9" x14ac:dyDescent="0.2">
      <c r="C1773" s="59"/>
      <c r="I1773" s="43" t="s">
        <v>2713</v>
      </c>
    </row>
    <row r="1774" spans="3:9" x14ac:dyDescent="0.2">
      <c r="C1774" s="59"/>
      <c r="I1774" s="43" t="s">
        <v>2713</v>
      </c>
    </row>
    <row r="1775" spans="3:9" x14ac:dyDescent="0.2">
      <c r="C1775" s="59"/>
      <c r="I1775" s="43" t="s">
        <v>2713</v>
      </c>
    </row>
    <row r="1776" spans="3:9" x14ac:dyDescent="0.2">
      <c r="C1776" s="59"/>
      <c r="I1776" s="43" t="s">
        <v>2713</v>
      </c>
    </row>
    <row r="1777" spans="3:9" x14ac:dyDescent="0.2">
      <c r="C1777" s="59"/>
      <c r="I1777" s="43" t="s">
        <v>2713</v>
      </c>
    </row>
    <row r="1778" spans="3:9" x14ac:dyDescent="0.2">
      <c r="C1778" s="59"/>
      <c r="I1778" s="43" t="s">
        <v>2713</v>
      </c>
    </row>
    <row r="1779" spans="3:9" x14ac:dyDescent="0.2">
      <c r="C1779" s="59"/>
      <c r="I1779" s="43" t="s">
        <v>2713</v>
      </c>
    </row>
    <row r="1780" spans="3:9" x14ac:dyDescent="0.2">
      <c r="C1780" s="59"/>
      <c r="I1780" s="43" t="s">
        <v>2713</v>
      </c>
    </row>
    <row r="1781" spans="3:9" x14ac:dyDescent="0.2">
      <c r="C1781" s="59"/>
      <c r="I1781" s="43" t="s">
        <v>2713</v>
      </c>
    </row>
    <row r="1782" spans="3:9" x14ac:dyDescent="0.2">
      <c r="C1782" s="59"/>
      <c r="I1782" s="43" t="s">
        <v>2713</v>
      </c>
    </row>
    <row r="1783" spans="3:9" x14ac:dyDescent="0.2">
      <c r="C1783" s="59"/>
      <c r="I1783" s="43" t="s">
        <v>2713</v>
      </c>
    </row>
    <row r="1784" spans="3:9" x14ac:dyDescent="0.2">
      <c r="C1784" s="59"/>
      <c r="I1784" s="43" t="s">
        <v>2713</v>
      </c>
    </row>
    <row r="1785" spans="3:9" x14ac:dyDescent="0.2">
      <c r="C1785" s="59"/>
      <c r="I1785" s="43" t="s">
        <v>2713</v>
      </c>
    </row>
    <row r="1786" spans="3:9" x14ac:dyDescent="0.2">
      <c r="C1786" s="59"/>
      <c r="I1786" s="43" t="s">
        <v>2713</v>
      </c>
    </row>
    <row r="1787" spans="3:9" x14ac:dyDescent="0.2">
      <c r="C1787" s="59"/>
      <c r="I1787" s="43" t="s">
        <v>2713</v>
      </c>
    </row>
    <row r="1788" spans="3:9" x14ac:dyDescent="0.2">
      <c r="C1788" s="59"/>
      <c r="I1788" s="43" t="s">
        <v>2713</v>
      </c>
    </row>
    <row r="1789" spans="3:9" x14ac:dyDescent="0.2">
      <c r="C1789" s="59"/>
      <c r="I1789" s="43" t="s">
        <v>2713</v>
      </c>
    </row>
    <row r="1790" spans="3:9" x14ac:dyDescent="0.2">
      <c r="C1790" s="59"/>
      <c r="I1790" s="43" t="s">
        <v>2713</v>
      </c>
    </row>
    <row r="1791" spans="3:9" x14ac:dyDescent="0.2">
      <c r="C1791" s="59"/>
      <c r="I1791" s="43" t="s">
        <v>2713</v>
      </c>
    </row>
    <row r="1792" spans="3:9" x14ac:dyDescent="0.2">
      <c r="C1792" s="59"/>
      <c r="I1792" s="43" t="s">
        <v>2713</v>
      </c>
    </row>
    <row r="1793" spans="3:9" x14ac:dyDescent="0.2">
      <c r="C1793" s="59"/>
      <c r="I1793" s="43" t="s">
        <v>2713</v>
      </c>
    </row>
    <row r="1794" spans="3:9" x14ac:dyDescent="0.2">
      <c r="C1794" s="59"/>
      <c r="I1794" s="43" t="s">
        <v>2713</v>
      </c>
    </row>
    <row r="1795" spans="3:9" x14ac:dyDescent="0.2">
      <c r="C1795" s="59"/>
      <c r="I1795" s="43" t="s">
        <v>2713</v>
      </c>
    </row>
    <row r="1796" spans="3:9" x14ac:dyDescent="0.2">
      <c r="C1796" s="59"/>
      <c r="I1796" s="43" t="s">
        <v>2713</v>
      </c>
    </row>
    <row r="1797" spans="3:9" x14ac:dyDescent="0.2">
      <c r="C1797" s="59"/>
      <c r="I1797" s="43" t="s">
        <v>2713</v>
      </c>
    </row>
    <row r="1798" spans="3:9" x14ac:dyDescent="0.2">
      <c r="C1798" s="59"/>
      <c r="I1798" s="43" t="s">
        <v>2713</v>
      </c>
    </row>
    <row r="1799" spans="3:9" x14ac:dyDescent="0.2">
      <c r="C1799" s="59"/>
      <c r="I1799" s="43" t="s">
        <v>2713</v>
      </c>
    </row>
    <row r="1800" spans="3:9" x14ac:dyDescent="0.2">
      <c r="C1800" s="59"/>
      <c r="I1800" s="43" t="s">
        <v>2713</v>
      </c>
    </row>
    <row r="1801" spans="3:9" x14ac:dyDescent="0.2">
      <c r="C1801" s="59"/>
      <c r="I1801" s="43" t="s">
        <v>2713</v>
      </c>
    </row>
    <row r="1802" spans="3:9" x14ac:dyDescent="0.2">
      <c r="C1802" s="59"/>
      <c r="I1802" s="43" t="s">
        <v>2713</v>
      </c>
    </row>
    <row r="1803" spans="3:9" x14ac:dyDescent="0.2">
      <c r="C1803" s="59"/>
      <c r="I1803" s="43" t="s">
        <v>2713</v>
      </c>
    </row>
    <row r="1804" spans="3:9" x14ac:dyDescent="0.2">
      <c r="C1804" s="59"/>
      <c r="I1804" s="43" t="s">
        <v>2713</v>
      </c>
    </row>
    <row r="1805" spans="3:9" x14ac:dyDescent="0.2">
      <c r="C1805" s="59"/>
      <c r="I1805" s="43" t="s">
        <v>2713</v>
      </c>
    </row>
    <row r="1806" spans="3:9" x14ac:dyDescent="0.2">
      <c r="C1806" s="59"/>
      <c r="I1806" s="43" t="s">
        <v>2713</v>
      </c>
    </row>
    <row r="1807" spans="3:9" x14ac:dyDescent="0.2">
      <c r="C1807" s="59"/>
      <c r="I1807" s="43" t="s">
        <v>2713</v>
      </c>
    </row>
    <row r="1808" spans="3:9" x14ac:dyDescent="0.2">
      <c r="C1808" s="59"/>
      <c r="I1808" s="43" t="s">
        <v>2713</v>
      </c>
    </row>
    <row r="1809" spans="3:9" x14ac:dyDescent="0.2">
      <c r="C1809" s="59"/>
      <c r="I1809" s="43" t="s">
        <v>2713</v>
      </c>
    </row>
    <row r="1810" spans="3:9" x14ac:dyDescent="0.2">
      <c r="C1810" s="59"/>
      <c r="I1810" s="43" t="s">
        <v>2713</v>
      </c>
    </row>
    <row r="1811" spans="3:9" x14ac:dyDescent="0.2">
      <c r="C1811" s="59"/>
      <c r="I1811" s="43" t="s">
        <v>2713</v>
      </c>
    </row>
    <row r="1812" spans="3:9" x14ac:dyDescent="0.2">
      <c r="C1812" s="59"/>
      <c r="I1812" s="43" t="s">
        <v>2713</v>
      </c>
    </row>
    <row r="1813" spans="3:9" x14ac:dyDescent="0.2">
      <c r="C1813" s="59"/>
      <c r="I1813" s="43" t="s">
        <v>2713</v>
      </c>
    </row>
    <row r="1814" spans="3:9" x14ac:dyDescent="0.2">
      <c r="C1814" s="59"/>
      <c r="I1814" s="43" t="s">
        <v>2713</v>
      </c>
    </row>
    <row r="1815" spans="3:9" x14ac:dyDescent="0.2">
      <c r="C1815" s="59"/>
      <c r="I1815" s="43" t="s">
        <v>2713</v>
      </c>
    </row>
    <row r="1816" spans="3:9" x14ac:dyDescent="0.2">
      <c r="C1816" s="59"/>
      <c r="I1816" s="43" t="s">
        <v>2713</v>
      </c>
    </row>
    <row r="1817" spans="3:9" x14ac:dyDescent="0.2">
      <c r="C1817" s="59"/>
      <c r="I1817" s="43" t="s">
        <v>2713</v>
      </c>
    </row>
    <row r="1818" spans="3:9" x14ac:dyDescent="0.2">
      <c r="C1818" s="59"/>
      <c r="I1818" s="43" t="s">
        <v>2713</v>
      </c>
    </row>
    <row r="1819" spans="3:9" x14ac:dyDescent="0.2">
      <c r="C1819" s="59"/>
      <c r="I1819" s="43" t="s">
        <v>2713</v>
      </c>
    </row>
    <row r="1820" spans="3:9" x14ac:dyDescent="0.2">
      <c r="C1820" s="59"/>
      <c r="I1820" s="43" t="s">
        <v>2713</v>
      </c>
    </row>
    <row r="1821" spans="3:9" x14ac:dyDescent="0.2">
      <c r="C1821" s="59"/>
      <c r="I1821" s="43" t="s">
        <v>2713</v>
      </c>
    </row>
    <row r="1822" spans="3:9" x14ac:dyDescent="0.2">
      <c r="C1822" s="59"/>
      <c r="I1822" s="43" t="s">
        <v>2713</v>
      </c>
    </row>
    <row r="1823" spans="3:9" x14ac:dyDescent="0.2">
      <c r="C1823" s="59"/>
      <c r="I1823" s="43" t="s">
        <v>2713</v>
      </c>
    </row>
    <row r="1824" spans="3:9" x14ac:dyDescent="0.2">
      <c r="C1824" s="59"/>
      <c r="I1824" s="43" t="s">
        <v>2713</v>
      </c>
    </row>
    <row r="1825" spans="3:9" x14ac:dyDescent="0.2">
      <c r="C1825" s="59"/>
      <c r="I1825" s="43" t="s">
        <v>2713</v>
      </c>
    </row>
    <row r="1826" spans="3:9" x14ac:dyDescent="0.2">
      <c r="C1826" s="59"/>
      <c r="I1826" s="43" t="s">
        <v>2713</v>
      </c>
    </row>
    <row r="1827" spans="3:9" x14ac:dyDescent="0.2">
      <c r="C1827" s="59"/>
      <c r="I1827" s="43" t="s">
        <v>2713</v>
      </c>
    </row>
    <row r="1828" spans="3:9" x14ac:dyDescent="0.2">
      <c r="C1828" s="59"/>
      <c r="I1828" s="43" t="s">
        <v>2713</v>
      </c>
    </row>
    <row r="1829" spans="3:9" x14ac:dyDescent="0.2">
      <c r="C1829" s="59"/>
      <c r="I1829" s="43" t="s">
        <v>2713</v>
      </c>
    </row>
    <row r="1830" spans="3:9" x14ac:dyDescent="0.2">
      <c r="C1830" s="59"/>
      <c r="I1830" s="43" t="s">
        <v>2713</v>
      </c>
    </row>
    <row r="1831" spans="3:9" x14ac:dyDescent="0.2">
      <c r="C1831" s="59"/>
      <c r="I1831" s="43" t="s">
        <v>2713</v>
      </c>
    </row>
    <row r="1832" spans="3:9" x14ac:dyDescent="0.2">
      <c r="C1832" s="59"/>
      <c r="I1832" s="43" t="s">
        <v>2713</v>
      </c>
    </row>
    <row r="1833" spans="3:9" x14ac:dyDescent="0.2">
      <c r="C1833" s="59"/>
      <c r="I1833" s="43" t="s">
        <v>2713</v>
      </c>
    </row>
    <row r="1834" spans="3:9" x14ac:dyDescent="0.2">
      <c r="C1834" s="59"/>
      <c r="I1834" s="43" t="s">
        <v>2713</v>
      </c>
    </row>
    <row r="1835" spans="3:9" x14ac:dyDescent="0.2">
      <c r="C1835" s="59"/>
      <c r="I1835" s="43" t="s">
        <v>2713</v>
      </c>
    </row>
    <row r="1836" spans="3:9" x14ac:dyDescent="0.2">
      <c r="C1836" s="59"/>
      <c r="I1836" s="43" t="s">
        <v>2713</v>
      </c>
    </row>
    <row r="1837" spans="3:9" x14ac:dyDescent="0.2">
      <c r="C1837" s="59"/>
      <c r="I1837" s="43" t="s">
        <v>2713</v>
      </c>
    </row>
    <row r="1838" spans="3:9" x14ac:dyDescent="0.2">
      <c r="C1838" s="59"/>
      <c r="I1838" s="43" t="s">
        <v>2713</v>
      </c>
    </row>
    <row r="1839" spans="3:9" x14ac:dyDescent="0.2">
      <c r="C1839" s="59"/>
      <c r="I1839" s="43" t="s">
        <v>2713</v>
      </c>
    </row>
    <row r="1840" spans="3:9" x14ac:dyDescent="0.2">
      <c r="C1840" s="59"/>
      <c r="I1840" s="43" t="s">
        <v>2713</v>
      </c>
    </row>
    <row r="1841" spans="3:9" x14ac:dyDescent="0.2">
      <c r="C1841" s="59"/>
      <c r="I1841" s="43" t="s">
        <v>2713</v>
      </c>
    </row>
    <row r="1842" spans="3:9" x14ac:dyDescent="0.2">
      <c r="C1842" s="59"/>
      <c r="I1842" s="43" t="s">
        <v>2713</v>
      </c>
    </row>
    <row r="1843" spans="3:9" x14ac:dyDescent="0.2">
      <c r="C1843" s="59"/>
      <c r="I1843" s="43" t="s">
        <v>2713</v>
      </c>
    </row>
    <row r="1844" spans="3:9" x14ac:dyDescent="0.2">
      <c r="C1844" s="59"/>
      <c r="I1844" s="43" t="s">
        <v>2713</v>
      </c>
    </row>
    <row r="1845" spans="3:9" x14ac:dyDescent="0.2">
      <c r="C1845" s="59"/>
      <c r="I1845" s="43" t="s">
        <v>2713</v>
      </c>
    </row>
    <row r="1846" spans="3:9" x14ac:dyDescent="0.2">
      <c r="C1846" s="59"/>
      <c r="I1846" s="43" t="s">
        <v>2713</v>
      </c>
    </row>
    <row r="1847" spans="3:9" x14ac:dyDescent="0.2">
      <c r="C1847" s="59"/>
      <c r="I1847" s="43" t="s">
        <v>2713</v>
      </c>
    </row>
    <row r="1848" spans="3:9" x14ac:dyDescent="0.2">
      <c r="C1848" s="59"/>
      <c r="I1848" s="43" t="s">
        <v>2713</v>
      </c>
    </row>
    <row r="1849" spans="3:9" x14ac:dyDescent="0.2">
      <c r="C1849" s="59"/>
      <c r="I1849" s="43" t="s">
        <v>2713</v>
      </c>
    </row>
    <row r="1850" spans="3:9" x14ac:dyDescent="0.2">
      <c r="C1850" s="59"/>
      <c r="I1850" s="43" t="s">
        <v>2713</v>
      </c>
    </row>
    <row r="1851" spans="3:9" x14ac:dyDescent="0.2">
      <c r="C1851" s="59"/>
      <c r="I1851" s="43" t="s">
        <v>2713</v>
      </c>
    </row>
    <row r="1852" spans="3:9" x14ac:dyDescent="0.2">
      <c r="C1852" s="59"/>
      <c r="I1852" s="43" t="s">
        <v>2713</v>
      </c>
    </row>
    <row r="1853" spans="3:9" x14ac:dyDescent="0.2">
      <c r="C1853" s="59"/>
      <c r="I1853" s="43" t="s">
        <v>2713</v>
      </c>
    </row>
    <row r="1854" spans="3:9" x14ac:dyDescent="0.2">
      <c r="C1854" s="59"/>
      <c r="I1854" s="43" t="s">
        <v>2713</v>
      </c>
    </row>
    <row r="1855" spans="3:9" x14ac:dyDescent="0.2">
      <c r="C1855" s="59"/>
      <c r="I1855" s="43" t="s">
        <v>2713</v>
      </c>
    </row>
    <row r="1856" spans="3:9" x14ac:dyDescent="0.2">
      <c r="C1856" s="59"/>
      <c r="I1856" s="43" t="s">
        <v>2713</v>
      </c>
    </row>
    <row r="1857" spans="3:9" x14ac:dyDescent="0.2">
      <c r="C1857" s="59"/>
      <c r="I1857" s="43" t="s">
        <v>2713</v>
      </c>
    </row>
    <row r="1858" spans="3:9" x14ac:dyDescent="0.2">
      <c r="C1858" s="59"/>
      <c r="I1858" s="43" t="s">
        <v>2713</v>
      </c>
    </row>
    <row r="1859" spans="3:9" x14ac:dyDescent="0.2">
      <c r="C1859" s="59"/>
      <c r="I1859" s="43" t="s">
        <v>2713</v>
      </c>
    </row>
    <row r="1860" spans="3:9" x14ac:dyDescent="0.2">
      <c r="C1860" s="59"/>
      <c r="I1860" s="43" t="s">
        <v>2713</v>
      </c>
    </row>
    <row r="1861" spans="3:9" x14ac:dyDescent="0.2">
      <c r="C1861" s="59"/>
      <c r="I1861" s="43" t="s">
        <v>2713</v>
      </c>
    </row>
    <row r="1862" spans="3:9" x14ac:dyDescent="0.2">
      <c r="C1862" s="59"/>
      <c r="I1862" s="43" t="s">
        <v>2713</v>
      </c>
    </row>
    <row r="1863" spans="3:9" x14ac:dyDescent="0.2">
      <c r="C1863" s="59"/>
      <c r="I1863" s="43" t="s">
        <v>2713</v>
      </c>
    </row>
    <row r="1864" spans="3:9" x14ac:dyDescent="0.2">
      <c r="C1864" s="59"/>
      <c r="I1864" s="43" t="s">
        <v>2713</v>
      </c>
    </row>
    <row r="1865" spans="3:9" x14ac:dyDescent="0.2">
      <c r="C1865" s="59"/>
      <c r="I1865" s="43" t="s">
        <v>2713</v>
      </c>
    </row>
    <row r="1866" spans="3:9" x14ac:dyDescent="0.2">
      <c r="C1866" s="59"/>
      <c r="I1866" s="43" t="s">
        <v>2713</v>
      </c>
    </row>
    <row r="1867" spans="3:9" x14ac:dyDescent="0.2">
      <c r="C1867" s="59"/>
      <c r="I1867" s="43" t="s">
        <v>2713</v>
      </c>
    </row>
    <row r="1868" spans="3:9" x14ac:dyDescent="0.2">
      <c r="C1868" s="59"/>
      <c r="I1868" s="43" t="s">
        <v>2713</v>
      </c>
    </row>
    <row r="1869" spans="3:9" x14ac:dyDescent="0.2">
      <c r="C1869" s="59"/>
      <c r="I1869" s="43" t="s">
        <v>2713</v>
      </c>
    </row>
    <row r="1870" spans="3:9" x14ac:dyDescent="0.2">
      <c r="C1870" s="59"/>
      <c r="I1870" s="43" t="s">
        <v>2713</v>
      </c>
    </row>
    <row r="1871" spans="3:9" x14ac:dyDescent="0.2">
      <c r="C1871" s="59"/>
      <c r="I1871" s="43" t="s">
        <v>2713</v>
      </c>
    </row>
    <row r="1872" spans="3:9" x14ac:dyDescent="0.2">
      <c r="C1872" s="59"/>
      <c r="I1872" s="43" t="s">
        <v>2713</v>
      </c>
    </row>
    <row r="1873" spans="3:9" x14ac:dyDescent="0.2">
      <c r="C1873" s="59"/>
      <c r="I1873" s="43" t="s">
        <v>2713</v>
      </c>
    </row>
    <row r="1874" spans="3:9" x14ac:dyDescent="0.2">
      <c r="C1874" s="59"/>
      <c r="I1874" s="43" t="s">
        <v>2713</v>
      </c>
    </row>
    <row r="1875" spans="3:9" x14ac:dyDescent="0.2">
      <c r="C1875" s="59"/>
      <c r="I1875" s="43" t="s">
        <v>2713</v>
      </c>
    </row>
    <row r="1876" spans="3:9" x14ac:dyDescent="0.2">
      <c r="C1876" s="59"/>
      <c r="I1876" s="43" t="s">
        <v>2713</v>
      </c>
    </row>
    <row r="1877" spans="3:9" x14ac:dyDescent="0.2">
      <c r="C1877" s="59"/>
      <c r="I1877" s="43" t="s">
        <v>2713</v>
      </c>
    </row>
    <row r="1878" spans="3:9" x14ac:dyDescent="0.2">
      <c r="C1878" s="59"/>
      <c r="I1878" s="43" t="s">
        <v>2713</v>
      </c>
    </row>
    <row r="1879" spans="3:9" x14ac:dyDescent="0.2">
      <c r="C1879" s="59"/>
      <c r="I1879" s="43" t="s">
        <v>2713</v>
      </c>
    </row>
    <row r="1880" spans="3:9" x14ac:dyDescent="0.2">
      <c r="C1880" s="59"/>
      <c r="I1880" s="43" t="s">
        <v>2713</v>
      </c>
    </row>
    <row r="1881" spans="3:9" x14ac:dyDescent="0.2">
      <c r="C1881" s="59"/>
      <c r="I1881" s="43" t="s">
        <v>2713</v>
      </c>
    </row>
    <row r="1882" spans="3:9" x14ac:dyDescent="0.2">
      <c r="C1882" s="59"/>
      <c r="I1882" s="43" t="s">
        <v>2713</v>
      </c>
    </row>
    <row r="1883" spans="3:9" x14ac:dyDescent="0.2">
      <c r="C1883" s="59"/>
      <c r="I1883" s="43" t="s">
        <v>2713</v>
      </c>
    </row>
    <row r="1884" spans="3:9" x14ac:dyDescent="0.2">
      <c r="C1884" s="59"/>
      <c r="I1884" s="43" t="s">
        <v>2713</v>
      </c>
    </row>
    <row r="1885" spans="3:9" x14ac:dyDescent="0.2">
      <c r="C1885" s="59"/>
      <c r="I1885" s="43" t="s">
        <v>2713</v>
      </c>
    </row>
    <row r="1886" spans="3:9" x14ac:dyDescent="0.2">
      <c r="C1886" s="59"/>
      <c r="I1886" s="43" t="s">
        <v>2713</v>
      </c>
    </row>
    <row r="1887" spans="3:9" x14ac:dyDescent="0.2">
      <c r="C1887" s="59"/>
      <c r="I1887" s="43" t="s">
        <v>2713</v>
      </c>
    </row>
    <row r="1888" spans="3:9" x14ac:dyDescent="0.2">
      <c r="C1888" s="59"/>
      <c r="I1888" s="43" t="s">
        <v>2713</v>
      </c>
    </row>
    <row r="1889" spans="3:9" x14ac:dyDescent="0.2">
      <c r="C1889" s="59"/>
      <c r="I1889" s="43" t="s">
        <v>2713</v>
      </c>
    </row>
    <row r="1890" spans="3:9" x14ac:dyDescent="0.2">
      <c r="C1890" s="59"/>
      <c r="I1890" s="43" t="s">
        <v>2713</v>
      </c>
    </row>
    <row r="1891" spans="3:9" x14ac:dyDescent="0.2">
      <c r="C1891" s="59"/>
      <c r="I1891" s="43" t="s">
        <v>2713</v>
      </c>
    </row>
    <row r="1892" spans="3:9" x14ac:dyDescent="0.2">
      <c r="C1892" s="59"/>
      <c r="I1892" s="43" t="s">
        <v>2713</v>
      </c>
    </row>
    <row r="1893" spans="3:9" x14ac:dyDescent="0.2">
      <c r="C1893" s="59"/>
      <c r="I1893" s="43" t="s">
        <v>2713</v>
      </c>
    </row>
    <row r="1894" spans="3:9" x14ac:dyDescent="0.2">
      <c r="C1894" s="59"/>
      <c r="I1894" s="43" t="s">
        <v>2713</v>
      </c>
    </row>
    <row r="1895" spans="3:9" x14ac:dyDescent="0.2">
      <c r="C1895" s="59"/>
      <c r="I1895" s="43" t="s">
        <v>2713</v>
      </c>
    </row>
    <row r="1896" spans="3:9" x14ac:dyDescent="0.2">
      <c r="C1896" s="59"/>
      <c r="I1896" s="43" t="s">
        <v>2713</v>
      </c>
    </row>
    <row r="1897" spans="3:9" x14ac:dyDescent="0.2">
      <c r="C1897" s="59"/>
      <c r="I1897" s="43" t="s">
        <v>2713</v>
      </c>
    </row>
    <row r="1898" spans="3:9" x14ac:dyDescent="0.2">
      <c r="C1898" s="59"/>
      <c r="I1898" s="43" t="s">
        <v>2713</v>
      </c>
    </row>
    <row r="1899" spans="3:9" x14ac:dyDescent="0.2">
      <c r="C1899" s="59"/>
      <c r="I1899" s="43" t="s">
        <v>2713</v>
      </c>
    </row>
    <row r="1900" spans="3:9" x14ac:dyDescent="0.2">
      <c r="C1900" s="59"/>
      <c r="I1900" s="43" t="s">
        <v>2713</v>
      </c>
    </row>
    <row r="1901" spans="3:9" x14ac:dyDescent="0.2">
      <c r="C1901" s="59"/>
      <c r="I1901" s="43" t="s">
        <v>2713</v>
      </c>
    </row>
    <row r="1902" spans="3:9" x14ac:dyDescent="0.2">
      <c r="C1902" s="59"/>
      <c r="I1902" s="43" t="s">
        <v>2713</v>
      </c>
    </row>
    <row r="1903" spans="3:9" x14ac:dyDescent="0.2">
      <c r="C1903" s="59"/>
      <c r="I1903" s="43" t="s">
        <v>2713</v>
      </c>
    </row>
    <row r="1904" spans="3:9" x14ac:dyDescent="0.2">
      <c r="C1904" s="59"/>
      <c r="I1904" s="43" t="s">
        <v>2713</v>
      </c>
    </row>
    <row r="1905" spans="3:9" x14ac:dyDescent="0.2">
      <c r="C1905" s="59"/>
      <c r="I1905" s="43" t="s">
        <v>2713</v>
      </c>
    </row>
    <row r="1906" spans="3:9" x14ac:dyDescent="0.2">
      <c r="C1906" s="59"/>
      <c r="I1906" s="43" t="s">
        <v>2713</v>
      </c>
    </row>
    <row r="1907" spans="3:9" x14ac:dyDescent="0.2">
      <c r="C1907" s="59"/>
      <c r="I1907" s="43" t="s">
        <v>2713</v>
      </c>
    </row>
    <row r="1908" spans="3:9" x14ac:dyDescent="0.2">
      <c r="C1908" s="59"/>
      <c r="I1908" s="43" t="s">
        <v>2713</v>
      </c>
    </row>
    <row r="1909" spans="3:9" x14ac:dyDescent="0.2">
      <c r="C1909" s="59"/>
      <c r="I1909" s="43" t="s">
        <v>2713</v>
      </c>
    </row>
    <row r="1910" spans="3:9" x14ac:dyDescent="0.2">
      <c r="C1910" s="59"/>
      <c r="I1910" s="43" t="s">
        <v>2713</v>
      </c>
    </row>
    <row r="1911" spans="3:9" x14ac:dyDescent="0.2">
      <c r="C1911" s="59"/>
      <c r="I1911" s="43" t="s">
        <v>2713</v>
      </c>
    </row>
    <row r="1912" spans="3:9" x14ac:dyDescent="0.2">
      <c r="C1912" s="59"/>
      <c r="I1912" s="43" t="s">
        <v>2713</v>
      </c>
    </row>
    <row r="1913" spans="3:9" x14ac:dyDescent="0.2">
      <c r="C1913" s="59"/>
      <c r="I1913" s="43" t="s">
        <v>2713</v>
      </c>
    </row>
    <row r="1914" spans="3:9" x14ac:dyDescent="0.2">
      <c r="C1914" s="59"/>
      <c r="I1914" s="43" t="s">
        <v>2713</v>
      </c>
    </row>
    <row r="1915" spans="3:9" x14ac:dyDescent="0.2">
      <c r="C1915" s="59"/>
      <c r="I1915" s="43" t="s">
        <v>2713</v>
      </c>
    </row>
    <row r="1916" spans="3:9" x14ac:dyDescent="0.2">
      <c r="C1916" s="59"/>
      <c r="I1916" s="43" t="s">
        <v>2713</v>
      </c>
    </row>
    <row r="1917" spans="3:9" x14ac:dyDescent="0.2">
      <c r="C1917" s="59"/>
      <c r="I1917" s="43" t="s">
        <v>2713</v>
      </c>
    </row>
    <row r="1918" spans="3:9" x14ac:dyDescent="0.2">
      <c r="C1918" s="59"/>
      <c r="I1918" s="43" t="s">
        <v>2713</v>
      </c>
    </row>
    <row r="1919" spans="3:9" x14ac:dyDescent="0.2">
      <c r="C1919" s="59"/>
      <c r="I1919" s="43" t="s">
        <v>2713</v>
      </c>
    </row>
    <row r="1920" spans="3:9" x14ac:dyDescent="0.2">
      <c r="C1920" s="59"/>
      <c r="I1920" s="43" t="s">
        <v>2713</v>
      </c>
    </row>
    <row r="1921" spans="3:9" x14ac:dyDescent="0.2">
      <c r="C1921" s="59"/>
      <c r="I1921" s="43" t="s">
        <v>2713</v>
      </c>
    </row>
    <row r="1922" spans="3:9" x14ac:dyDescent="0.2">
      <c r="C1922" s="59"/>
      <c r="I1922" s="43" t="s">
        <v>2713</v>
      </c>
    </row>
    <row r="1923" spans="3:9" x14ac:dyDescent="0.2">
      <c r="C1923" s="59"/>
      <c r="I1923" s="43" t="s">
        <v>2713</v>
      </c>
    </row>
    <row r="1924" spans="3:9" x14ac:dyDescent="0.2">
      <c r="C1924" s="59"/>
      <c r="I1924" s="43" t="s">
        <v>2713</v>
      </c>
    </row>
    <row r="1925" spans="3:9" x14ac:dyDescent="0.2">
      <c r="C1925" s="59"/>
      <c r="I1925" s="43" t="s">
        <v>2713</v>
      </c>
    </row>
    <row r="1926" spans="3:9" x14ac:dyDescent="0.2">
      <c r="C1926" s="59"/>
      <c r="I1926" s="43" t="s">
        <v>2713</v>
      </c>
    </row>
    <row r="1927" spans="3:9" x14ac:dyDescent="0.2">
      <c r="C1927" s="59"/>
      <c r="I1927" s="43" t="s">
        <v>2713</v>
      </c>
    </row>
    <row r="1928" spans="3:9" x14ac:dyDescent="0.2">
      <c r="C1928" s="59"/>
      <c r="I1928" s="43" t="s">
        <v>2713</v>
      </c>
    </row>
    <row r="1929" spans="3:9" x14ac:dyDescent="0.2">
      <c r="C1929" s="59"/>
      <c r="I1929" s="43" t="s">
        <v>2713</v>
      </c>
    </row>
    <row r="1930" spans="3:9" x14ac:dyDescent="0.2">
      <c r="C1930" s="59"/>
      <c r="I1930" s="43" t="s">
        <v>2713</v>
      </c>
    </row>
    <row r="1931" spans="3:9" x14ac:dyDescent="0.2">
      <c r="C1931" s="59"/>
      <c r="I1931" s="43" t="s">
        <v>2713</v>
      </c>
    </row>
    <row r="1932" spans="3:9" x14ac:dyDescent="0.2">
      <c r="C1932" s="59"/>
      <c r="I1932" s="43" t="s">
        <v>2713</v>
      </c>
    </row>
    <row r="1933" spans="3:9" x14ac:dyDescent="0.2">
      <c r="C1933" s="59"/>
      <c r="I1933" s="43" t="s">
        <v>2713</v>
      </c>
    </row>
    <row r="1934" spans="3:9" x14ac:dyDescent="0.2">
      <c r="C1934" s="59"/>
      <c r="I1934" s="43" t="s">
        <v>2713</v>
      </c>
    </row>
    <row r="1935" spans="3:9" x14ac:dyDescent="0.2">
      <c r="C1935" s="59"/>
      <c r="I1935" s="43" t="s">
        <v>2713</v>
      </c>
    </row>
    <row r="1936" spans="3:9" x14ac:dyDescent="0.2">
      <c r="C1936" s="59"/>
      <c r="I1936" s="43" t="s">
        <v>2713</v>
      </c>
    </row>
    <row r="1937" spans="3:9" x14ac:dyDescent="0.2">
      <c r="C1937" s="59"/>
      <c r="I1937" s="43" t="s">
        <v>2713</v>
      </c>
    </row>
    <row r="1938" spans="3:9" x14ac:dyDescent="0.2">
      <c r="C1938" s="59"/>
      <c r="I1938" s="43" t="s">
        <v>2713</v>
      </c>
    </row>
    <row r="1939" spans="3:9" x14ac:dyDescent="0.2">
      <c r="C1939" s="59"/>
      <c r="I1939" s="43" t="s">
        <v>2713</v>
      </c>
    </row>
    <row r="1940" spans="3:9" x14ac:dyDescent="0.2">
      <c r="C1940" s="59"/>
      <c r="I1940" s="43" t="s">
        <v>2713</v>
      </c>
    </row>
    <row r="1941" spans="3:9" x14ac:dyDescent="0.2">
      <c r="C1941" s="59"/>
      <c r="I1941" s="43" t="s">
        <v>2713</v>
      </c>
    </row>
    <row r="1942" spans="3:9" x14ac:dyDescent="0.2">
      <c r="C1942" s="59"/>
      <c r="I1942" s="43" t="s">
        <v>2713</v>
      </c>
    </row>
    <row r="1943" spans="3:9" x14ac:dyDescent="0.2">
      <c r="C1943" s="59"/>
      <c r="I1943" s="43" t="s">
        <v>2713</v>
      </c>
    </row>
    <row r="1944" spans="3:9" x14ac:dyDescent="0.2">
      <c r="C1944" s="59"/>
      <c r="I1944" s="43" t="s">
        <v>2713</v>
      </c>
    </row>
    <row r="1945" spans="3:9" x14ac:dyDescent="0.2">
      <c r="C1945" s="59"/>
      <c r="I1945" s="43" t="s">
        <v>2713</v>
      </c>
    </row>
    <row r="1946" spans="3:9" x14ac:dyDescent="0.2">
      <c r="C1946" s="59"/>
      <c r="I1946" s="43" t="s">
        <v>2713</v>
      </c>
    </row>
    <row r="1947" spans="3:9" x14ac:dyDescent="0.2">
      <c r="C1947" s="59"/>
      <c r="I1947" s="43" t="s">
        <v>2713</v>
      </c>
    </row>
    <row r="1948" spans="3:9" x14ac:dyDescent="0.2">
      <c r="C1948" s="59"/>
      <c r="I1948" s="43" t="s">
        <v>2713</v>
      </c>
    </row>
    <row r="1949" spans="3:9" x14ac:dyDescent="0.2">
      <c r="C1949" s="59"/>
      <c r="I1949" s="43" t="s">
        <v>2713</v>
      </c>
    </row>
    <row r="1950" spans="3:9" x14ac:dyDescent="0.2">
      <c r="C1950" s="59"/>
      <c r="I1950" s="43" t="s">
        <v>2713</v>
      </c>
    </row>
    <row r="1951" spans="3:9" x14ac:dyDescent="0.2">
      <c r="C1951" s="59"/>
      <c r="I1951" s="43" t="s">
        <v>2713</v>
      </c>
    </row>
    <row r="1952" spans="3:9" x14ac:dyDescent="0.2">
      <c r="C1952" s="59"/>
      <c r="I1952" s="43" t="s">
        <v>2713</v>
      </c>
    </row>
    <row r="1953" spans="3:9" x14ac:dyDescent="0.2">
      <c r="C1953" s="59"/>
      <c r="I1953" s="43" t="s">
        <v>2713</v>
      </c>
    </row>
    <row r="1954" spans="3:9" x14ac:dyDescent="0.2">
      <c r="C1954" s="59"/>
      <c r="I1954" s="43" t="s">
        <v>2713</v>
      </c>
    </row>
    <row r="1955" spans="3:9" x14ac:dyDescent="0.2">
      <c r="C1955" s="59"/>
      <c r="I1955" s="43" t="s">
        <v>2713</v>
      </c>
    </row>
    <row r="1956" spans="3:9" x14ac:dyDescent="0.2">
      <c r="C1956" s="59"/>
      <c r="I1956" s="43" t="s">
        <v>2713</v>
      </c>
    </row>
    <row r="1957" spans="3:9" x14ac:dyDescent="0.2">
      <c r="C1957" s="59"/>
      <c r="I1957" s="43" t="s">
        <v>2713</v>
      </c>
    </row>
    <row r="1958" spans="3:9" x14ac:dyDescent="0.2">
      <c r="C1958" s="59"/>
      <c r="I1958" s="43" t="s">
        <v>2713</v>
      </c>
    </row>
    <row r="1959" spans="3:9" x14ac:dyDescent="0.2">
      <c r="C1959" s="59"/>
      <c r="I1959" s="43" t="s">
        <v>2713</v>
      </c>
    </row>
    <row r="1960" spans="3:9" x14ac:dyDescent="0.2">
      <c r="C1960" s="59"/>
      <c r="I1960" s="43" t="s">
        <v>2713</v>
      </c>
    </row>
    <row r="1961" spans="3:9" x14ac:dyDescent="0.2">
      <c r="C1961" s="59"/>
      <c r="I1961" s="43" t="s">
        <v>2713</v>
      </c>
    </row>
    <row r="1962" spans="3:9" x14ac:dyDescent="0.2">
      <c r="C1962" s="59"/>
      <c r="I1962" s="43" t="s">
        <v>2713</v>
      </c>
    </row>
    <row r="1963" spans="3:9" x14ac:dyDescent="0.2">
      <c r="C1963" s="59"/>
      <c r="I1963" s="43" t="s">
        <v>2713</v>
      </c>
    </row>
    <row r="1964" spans="3:9" x14ac:dyDescent="0.2">
      <c r="C1964" s="59"/>
      <c r="I1964" s="43" t="s">
        <v>2713</v>
      </c>
    </row>
    <row r="1965" spans="3:9" x14ac:dyDescent="0.2">
      <c r="C1965" s="59"/>
      <c r="I1965" s="43" t="s">
        <v>2713</v>
      </c>
    </row>
    <row r="1966" spans="3:9" x14ac:dyDescent="0.2">
      <c r="C1966" s="59"/>
      <c r="I1966" s="43" t="s">
        <v>2713</v>
      </c>
    </row>
    <row r="1967" spans="3:9" x14ac:dyDescent="0.2">
      <c r="C1967" s="59"/>
      <c r="I1967" s="43" t="s">
        <v>2713</v>
      </c>
    </row>
    <row r="1968" spans="3:9" x14ac:dyDescent="0.2">
      <c r="C1968" s="59"/>
      <c r="I1968" s="43" t="s">
        <v>2713</v>
      </c>
    </row>
    <row r="1969" spans="3:9" x14ac:dyDescent="0.2">
      <c r="C1969" s="59"/>
      <c r="I1969" s="43" t="s">
        <v>2713</v>
      </c>
    </row>
    <row r="1970" spans="3:9" x14ac:dyDescent="0.2">
      <c r="C1970" s="59"/>
      <c r="I1970" s="43" t="s">
        <v>2713</v>
      </c>
    </row>
    <row r="1971" spans="3:9" x14ac:dyDescent="0.2">
      <c r="C1971" s="59"/>
      <c r="I1971" s="43" t="s">
        <v>2713</v>
      </c>
    </row>
    <row r="1972" spans="3:9" x14ac:dyDescent="0.2">
      <c r="C1972" s="59"/>
      <c r="I1972" s="43" t="s">
        <v>2713</v>
      </c>
    </row>
    <row r="1973" spans="3:9" x14ac:dyDescent="0.2">
      <c r="C1973" s="59"/>
      <c r="I1973" s="43" t="s">
        <v>2713</v>
      </c>
    </row>
    <row r="1974" spans="3:9" x14ac:dyDescent="0.2">
      <c r="C1974" s="59"/>
      <c r="I1974" s="43" t="s">
        <v>2713</v>
      </c>
    </row>
    <row r="1975" spans="3:9" x14ac:dyDescent="0.2">
      <c r="C1975" s="59"/>
      <c r="I1975" s="43" t="s">
        <v>2713</v>
      </c>
    </row>
    <row r="1976" spans="3:9" x14ac:dyDescent="0.2">
      <c r="C1976" s="59"/>
      <c r="I1976" s="43" t="s">
        <v>2713</v>
      </c>
    </row>
    <row r="1977" spans="3:9" x14ac:dyDescent="0.2">
      <c r="C1977" s="59"/>
      <c r="I1977" s="43" t="s">
        <v>2713</v>
      </c>
    </row>
    <row r="1978" spans="3:9" x14ac:dyDescent="0.2">
      <c r="C1978" s="59"/>
      <c r="I1978" s="43" t="s">
        <v>2713</v>
      </c>
    </row>
    <row r="1979" spans="3:9" x14ac:dyDescent="0.2">
      <c r="C1979" s="59"/>
      <c r="I1979" s="43" t="s">
        <v>2713</v>
      </c>
    </row>
    <row r="1980" spans="3:9" x14ac:dyDescent="0.2">
      <c r="C1980" s="59"/>
      <c r="I1980" s="43" t="s">
        <v>2713</v>
      </c>
    </row>
    <row r="1981" spans="3:9" x14ac:dyDescent="0.2">
      <c r="C1981" s="59"/>
      <c r="I1981" s="43" t="s">
        <v>2713</v>
      </c>
    </row>
    <row r="1982" spans="3:9" x14ac:dyDescent="0.2">
      <c r="C1982" s="59"/>
      <c r="I1982" s="43" t="s">
        <v>2713</v>
      </c>
    </row>
    <row r="1983" spans="3:9" x14ac:dyDescent="0.2">
      <c r="C1983" s="59"/>
      <c r="I1983" s="43" t="s">
        <v>2713</v>
      </c>
    </row>
    <row r="1984" spans="3:9" x14ac:dyDescent="0.2">
      <c r="C1984" s="59"/>
      <c r="I1984" s="43" t="s">
        <v>2713</v>
      </c>
    </row>
    <row r="1985" spans="3:9" x14ac:dyDescent="0.2">
      <c r="C1985" s="59"/>
      <c r="I1985" s="43" t="s">
        <v>2713</v>
      </c>
    </row>
    <row r="1986" spans="3:9" x14ac:dyDescent="0.2">
      <c r="C1986" s="59"/>
      <c r="I1986" s="43" t="s">
        <v>2713</v>
      </c>
    </row>
    <row r="1987" spans="3:9" x14ac:dyDescent="0.2">
      <c r="C1987" s="59"/>
      <c r="I1987" s="43" t="s">
        <v>2713</v>
      </c>
    </row>
    <row r="1988" spans="3:9" x14ac:dyDescent="0.2">
      <c r="C1988" s="59"/>
      <c r="I1988" s="43" t="s">
        <v>2713</v>
      </c>
    </row>
    <row r="1989" spans="3:9" x14ac:dyDescent="0.2">
      <c r="C1989" s="59"/>
      <c r="I1989" s="43" t="s">
        <v>2713</v>
      </c>
    </row>
    <row r="1990" spans="3:9" x14ac:dyDescent="0.2">
      <c r="C1990" s="59"/>
      <c r="I1990" s="43" t="s">
        <v>2713</v>
      </c>
    </row>
    <row r="1991" spans="3:9" x14ac:dyDescent="0.2">
      <c r="C1991" s="59"/>
      <c r="I1991" s="43" t="s">
        <v>2713</v>
      </c>
    </row>
    <row r="1992" spans="3:9" x14ac:dyDescent="0.2">
      <c r="C1992" s="59"/>
      <c r="I1992" s="43" t="s">
        <v>2713</v>
      </c>
    </row>
    <row r="1993" spans="3:9" x14ac:dyDescent="0.2">
      <c r="C1993" s="59"/>
      <c r="I1993" s="43" t="s">
        <v>2713</v>
      </c>
    </row>
    <row r="1994" spans="3:9" x14ac:dyDescent="0.2">
      <c r="C1994" s="59"/>
      <c r="I1994" s="43" t="s">
        <v>2713</v>
      </c>
    </row>
    <row r="1995" spans="3:9" x14ac:dyDescent="0.2">
      <c r="C1995" s="59"/>
      <c r="I1995" s="43" t="s">
        <v>2713</v>
      </c>
    </row>
    <row r="1996" spans="3:9" x14ac:dyDescent="0.2">
      <c r="C1996" s="59"/>
      <c r="I1996" s="43" t="s">
        <v>2713</v>
      </c>
    </row>
    <row r="1997" spans="3:9" x14ac:dyDescent="0.2">
      <c r="C1997" s="59"/>
      <c r="I1997" s="43" t="s">
        <v>2713</v>
      </c>
    </row>
    <row r="1998" spans="3:9" x14ac:dyDescent="0.2">
      <c r="C1998" s="59"/>
      <c r="I1998" s="43" t="s">
        <v>2713</v>
      </c>
    </row>
    <row r="1999" spans="3:9" x14ac:dyDescent="0.2">
      <c r="C1999" s="59"/>
      <c r="I1999" s="43" t="s">
        <v>2713</v>
      </c>
    </row>
    <row r="2000" spans="3:9" x14ac:dyDescent="0.2">
      <c r="C2000" s="59"/>
      <c r="I2000" s="43" t="s">
        <v>2713</v>
      </c>
    </row>
    <row r="2001" spans="3:9" x14ac:dyDescent="0.2">
      <c r="C2001" s="59"/>
      <c r="I2001" s="43" t="s">
        <v>2713</v>
      </c>
    </row>
    <row r="2002" spans="3:9" x14ac:dyDescent="0.2">
      <c r="C2002" s="59"/>
      <c r="I2002" s="43" t="s">
        <v>2713</v>
      </c>
    </row>
    <row r="2003" spans="3:9" x14ac:dyDescent="0.2">
      <c r="C2003" s="59"/>
      <c r="I2003" s="43" t="s">
        <v>2713</v>
      </c>
    </row>
    <row r="2004" spans="3:9" x14ac:dyDescent="0.2">
      <c r="C2004" s="59"/>
      <c r="I2004" s="43" t="s">
        <v>2713</v>
      </c>
    </row>
    <row r="2005" spans="3:9" x14ac:dyDescent="0.2">
      <c r="C2005" s="59"/>
      <c r="I2005" s="43" t="s">
        <v>2713</v>
      </c>
    </row>
    <row r="2006" spans="3:9" x14ac:dyDescent="0.2">
      <c r="C2006" s="59"/>
      <c r="I2006" s="43" t="s">
        <v>2713</v>
      </c>
    </row>
    <row r="2007" spans="3:9" x14ac:dyDescent="0.2">
      <c r="C2007" s="59"/>
      <c r="I2007" s="43" t="s">
        <v>2713</v>
      </c>
    </row>
    <row r="2008" spans="3:9" x14ac:dyDescent="0.2">
      <c r="C2008" s="59"/>
      <c r="I2008" s="43" t="s">
        <v>2713</v>
      </c>
    </row>
    <row r="2009" spans="3:9" x14ac:dyDescent="0.2">
      <c r="C2009" s="59"/>
      <c r="I2009" s="43" t="s">
        <v>2713</v>
      </c>
    </row>
    <row r="2010" spans="3:9" x14ac:dyDescent="0.2">
      <c r="C2010" s="59"/>
      <c r="I2010" s="43" t="s">
        <v>2713</v>
      </c>
    </row>
    <row r="2011" spans="3:9" x14ac:dyDescent="0.2">
      <c r="C2011" s="59"/>
      <c r="I2011" s="43" t="s">
        <v>2713</v>
      </c>
    </row>
    <row r="2012" spans="3:9" x14ac:dyDescent="0.2">
      <c r="C2012" s="59"/>
      <c r="I2012" s="43" t="s">
        <v>2713</v>
      </c>
    </row>
    <row r="2013" spans="3:9" x14ac:dyDescent="0.2">
      <c r="C2013" s="59"/>
      <c r="I2013" s="43" t="s">
        <v>2713</v>
      </c>
    </row>
    <row r="2014" spans="3:9" x14ac:dyDescent="0.2">
      <c r="C2014" s="59"/>
      <c r="I2014" s="43" t="s">
        <v>2713</v>
      </c>
    </row>
    <row r="2015" spans="3:9" x14ac:dyDescent="0.2">
      <c r="C2015" s="59"/>
      <c r="I2015" s="43" t="s">
        <v>2713</v>
      </c>
    </row>
    <row r="2016" spans="3:9" x14ac:dyDescent="0.2">
      <c r="C2016" s="59"/>
      <c r="I2016" s="43" t="s">
        <v>2713</v>
      </c>
    </row>
    <row r="2017" spans="3:9" x14ac:dyDescent="0.2">
      <c r="C2017" s="59"/>
      <c r="I2017" s="43" t="s">
        <v>2713</v>
      </c>
    </row>
    <row r="2018" spans="3:9" x14ac:dyDescent="0.2">
      <c r="C2018" s="59"/>
      <c r="I2018" s="43" t="s">
        <v>2713</v>
      </c>
    </row>
    <row r="2019" spans="3:9" x14ac:dyDescent="0.2">
      <c r="C2019" s="59"/>
      <c r="I2019" s="43" t="s">
        <v>2713</v>
      </c>
    </row>
    <row r="2020" spans="3:9" x14ac:dyDescent="0.2">
      <c r="C2020" s="59"/>
      <c r="I2020" s="43" t="s">
        <v>2713</v>
      </c>
    </row>
    <row r="2021" spans="3:9" x14ac:dyDescent="0.2">
      <c r="C2021" s="59"/>
      <c r="I2021" s="43" t="s">
        <v>2713</v>
      </c>
    </row>
    <row r="2022" spans="3:9" x14ac:dyDescent="0.2">
      <c r="C2022" s="59"/>
      <c r="I2022" s="43" t="s">
        <v>2713</v>
      </c>
    </row>
    <row r="2023" spans="3:9" x14ac:dyDescent="0.2">
      <c r="C2023" s="59"/>
      <c r="I2023" s="43" t="s">
        <v>2713</v>
      </c>
    </row>
    <row r="2024" spans="3:9" x14ac:dyDescent="0.2">
      <c r="C2024" s="59"/>
      <c r="I2024" s="43" t="s">
        <v>2713</v>
      </c>
    </row>
    <row r="2025" spans="3:9" x14ac:dyDescent="0.2">
      <c r="C2025" s="59"/>
      <c r="I2025" s="43" t="s">
        <v>2713</v>
      </c>
    </row>
    <row r="2026" spans="3:9" x14ac:dyDescent="0.2">
      <c r="C2026" s="59"/>
      <c r="I2026" s="43" t="s">
        <v>2713</v>
      </c>
    </row>
    <row r="2027" spans="3:9" x14ac:dyDescent="0.2">
      <c r="C2027" s="59"/>
      <c r="I2027" s="43" t="s">
        <v>2713</v>
      </c>
    </row>
    <row r="2028" spans="3:9" x14ac:dyDescent="0.2">
      <c r="C2028" s="59"/>
      <c r="I2028" s="43" t="s">
        <v>2713</v>
      </c>
    </row>
    <row r="2029" spans="3:9" x14ac:dyDescent="0.2">
      <c r="C2029" s="59"/>
      <c r="I2029" s="43" t="s">
        <v>2713</v>
      </c>
    </row>
    <row r="2030" spans="3:9" x14ac:dyDescent="0.2">
      <c r="C2030" s="59"/>
      <c r="I2030" s="43" t="s">
        <v>2713</v>
      </c>
    </row>
    <row r="2031" spans="3:9" x14ac:dyDescent="0.2">
      <c r="C2031" s="59"/>
      <c r="I2031" s="43" t="s">
        <v>2713</v>
      </c>
    </row>
    <row r="2032" spans="3:9" x14ac:dyDescent="0.2">
      <c r="C2032" s="59"/>
      <c r="I2032" s="43" t="s">
        <v>2713</v>
      </c>
    </row>
    <row r="2033" spans="3:9" x14ac:dyDescent="0.2">
      <c r="C2033" s="59"/>
      <c r="I2033" s="43" t="s">
        <v>2713</v>
      </c>
    </row>
    <row r="2034" spans="3:9" x14ac:dyDescent="0.2">
      <c r="C2034" s="59"/>
      <c r="I2034" s="43" t="s">
        <v>2713</v>
      </c>
    </row>
    <row r="2035" spans="3:9" x14ac:dyDescent="0.2">
      <c r="C2035" s="59"/>
      <c r="I2035" s="43" t="s">
        <v>2713</v>
      </c>
    </row>
    <row r="2036" spans="3:9" x14ac:dyDescent="0.2">
      <c r="C2036" s="59"/>
      <c r="I2036" s="43" t="s">
        <v>2713</v>
      </c>
    </row>
    <row r="2037" spans="3:9" x14ac:dyDescent="0.2">
      <c r="C2037" s="59"/>
      <c r="I2037" s="43" t="s">
        <v>2713</v>
      </c>
    </row>
    <row r="2038" spans="3:9" x14ac:dyDescent="0.2">
      <c r="C2038" s="59"/>
      <c r="I2038" s="43" t="s">
        <v>2713</v>
      </c>
    </row>
    <row r="2039" spans="3:9" x14ac:dyDescent="0.2">
      <c r="C2039" s="59"/>
      <c r="I2039" s="43" t="s">
        <v>2713</v>
      </c>
    </row>
    <row r="2040" spans="3:9" x14ac:dyDescent="0.2">
      <c r="C2040" s="59"/>
      <c r="I2040" s="43" t="s">
        <v>2713</v>
      </c>
    </row>
    <row r="2041" spans="3:9" x14ac:dyDescent="0.2">
      <c r="C2041" s="59"/>
      <c r="I2041" s="43" t="s">
        <v>2713</v>
      </c>
    </row>
    <row r="2042" spans="3:9" x14ac:dyDescent="0.2">
      <c r="C2042" s="59"/>
      <c r="I2042" s="43" t="s">
        <v>2713</v>
      </c>
    </row>
    <row r="2043" spans="3:9" x14ac:dyDescent="0.2">
      <c r="C2043" s="59"/>
      <c r="I2043" s="43" t="s">
        <v>2713</v>
      </c>
    </row>
    <row r="2044" spans="3:9" x14ac:dyDescent="0.2">
      <c r="C2044" s="59"/>
      <c r="I2044" s="43" t="s">
        <v>2713</v>
      </c>
    </row>
    <row r="2045" spans="3:9" x14ac:dyDescent="0.2">
      <c r="C2045" s="59"/>
      <c r="I2045" s="43" t="s">
        <v>2713</v>
      </c>
    </row>
    <row r="2046" spans="3:9" x14ac:dyDescent="0.2">
      <c r="C2046" s="59"/>
      <c r="I2046" s="43" t="s">
        <v>2713</v>
      </c>
    </row>
    <row r="2047" spans="3:9" x14ac:dyDescent="0.2">
      <c r="C2047" s="59"/>
      <c r="I2047" s="43" t="s">
        <v>2713</v>
      </c>
    </row>
    <row r="2048" spans="3:9" x14ac:dyDescent="0.2">
      <c r="C2048" s="59"/>
      <c r="I2048" s="43" t="s">
        <v>2713</v>
      </c>
    </row>
    <row r="2049" spans="3:9" x14ac:dyDescent="0.2">
      <c r="C2049" s="59"/>
      <c r="I2049" s="43" t="s">
        <v>2713</v>
      </c>
    </row>
    <row r="2050" spans="3:9" x14ac:dyDescent="0.2">
      <c r="C2050" s="59"/>
      <c r="I2050" s="43" t="s">
        <v>2713</v>
      </c>
    </row>
    <row r="2051" spans="3:9" x14ac:dyDescent="0.2">
      <c r="C2051" s="59"/>
      <c r="I2051" s="43" t="s">
        <v>2713</v>
      </c>
    </row>
    <row r="2052" spans="3:9" x14ac:dyDescent="0.2">
      <c r="C2052" s="59"/>
      <c r="I2052" s="43" t="s">
        <v>2713</v>
      </c>
    </row>
    <row r="2053" spans="3:9" x14ac:dyDescent="0.2">
      <c r="C2053" s="59"/>
      <c r="I2053" s="43" t="s">
        <v>2713</v>
      </c>
    </row>
    <row r="2054" spans="3:9" x14ac:dyDescent="0.2">
      <c r="C2054" s="59"/>
      <c r="I2054" s="43" t="s">
        <v>2713</v>
      </c>
    </row>
    <row r="2055" spans="3:9" x14ac:dyDescent="0.2">
      <c r="C2055" s="59"/>
      <c r="I2055" s="43" t="s">
        <v>2713</v>
      </c>
    </row>
    <row r="2056" spans="3:9" x14ac:dyDescent="0.2">
      <c r="C2056" s="59"/>
      <c r="I2056" s="43" t="s">
        <v>2713</v>
      </c>
    </row>
    <row r="2057" spans="3:9" x14ac:dyDescent="0.2">
      <c r="C2057" s="59"/>
      <c r="I2057" s="43" t="s">
        <v>2713</v>
      </c>
    </row>
    <row r="2058" spans="3:9" x14ac:dyDescent="0.2">
      <c r="C2058" s="59"/>
      <c r="I2058" s="43" t="s">
        <v>2713</v>
      </c>
    </row>
    <row r="2059" spans="3:9" x14ac:dyDescent="0.2">
      <c r="C2059" s="59"/>
      <c r="I2059" s="43" t="s">
        <v>2713</v>
      </c>
    </row>
    <row r="2060" spans="3:9" x14ac:dyDescent="0.2">
      <c r="C2060" s="59"/>
      <c r="I2060" s="43" t="s">
        <v>2713</v>
      </c>
    </row>
    <row r="2061" spans="3:9" x14ac:dyDescent="0.2">
      <c r="C2061" s="59"/>
      <c r="I2061" s="43" t="s">
        <v>2713</v>
      </c>
    </row>
    <row r="2062" spans="3:9" x14ac:dyDescent="0.2">
      <c r="C2062" s="59"/>
      <c r="I2062" s="43" t="s">
        <v>2713</v>
      </c>
    </row>
    <row r="2063" spans="3:9" x14ac:dyDescent="0.2">
      <c r="C2063" s="59"/>
      <c r="I2063" s="43" t="s">
        <v>2713</v>
      </c>
    </row>
    <row r="2064" spans="3:9" x14ac:dyDescent="0.2">
      <c r="C2064" s="59"/>
      <c r="I2064" s="43" t="s">
        <v>2713</v>
      </c>
    </row>
    <row r="2065" spans="3:9" x14ac:dyDescent="0.2">
      <c r="C2065" s="59"/>
      <c r="I2065" s="43" t="s">
        <v>2713</v>
      </c>
    </row>
    <row r="2066" spans="3:9" x14ac:dyDescent="0.2">
      <c r="C2066" s="59"/>
      <c r="I2066" s="43" t="s">
        <v>2713</v>
      </c>
    </row>
    <row r="2067" spans="3:9" x14ac:dyDescent="0.2">
      <c r="C2067" s="59"/>
      <c r="I2067" s="43" t="s">
        <v>2713</v>
      </c>
    </row>
    <row r="2068" spans="3:9" x14ac:dyDescent="0.2">
      <c r="C2068" s="59"/>
      <c r="I2068" s="43" t="s">
        <v>2713</v>
      </c>
    </row>
    <row r="2069" spans="3:9" x14ac:dyDescent="0.2">
      <c r="C2069" s="59"/>
      <c r="I2069" s="43" t="s">
        <v>2713</v>
      </c>
    </row>
    <row r="2070" spans="3:9" x14ac:dyDescent="0.2">
      <c r="C2070" s="59"/>
      <c r="I2070" s="43" t="s">
        <v>2713</v>
      </c>
    </row>
    <row r="2071" spans="3:9" x14ac:dyDescent="0.2">
      <c r="C2071" s="59"/>
      <c r="I2071" s="43" t="s">
        <v>2713</v>
      </c>
    </row>
    <row r="2072" spans="3:9" x14ac:dyDescent="0.2">
      <c r="C2072" s="59"/>
      <c r="I2072" s="43" t="s">
        <v>2713</v>
      </c>
    </row>
    <row r="2073" spans="3:9" x14ac:dyDescent="0.2">
      <c r="C2073" s="59"/>
      <c r="I2073" s="43" t="s">
        <v>2713</v>
      </c>
    </row>
    <row r="2074" spans="3:9" x14ac:dyDescent="0.2">
      <c r="C2074" s="59"/>
      <c r="I2074" s="43" t="s">
        <v>2713</v>
      </c>
    </row>
    <row r="2075" spans="3:9" x14ac:dyDescent="0.2">
      <c r="C2075" s="59"/>
      <c r="I2075" s="43" t="s">
        <v>2713</v>
      </c>
    </row>
    <row r="2076" spans="3:9" x14ac:dyDescent="0.2">
      <c r="C2076" s="59"/>
      <c r="I2076" s="43" t="s">
        <v>2713</v>
      </c>
    </row>
    <row r="2077" spans="3:9" x14ac:dyDescent="0.2">
      <c r="C2077" s="59"/>
      <c r="I2077" s="43" t="s">
        <v>2713</v>
      </c>
    </row>
    <row r="2078" spans="3:9" x14ac:dyDescent="0.2">
      <c r="C2078" s="59"/>
      <c r="I2078" s="43" t="s">
        <v>2713</v>
      </c>
    </row>
    <row r="2079" spans="3:9" x14ac:dyDescent="0.2">
      <c r="C2079" s="59"/>
      <c r="I2079" s="43" t="s">
        <v>2713</v>
      </c>
    </row>
    <row r="2080" spans="3:9" x14ac:dyDescent="0.2">
      <c r="C2080" s="59"/>
      <c r="I2080" s="43" t="s">
        <v>2713</v>
      </c>
    </row>
    <row r="2081" spans="3:9" x14ac:dyDescent="0.2">
      <c r="C2081" s="59"/>
      <c r="I2081" s="43" t="s">
        <v>2713</v>
      </c>
    </row>
    <row r="2082" spans="3:9" x14ac:dyDescent="0.2">
      <c r="C2082" s="59"/>
      <c r="I2082" s="43" t="s">
        <v>2713</v>
      </c>
    </row>
    <row r="2083" spans="3:9" x14ac:dyDescent="0.2">
      <c r="C2083" s="59"/>
      <c r="I2083" s="43" t="s">
        <v>2713</v>
      </c>
    </row>
    <row r="2084" spans="3:9" x14ac:dyDescent="0.2">
      <c r="C2084" s="59"/>
      <c r="I2084" s="43" t="s">
        <v>2713</v>
      </c>
    </row>
    <row r="2085" spans="3:9" x14ac:dyDescent="0.2">
      <c r="C2085" s="59"/>
      <c r="I2085" s="43" t="s">
        <v>2713</v>
      </c>
    </row>
    <row r="2086" spans="3:9" x14ac:dyDescent="0.2">
      <c r="C2086" s="59"/>
      <c r="I2086" s="43" t="s">
        <v>2713</v>
      </c>
    </row>
    <row r="2087" spans="3:9" x14ac:dyDescent="0.2">
      <c r="C2087" s="59"/>
      <c r="I2087" s="43" t="s">
        <v>2713</v>
      </c>
    </row>
    <row r="2088" spans="3:9" x14ac:dyDescent="0.2">
      <c r="C2088" s="59"/>
      <c r="I2088" s="43" t="s">
        <v>2713</v>
      </c>
    </row>
    <row r="2089" spans="3:9" x14ac:dyDescent="0.2">
      <c r="C2089" s="59"/>
      <c r="I2089" s="43" t="s">
        <v>2713</v>
      </c>
    </row>
    <row r="2090" spans="3:9" x14ac:dyDescent="0.2">
      <c r="C2090" s="59"/>
      <c r="I2090" s="43" t="s">
        <v>2713</v>
      </c>
    </row>
    <row r="2091" spans="3:9" x14ac:dyDescent="0.2">
      <c r="C2091" s="59"/>
      <c r="I2091" s="43" t="s">
        <v>2713</v>
      </c>
    </row>
    <row r="2092" spans="3:9" x14ac:dyDescent="0.2">
      <c r="C2092" s="59"/>
      <c r="I2092" s="43" t="s">
        <v>2713</v>
      </c>
    </row>
    <row r="2093" spans="3:9" x14ac:dyDescent="0.2">
      <c r="C2093" s="59"/>
      <c r="I2093" s="43" t="s">
        <v>2713</v>
      </c>
    </row>
    <row r="2094" spans="3:9" x14ac:dyDescent="0.2">
      <c r="C2094" s="59"/>
      <c r="I2094" s="43" t="s">
        <v>2713</v>
      </c>
    </row>
    <row r="2095" spans="3:9" x14ac:dyDescent="0.2">
      <c r="C2095" s="59"/>
      <c r="I2095" s="43" t="s">
        <v>2713</v>
      </c>
    </row>
    <row r="2096" spans="3:9" x14ac:dyDescent="0.2">
      <c r="C2096" s="59"/>
      <c r="I2096" s="43" t="s">
        <v>2713</v>
      </c>
    </row>
    <row r="2097" spans="3:9" x14ac:dyDescent="0.2">
      <c r="C2097" s="59"/>
      <c r="I2097" s="43" t="s">
        <v>2713</v>
      </c>
    </row>
    <row r="2098" spans="3:9" x14ac:dyDescent="0.2">
      <c r="C2098" s="59"/>
      <c r="I2098" s="43" t="s">
        <v>2713</v>
      </c>
    </row>
    <row r="2099" spans="3:9" x14ac:dyDescent="0.2">
      <c r="C2099" s="59"/>
      <c r="I2099" s="43" t="s">
        <v>2713</v>
      </c>
    </row>
    <row r="2100" spans="3:9" x14ac:dyDescent="0.2">
      <c r="C2100" s="59"/>
      <c r="I2100" s="43" t="s">
        <v>2713</v>
      </c>
    </row>
    <row r="2101" spans="3:9" x14ac:dyDescent="0.2">
      <c r="C2101" s="59"/>
      <c r="I2101" s="43" t="s">
        <v>2713</v>
      </c>
    </row>
    <row r="2102" spans="3:9" x14ac:dyDescent="0.2">
      <c r="C2102" s="59"/>
      <c r="I2102" s="43" t="s">
        <v>2713</v>
      </c>
    </row>
    <row r="2103" spans="3:9" x14ac:dyDescent="0.2">
      <c r="C2103" s="59"/>
      <c r="I2103" s="43" t="s">
        <v>2713</v>
      </c>
    </row>
    <row r="2104" spans="3:9" x14ac:dyDescent="0.2">
      <c r="C2104" s="59"/>
      <c r="I2104" s="43" t="s">
        <v>2713</v>
      </c>
    </row>
    <row r="2105" spans="3:9" x14ac:dyDescent="0.2">
      <c r="C2105" s="59"/>
      <c r="I2105" s="43" t="s">
        <v>2713</v>
      </c>
    </row>
    <row r="2106" spans="3:9" x14ac:dyDescent="0.2">
      <c r="C2106" s="59"/>
      <c r="I2106" s="43" t="s">
        <v>2713</v>
      </c>
    </row>
    <row r="2107" spans="3:9" x14ac:dyDescent="0.2">
      <c r="C2107" s="59"/>
      <c r="I2107" s="43" t="s">
        <v>2713</v>
      </c>
    </row>
    <row r="2108" spans="3:9" x14ac:dyDescent="0.2">
      <c r="C2108" s="59"/>
      <c r="I2108" s="43" t="s">
        <v>2713</v>
      </c>
    </row>
    <row r="2109" spans="3:9" x14ac:dyDescent="0.2">
      <c r="C2109" s="59"/>
      <c r="I2109" s="43" t="s">
        <v>2713</v>
      </c>
    </row>
    <row r="2110" spans="3:9" x14ac:dyDescent="0.2">
      <c r="C2110" s="59"/>
      <c r="I2110" s="43" t="s">
        <v>2713</v>
      </c>
    </row>
    <row r="2111" spans="3:9" x14ac:dyDescent="0.2">
      <c r="C2111" s="59"/>
      <c r="I2111" s="43" t="s">
        <v>2713</v>
      </c>
    </row>
    <row r="2112" spans="3:9" x14ac:dyDescent="0.2">
      <c r="C2112" s="59"/>
      <c r="I2112" s="43" t="s">
        <v>2713</v>
      </c>
    </row>
    <row r="2113" spans="3:9" x14ac:dyDescent="0.2">
      <c r="C2113" s="59"/>
      <c r="I2113" s="43" t="s">
        <v>2713</v>
      </c>
    </row>
    <row r="2114" spans="3:9" x14ac:dyDescent="0.2">
      <c r="C2114" s="59"/>
      <c r="I2114" s="43" t="s">
        <v>2713</v>
      </c>
    </row>
    <row r="2115" spans="3:9" x14ac:dyDescent="0.2">
      <c r="C2115" s="59"/>
      <c r="I2115" s="43" t="s">
        <v>2713</v>
      </c>
    </row>
    <row r="2116" spans="3:9" x14ac:dyDescent="0.2">
      <c r="C2116" s="59"/>
      <c r="I2116" s="43" t="s">
        <v>2713</v>
      </c>
    </row>
    <row r="2117" spans="3:9" x14ac:dyDescent="0.2">
      <c r="C2117" s="59"/>
      <c r="I2117" s="43" t="s">
        <v>2713</v>
      </c>
    </row>
    <row r="2118" spans="3:9" x14ac:dyDescent="0.2">
      <c r="C2118" s="59"/>
      <c r="I2118" s="43" t="s">
        <v>2713</v>
      </c>
    </row>
    <row r="2119" spans="3:9" x14ac:dyDescent="0.2">
      <c r="C2119" s="59"/>
      <c r="I2119" s="43" t="s">
        <v>2713</v>
      </c>
    </row>
    <row r="2120" spans="3:9" x14ac:dyDescent="0.2">
      <c r="C2120" s="59"/>
      <c r="I2120" s="43" t="s">
        <v>2713</v>
      </c>
    </row>
    <row r="2121" spans="3:9" x14ac:dyDescent="0.2">
      <c r="C2121" s="59"/>
      <c r="I2121" s="43" t="s">
        <v>2713</v>
      </c>
    </row>
    <row r="2122" spans="3:9" x14ac:dyDescent="0.2">
      <c r="C2122" s="59"/>
      <c r="I2122" s="43" t="s">
        <v>2713</v>
      </c>
    </row>
    <row r="2123" spans="3:9" x14ac:dyDescent="0.2">
      <c r="C2123" s="59"/>
      <c r="I2123" s="43" t="s">
        <v>2713</v>
      </c>
    </row>
    <row r="2124" spans="3:9" x14ac:dyDescent="0.2">
      <c r="C2124" s="59"/>
      <c r="I2124" s="43" t="s">
        <v>2713</v>
      </c>
    </row>
    <row r="2125" spans="3:9" x14ac:dyDescent="0.2">
      <c r="C2125" s="59"/>
      <c r="I2125" s="43" t="s">
        <v>2713</v>
      </c>
    </row>
    <row r="2126" spans="3:9" x14ac:dyDescent="0.2">
      <c r="C2126" s="59"/>
      <c r="I2126" s="43" t="s">
        <v>2713</v>
      </c>
    </row>
    <row r="2127" spans="3:9" x14ac:dyDescent="0.2">
      <c r="C2127" s="59"/>
      <c r="I2127" s="43" t="s">
        <v>2713</v>
      </c>
    </row>
    <row r="2128" spans="3:9" x14ac:dyDescent="0.2">
      <c r="C2128" s="59"/>
      <c r="I2128" s="43" t="s">
        <v>2713</v>
      </c>
    </row>
    <row r="2129" spans="3:9" x14ac:dyDescent="0.2">
      <c r="C2129" s="59"/>
      <c r="I2129" s="43" t="s">
        <v>2713</v>
      </c>
    </row>
    <row r="2130" spans="3:9" x14ac:dyDescent="0.2">
      <c r="C2130" s="59"/>
      <c r="I2130" s="43" t="s">
        <v>2713</v>
      </c>
    </row>
    <row r="2131" spans="3:9" x14ac:dyDescent="0.2">
      <c r="C2131" s="59"/>
      <c r="I2131" s="43" t="s">
        <v>2713</v>
      </c>
    </row>
    <row r="2132" spans="3:9" x14ac:dyDescent="0.2">
      <c r="C2132" s="59"/>
      <c r="I2132" s="43" t="s">
        <v>2713</v>
      </c>
    </row>
    <row r="2133" spans="3:9" x14ac:dyDescent="0.2">
      <c r="C2133" s="59"/>
      <c r="I2133" s="43" t="s">
        <v>2713</v>
      </c>
    </row>
    <row r="2134" spans="3:9" x14ac:dyDescent="0.2">
      <c r="C2134" s="59"/>
      <c r="I2134" s="43" t="s">
        <v>2713</v>
      </c>
    </row>
    <row r="2135" spans="3:9" x14ac:dyDescent="0.2">
      <c r="C2135" s="59"/>
      <c r="I2135" s="43" t="s">
        <v>2713</v>
      </c>
    </row>
    <row r="2136" spans="3:9" x14ac:dyDescent="0.2">
      <c r="C2136" s="59"/>
      <c r="I2136" s="43" t="s">
        <v>2713</v>
      </c>
    </row>
    <row r="2137" spans="3:9" x14ac:dyDescent="0.2">
      <c r="C2137" s="59"/>
      <c r="I2137" s="43" t="s">
        <v>2713</v>
      </c>
    </row>
    <row r="2138" spans="3:9" x14ac:dyDescent="0.2">
      <c r="C2138" s="59"/>
      <c r="I2138" s="43" t="s">
        <v>2713</v>
      </c>
    </row>
    <row r="2139" spans="3:9" x14ac:dyDescent="0.2">
      <c r="C2139" s="59"/>
      <c r="I2139" s="43" t="s">
        <v>2713</v>
      </c>
    </row>
    <row r="2140" spans="3:9" x14ac:dyDescent="0.2">
      <c r="C2140" s="59"/>
      <c r="I2140" s="43" t="s">
        <v>2713</v>
      </c>
    </row>
    <row r="2141" spans="3:9" x14ac:dyDescent="0.2">
      <c r="C2141" s="59"/>
      <c r="I2141" s="43" t="s">
        <v>2713</v>
      </c>
    </row>
    <row r="2142" spans="3:9" x14ac:dyDescent="0.2">
      <c r="C2142" s="59"/>
      <c r="I2142" s="43" t="s">
        <v>2713</v>
      </c>
    </row>
    <row r="2143" spans="3:9" x14ac:dyDescent="0.2">
      <c r="C2143" s="59"/>
      <c r="I2143" s="43" t="s">
        <v>2713</v>
      </c>
    </row>
    <row r="2144" spans="3:9" x14ac:dyDescent="0.2">
      <c r="C2144" s="59"/>
      <c r="I2144" s="43" t="s">
        <v>2713</v>
      </c>
    </row>
    <row r="2145" spans="3:9" x14ac:dyDescent="0.2">
      <c r="C2145" s="59"/>
      <c r="I2145" s="43" t="s">
        <v>2713</v>
      </c>
    </row>
    <row r="2146" spans="3:9" x14ac:dyDescent="0.2">
      <c r="C2146" s="59"/>
      <c r="I2146" s="43" t="s">
        <v>2713</v>
      </c>
    </row>
    <row r="2147" spans="3:9" x14ac:dyDescent="0.2">
      <c r="C2147" s="59"/>
      <c r="I2147" s="43" t="s">
        <v>2713</v>
      </c>
    </row>
    <row r="2148" spans="3:9" x14ac:dyDescent="0.2">
      <c r="C2148" s="59"/>
      <c r="I2148" s="43" t="s">
        <v>2713</v>
      </c>
    </row>
    <row r="2149" spans="3:9" x14ac:dyDescent="0.2">
      <c r="C2149" s="59"/>
      <c r="I2149" s="43" t="s">
        <v>2713</v>
      </c>
    </row>
    <row r="2150" spans="3:9" x14ac:dyDescent="0.2">
      <c r="C2150" s="59"/>
      <c r="I2150" s="43" t="s">
        <v>2713</v>
      </c>
    </row>
    <row r="2151" spans="3:9" x14ac:dyDescent="0.2">
      <c r="C2151" s="59"/>
      <c r="I2151" s="43" t="s">
        <v>2713</v>
      </c>
    </row>
    <row r="2152" spans="3:9" x14ac:dyDescent="0.2">
      <c r="C2152" s="59"/>
      <c r="I2152" s="43" t="s">
        <v>2713</v>
      </c>
    </row>
    <row r="2153" spans="3:9" x14ac:dyDescent="0.2">
      <c r="C2153" s="59"/>
      <c r="I2153" s="43" t="s">
        <v>2713</v>
      </c>
    </row>
    <row r="2154" spans="3:9" x14ac:dyDescent="0.2">
      <c r="C2154" s="59"/>
      <c r="I2154" s="43" t="s">
        <v>2713</v>
      </c>
    </row>
    <row r="2155" spans="3:9" x14ac:dyDescent="0.2">
      <c r="C2155" s="59"/>
      <c r="I2155" s="43" t="s">
        <v>2713</v>
      </c>
    </row>
    <row r="2156" spans="3:9" x14ac:dyDescent="0.2">
      <c r="C2156" s="59"/>
      <c r="I2156" s="43" t="s">
        <v>2713</v>
      </c>
    </row>
    <row r="2157" spans="3:9" x14ac:dyDescent="0.2">
      <c r="C2157" s="59"/>
      <c r="I2157" s="43" t="s">
        <v>2713</v>
      </c>
    </row>
    <row r="2158" spans="3:9" x14ac:dyDescent="0.2">
      <c r="C2158" s="59"/>
      <c r="I2158" s="43" t="s">
        <v>2713</v>
      </c>
    </row>
    <row r="2159" spans="3:9" x14ac:dyDescent="0.2">
      <c r="C2159" s="59"/>
      <c r="I2159" s="43" t="s">
        <v>2713</v>
      </c>
    </row>
    <row r="2160" spans="3:9" x14ac:dyDescent="0.2">
      <c r="C2160" s="59"/>
      <c r="I2160" s="43" t="s">
        <v>2713</v>
      </c>
    </row>
    <row r="2161" spans="3:9" x14ac:dyDescent="0.2">
      <c r="C2161" s="59"/>
      <c r="I2161" s="43" t="s">
        <v>2713</v>
      </c>
    </row>
    <row r="2162" spans="3:9" x14ac:dyDescent="0.2">
      <c r="C2162" s="59"/>
      <c r="I2162" s="43" t="s">
        <v>2713</v>
      </c>
    </row>
    <row r="2163" spans="3:9" x14ac:dyDescent="0.2">
      <c r="C2163" s="59"/>
      <c r="I2163" s="43" t="s">
        <v>2713</v>
      </c>
    </row>
    <row r="2164" spans="3:9" x14ac:dyDescent="0.2">
      <c r="C2164" s="59"/>
      <c r="I2164" s="43" t="s">
        <v>2713</v>
      </c>
    </row>
    <row r="2165" spans="3:9" x14ac:dyDescent="0.2">
      <c r="C2165" s="59"/>
      <c r="I2165" s="43" t="s">
        <v>2713</v>
      </c>
    </row>
    <row r="2166" spans="3:9" x14ac:dyDescent="0.2">
      <c r="C2166" s="59"/>
      <c r="I2166" s="43" t="s">
        <v>2713</v>
      </c>
    </row>
    <row r="2167" spans="3:9" x14ac:dyDescent="0.2">
      <c r="C2167" s="59"/>
      <c r="I2167" s="43" t="s">
        <v>2713</v>
      </c>
    </row>
    <row r="2168" spans="3:9" x14ac:dyDescent="0.2">
      <c r="C2168" s="59"/>
      <c r="I2168" s="43" t="s">
        <v>2713</v>
      </c>
    </row>
    <row r="2169" spans="3:9" x14ac:dyDescent="0.2">
      <c r="C2169" s="59"/>
      <c r="I2169" s="43" t="s">
        <v>2713</v>
      </c>
    </row>
    <row r="2170" spans="3:9" x14ac:dyDescent="0.2">
      <c r="C2170" s="59"/>
      <c r="I2170" s="43" t="s">
        <v>2713</v>
      </c>
    </row>
    <row r="2171" spans="3:9" x14ac:dyDescent="0.2">
      <c r="C2171" s="59"/>
      <c r="I2171" s="43" t="s">
        <v>2713</v>
      </c>
    </row>
    <row r="2172" spans="3:9" x14ac:dyDescent="0.2">
      <c r="C2172" s="59"/>
      <c r="I2172" s="43" t="s">
        <v>2713</v>
      </c>
    </row>
    <row r="2173" spans="3:9" x14ac:dyDescent="0.2">
      <c r="C2173" s="59"/>
      <c r="I2173" s="43" t="s">
        <v>2713</v>
      </c>
    </row>
    <row r="2174" spans="3:9" x14ac:dyDescent="0.2">
      <c r="C2174" s="59"/>
      <c r="I2174" s="43" t="s">
        <v>2713</v>
      </c>
    </row>
    <row r="2175" spans="3:9" x14ac:dyDescent="0.2">
      <c r="C2175" s="59"/>
      <c r="I2175" s="43" t="s">
        <v>2713</v>
      </c>
    </row>
    <row r="2176" spans="3:9" x14ac:dyDescent="0.2">
      <c r="C2176" s="59"/>
      <c r="I2176" s="43" t="s">
        <v>2713</v>
      </c>
    </row>
    <row r="2177" spans="3:9" x14ac:dyDescent="0.2">
      <c r="C2177" s="59"/>
      <c r="I2177" s="43" t="s">
        <v>2713</v>
      </c>
    </row>
    <row r="2178" spans="3:9" x14ac:dyDescent="0.2">
      <c r="C2178" s="59"/>
      <c r="I2178" s="43" t="s">
        <v>2713</v>
      </c>
    </row>
    <row r="2179" spans="3:9" x14ac:dyDescent="0.2">
      <c r="C2179" s="59"/>
      <c r="I2179" s="43" t="s">
        <v>2713</v>
      </c>
    </row>
    <row r="2180" spans="3:9" x14ac:dyDescent="0.2">
      <c r="C2180" s="59"/>
      <c r="I2180" s="43" t="s">
        <v>2713</v>
      </c>
    </row>
    <row r="2181" spans="3:9" x14ac:dyDescent="0.2">
      <c r="C2181" s="59"/>
      <c r="I2181" s="43" t="s">
        <v>2713</v>
      </c>
    </row>
    <row r="2182" spans="3:9" x14ac:dyDescent="0.2">
      <c r="C2182" s="59"/>
      <c r="I2182" s="43" t="s">
        <v>2713</v>
      </c>
    </row>
    <row r="2183" spans="3:9" x14ac:dyDescent="0.2">
      <c r="C2183" s="59"/>
      <c r="I2183" s="43" t="s">
        <v>2713</v>
      </c>
    </row>
    <row r="2184" spans="3:9" x14ac:dyDescent="0.2">
      <c r="C2184" s="59"/>
      <c r="I2184" s="43" t="s">
        <v>2713</v>
      </c>
    </row>
    <row r="2185" spans="3:9" x14ac:dyDescent="0.2">
      <c r="C2185" s="59"/>
      <c r="I2185" s="43" t="s">
        <v>2713</v>
      </c>
    </row>
    <row r="2186" spans="3:9" x14ac:dyDescent="0.2">
      <c r="C2186" s="59"/>
      <c r="I2186" s="43" t="s">
        <v>2713</v>
      </c>
    </row>
    <row r="2187" spans="3:9" x14ac:dyDescent="0.2">
      <c r="C2187" s="59"/>
      <c r="I2187" s="43" t="s">
        <v>2713</v>
      </c>
    </row>
    <row r="2188" spans="3:9" x14ac:dyDescent="0.2">
      <c r="C2188" s="59"/>
      <c r="I2188" s="43" t="s">
        <v>2713</v>
      </c>
    </row>
    <row r="2189" spans="3:9" x14ac:dyDescent="0.2">
      <c r="C2189" s="59"/>
      <c r="I2189" s="43" t="s">
        <v>2713</v>
      </c>
    </row>
    <row r="2190" spans="3:9" x14ac:dyDescent="0.2">
      <c r="C2190" s="59"/>
      <c r="I2190" s="43" t="s">
        <v>2713</v>
      </c>
    </row>
    <row r="2191" spans="3:9" x14ac:dyDescent="0.2">
      <c r="C2191" s="59"/>
      <c r="I2191" s="43" t="s">
        <v>2713</v>
      </c>
    </row>
    <row r="2192" spans="3:9" x14ac:dyDescent="0.2">
      <c r="C2192" s="59"/>
      <c r="I2192" s="43" t="s">
        <v>2713</v>
      </c>
    </row>
    <row r="2193" spans="3:9" x14ac:dyDescent="0.2">
      <c r="C2193" s="59"/>
      <c r="I2193" s="43" t="s">
        <v>2713</v>
      </c>
    </row>
    <row r="2194" spans="3:9" x14ac:dyDescent="0.2">
      <c r="C2194" s="59"/>
      <c r="I2194" s="43" t="s">
        <v>2713</v>
      </c>
    </row>
    <row r="2195" spans="3:9" x14ac:dyDescent="0.2">
      <c r="C2195" s="59"/>
      <c r="I2195" s="43" t="s">
        <v>2713</v>
      </c>
    </row>
    <row r="2196" spans="3:9" x14ac:dyDescent="0.2">
      <c r="C2196" s="59"/>
      <c r="I2196" s="43" t="s">
        <v>2713</v>
      </c>
    </row>
    <row r="2197" spans="3:9" x14ac:dyDescent="0.2">
      <c r="C2197" s="59"/>
      <c r="I2197" s="43" t="s">
        <v>2713</v>
      </c>
    </row>
    <row r="2198" spans="3:9" x14ac:dyDescent="0.2">
      <c r="C2198" s="59"/>
      <c r="I2198" s="43" t="s">
        <v>2713</v>
      </c>
    </row>
    <row r="2199" spans="3:9" x14ac:dyDescent="0.2">
      <c r="C2199" s="59"/>
      <c r="I2199" s="43" t="s">
        <v>2713</v>
      </c>
    </row>
    <row r="2200" spans="3:9" x14ac:dyDescent="0.2">
      <c r="C2200" s="59"/>
      <c r="I2200" s="43" t="s">
        <v>2713</v>
      </c>
    </row>
    <row r="2201" spans="3:9" x14ac:dyDescent="0.2">
      <c r="C2201" s="59"/>
      <c r="I2201" s="43" t="s">
        <v>2713</v>
      </c>
    </row>
    <row r="2202" spans="3:9" x14ac:dyDescent="0.2">
      <c r="C2202" s="59"/>
      <c r="I2202" s="43" t="s">
        <v>2713</v>
      </c>
    </row>
    <row r="2203" spans="3:9" x14ac:dyDescent="0.2">
      <c r="C2203" s="59"/>
      <c r="I2203" s="43" t="s">
        <v>2713</v>
      </c>
    </row>
    <row r="2204" spans="3:9" x14ac:dyDescent="0.2">
      <c r="C2204" s="59"/>
      <c r="I2204" s="43" t="s">
        <v>2713</v>
      </c>
    </row>
    <row r="2205" spans="3:9" x14ac:dyDescent="0.2">
      <c r="C2205" s="59"/>
      <c r="I2205" s="43" t="s">
        <v>2713</v>
      </c>
    </row>
    <row r="2206" spans="3:9" x14ac:dyDescent="0.2">
      <c r="C2206" s="59"/>
      <c r="I2206" s="43" t="s">
        <v>2713</v>
      </c>
    </row>
    <row r="2207" spans="3:9" x14ac:dyDescent="0.2">
      <c r="C2207" s="59"/>
      <c r="I2207" s="43" t="s">
        <v>2713</v>
      </c>
    </row>
    <row r="2208" spans="3:9" x14ac:dyDescent="0.2">
      <c r="C2208" s="59"/>
      <c r="I2208" s="43" t="s">
        <v>2713</v>
      </c>
    </row>
    <row r="2209" spans="3:9" x14ac:dyDescent="0.2">
      <c r="C2209" s="59"/>
      <c r="I2209" s="43" t="s">
        <v>2713</v>
      </c>
    </row>
    <row r="2210" spans="3:9" x14ac:dyDescent="0.2">
      <c r="C2210" s="59"/>
      <c r="I2210" s="43" t="s">
        <v>2713</v>
      </c>
    </row>
    <row r="2211" spans="3:9" x14ac:dyDescent="0.2">
      <c r="C2211" s="59"/>
      <c r="I2211" s="43" t="s">
        <v>2713</v>
      </c>
    </row>
    <row r="2212" spans="3:9" x14ac:dyDescent="0.2">
      <c r="C2212" s="59"/>
      <c r="I2212" s="43" t="s">
        <v>2713</v>
      </c>
    </row>
    <row r="2213" spans="3:9" x14ac:dyDescent="0.2">
      <c r="C2213" s="59"/>
      <c r="I2213" s="43" t="s">
        <v>2713</v>
      </c>
    </row>
    <row r="2214" spans="3:9" x14ac:dyDescent="0.2">
      <c r="C2214" s="59"/>
      <c r="I2214" s="43" t="s">
        <v>2713</v>
      </c>
    </row>
    <row r="2215" spans="3:9" x14ac:dyDescent="0.2">
      <c r="C2215" s="59"/>
      <c r="I2215" s="43" t="s">
        <v>2713</v>
      </c>
    </row>
    <row r="2216" spans="3:9" x14ac:dyDescent="0.2">
      <c r="C2216" s="59"/>
      <c r="I2216" s="43" t="s">
        <v>2713</v>
      </c>
    </row>
    <row r="2217" spans="3:9" x14ac:dyDescent="0.2">
      <c r="C2217" s="59"/>
      <c r="I2217" s="43" t="s">
        <v>2713</v>
      </c>
    </row>
    <row r="2218" spans="3:9" x14ac:dyDescent="0.2">
      <c r="C2218" s="59"/>
      <c r="I2218" s="43" t="s">
        <v>2713</v>
      </c>
    </row>
    <row r="2219" spans="3:9" x14ac:dyDescent="0.2">
      <c r="C2219" s="59"/>
      <c r="I2219" s="43" t="s">
        <v>2713</v>
      </c>
    </row>
    <row r="2220" spans="3:9" x14ac:dyDescent="0.2">
      <c r="C2220" s="59"/>
      <c r="I2220" s="43" t="s">
        <v>2713</v>
      </c>
    </row>
    <row r="2221" spans="3:9" x14ac:dyDescent="0.2">
      <c r="C2221" s="59"/>
      <c r="I2221" s="43" t="s">
        <v>2713</v>
      </c>
    </row>
    <row r="2222" spans="3:9" x14ac:dyDescent="0.2">
      <c r="C2222" s="59"/>
      <c r="I2222" s="43" t="s">
        <v>2713</v>
      </c>
    </row>
    <row r="2223" spans="3:9" x14ac:dyDescent="0.2">
      <c r="C2223" s="59"/>
      <c r="I2223" s="43" t="s">
        <v>2713</v>
      </c>
    </row>
    <row r="2224" spans="3:9" x14ac:dyDescent="0.2">
      <c r="C2224" s="59"/>
      <c r="I2224" s="43" t="s">
        <v>2713</v>
      </c>
    </row>
    <row r="2225" spans="3:9" x14ac:dyDescent="0.2">
      <c r="C2225" s="59"/>
      <c r="I2225" s="43" t="s">
        <v>2713</v>
      </c>
    </row>
    <row r="2226" spans="3:9" x14ac:dyDescent="0.2">
      <c r="C2226" s="59"/>
      <c r="I2226" s="43" t="s">
        <v>2713</v>
      </c>
    </row>
    <row r="2227" spans="3:9" x14ac:dyDescent="0.2">
      <c r="C2227" s="59"/>
      <c r="I2227" s="43" t="s">
        <v>2713</v>
      </c>
    </row>
    <row r="2228" spans="3:9" x14ac:dyDescent="0.2">
      <c r="C2228" s="59"/>
      <c r="I2228" s="43" t="s">
        <v>2713</v>
      </c>
    </row>
    <row r="2229" spans="3:9" x14ac:dyDescent="0.2">
      <c r="C2229" s="59"/>
      <c r="I2229" s="43" t="s">
        <v>2713</v>
      </c>
    </row>
    <row r="2230" spans="3:9" x14ac:dyDescent="0.2">
      <c r="C2230" s="59"/>
      <c r="I2230" s="43" t="s">
        <v>2713</v>
      </c>
    </row>
    <row r="2231" spans="3:9" x14ac:dyDescent="0.2">
      <c r="C2231" s="59"/>
      <c r="I2231" s="43" t="s">
        <v>2713</v>
      </c>
    </row>
    <row r="2232" spans="3:9" x14ac:dyDescent="0.2">
      <c r="C2232" s="59"/>
      <c r="I2232" s="43" t="s">
        <v>2713</v>
      </c>
    </row>
    <row r="2233" spans="3:9" x14ac:dyDescent="0.2">
      <c r="C2233" s="59"/>
      <c r="I2233" s="43" t="s">
        <v>2713</v>
      </c>
    </row>
    <row r="2234" spans="3:9" x14ac:dyDescent="0.2">
      <c r="C2234" s="59"/>
      <c r="I2234" s="43" t="s">
        <v>2713</v>
      </c>
    </row>
    <row r="2235" spans="3:9" x14ac:dyDescent="0.2">
      <c r="C2235" s="59"/>
      <c r="I2235" s="43" t="s">
        <v>2713</v>
      </c>
    </row>
    <row r="2236" spans="3:9" x14ac:dyDescent="0.2">
      <c r="C2236" s="59"/>
      <c r="I2236" s="43" t="s">
        <v>2713</v>
      </c>
    </row>
    <row r="2237" spans="3:9" x14ac:dyDescent="0.2">
      <c r="C2237" s="59"/>
      <c r="I2237" s="43" t="s">
        <v>2713</v>
      </c>
    </row>
    <row r="2238" spans="3:9" x14ac:dyDescent="0.2">
      <c r="C2238" s="59"/>
      <c r="I2238" s="43" t="s">
        <v>2713</v>
      </c>
    </row>
    <row r="2239" spans="3:9" x14ac:dyDescent="0.2">
      <c r="C2239" s="59"/>
      <c r="I2239" s="43" t="s">
        <v>2713</v>
      </c>
    </row>
    <row r="2240" spans="3:9" x14ac:dyDescent="0.2">
      <c r="C2240" s="59"/>
      <c r="I2240" s="43" t="s">
        <v>2713</v>
      </c>
    </row>
    <row r="2241" spans="3:9" x14ac:dyDescent="0.2">
      <c r="C2241" s="59"/>
      <c r="I2241" s="43" t="s">
        <v>2713</v>
      </c>
    </row>
    <row r="2242" spans="3:9" x14ac:dyDescent="0.2">
      <c r="C2242" s="59"/>
      <c r="I2242" s="43" t="s">
        <v>2713</v>
      </c>
    </row>
    <row r="2243" spans="3:9" x14ac:dyDescent="0.2">
      <c r="C2243" s="59"/>
      <c r="I2243" s="43" t="s">
        <v>2713</v>
      </c>
    </row>
    <row r="2244" spans="3:9" x14ac:dyDescent="0.2">
      <c r="C2244" s="59"/>
      <c r="I2244" s="43" t="s">
        <v>2713</v>
      </c>
    </row>
    <row r="2245" spans="3:9" x14ac:dyDescent="0.2">
      <c r="C2245" s="59"/>
      <c r="I2245" s="43" t="s">
        <v>2713</v>
      </c>
    </row>
    <row r="2246" spans="3:9" x14ac:dyDescent="0.2">
      <c r="C2246" s="59"/>
      <c r="I2246" s="43" t="s">
        <v>2713</v>
      </c>
    </row>
    <row r="2247" spans="3:9" x14ac:dyDescent="0.2">
      <c r="C2247" s="59"/>
      <c r="I2247" s="43" t="s">
        <v>2713</v>
      </c>
    </row>
    <row r="2248" spans="3:9" x14ac:dyDescent="0.2">
      <c r="C2248" s="59"/>
      <c r="I2248" s="43" t="s">
        <v>2713</v>
      </c>
    </row>
    <row r="2249" spans="3:9" x14ac:dyDescent="0.2">
      <c r="C2249" s="59"/>
      <c r="I2249" s="43" t="s">
        <v>2713</v>
      </c>
    </row>
    <row r="2250" spans="3:9" x14ac:dyDescent="0.2">
      <c r="C2250" s="59"/>
      <c r="I2250" s="43" t="s">
        <v>2713</v>
      </c>
    </row>
    <row r="2251" spans="3:9" x14ac:dyDescent="0.2">
      <c r="C2251" s="59"/>
      <c r="I2251" s="43" t="s">
        <v>2713</v>
      </c>
    </row>
    <row r="2252" spans="3:9" x14ac:dyDescent="0.2">
      <c r="C2252" s="59"/>
      <c r="I2252" s="43" t="s">
        <v>2713</v>
      </c>
    </row>
    <row r="2253" spans="3:9" x14ac:dyDescent="0.2">
      <c r="C2253" s="59"/>
      <c r="I2253" s="43" t="s">
        <v>2713</v>
      </c>
    </row>
    <row r="2254" spans="3:9" x14ac:dyDescent="0.2">
      <c r="C2254" s="59"/>
      <c r="I2254" s="43" t="s">
        <v>2713</v>
      </c>
    </row>
    <row r="2255" spans="3:9" x14ac:dyDescent="0.2">
      <c r="C2255" s="59"/>
      <c r="I2255" s="43" t="s">
        <v>2713</v>
      </c>
    </row>
    <row r="2256" spans="3:9" x14ac:dyDescent="0.2">
      <c r="C2256" s="59"/>
      <c r="I2256" s="43" t="s">
        <v>2713</v>
      </c>
    </row>
    <row r="2257" spans="3:9" x14ac:dyDescent="0.2">
      <c r="C2257" s="59"/>
      <c r="I2257" s="43" t="s">
        <v>2713</v>
      </c>
    </row>
    <row r="2258" spans="3:9" x14ac:dyDescent="0.2">
      <c r="C2258" s="59"/>
      <c r="I2258" s="43" t="s">
        <v>2713</v>
      </c>
    </row>
    <row r="2259" spans="3:9" x14ac:dyDescent="0.2">
      <c r="C2259" s="59"/>
      <c r="I2259" s="43" t="s">
        <v>2713</v>
      </c>
    </row>
    <row r="2260" spans="3:9" x14ac:dyDescent="0.2">
      <c r="C2260" s="59"/>
      <c r="I2260" s="43" t="s">
        <v>2713</v>
      </c>
    </row>
    <row r="2261" spans="3:9" x14ac:dyDescent="0.2">
      <c r="C2261" s="59"/>
      <c r="I2261" s="43" t="s">
        <v>2713</v>
      </c>
    </row>
    <row r="2262" spans="3:9" x14ac:dyDescent="0.2">
      <c r="C2262" s="59"/>
      <c r="I2262" s="43" t="s">
        <v>2713</v>
      </c>
    </row>
    <row r="2263" spans="3:9" x14ac:dyDescent="0.2">
      <c r="C2263" s="59"/>
      <c r="I2263" s="43" t="s">
        <v>2713</v>
      </c>
    </row>
    <row r="2264" spans="3:9" x14ac:dyDescent="0.2">
      <c r="C2264" s="59"/>
      <c r="I2264" s="43" t="s">
        <v>2713</v>
      </c>
    </row>
    <row r="2265" spans="3:9" x14ac:dyDescent="0.2">
      <c r="C2265" s="59"/>
      <c r="I2265" s="43" t="s">
        <v>2713</v>
      </c>
    </row>
    <row r="2266" spans="3:9" x14ac:dyDescent="0.2">
      <c r="C2266" s="59"/>
      <c r="I2266" s="43" t="s">
        <v>2713</v>
      </c>
    </row>
    <row r="2267" spans="3:9" x14ac:dyDescent="0.2">
      <c r="C2267" s="59"/>
      <c r="I2267" s="43" t="s">
        <v>2713</v>
      </c>
    </row>
    <row r="2268" spans="3:9" x14ac:dyDescent="0.2">
      <c r="C2268" s="59"/>
      <c r="I2268" s="43" t="s">
        <v>2713</v>
      </c>
    </row>
    <row r="2269" spans="3:9" x14ac:dyDescent="0.2">
      <c r="C2269" s="59"/>
      <c r="I2269" s="43" t="s">
        <v>2713</v>
      </c>
    </row>
    <row r="2270" spans="3:9" x14ac:dyDescent="0.2">
      <c r="C2270" s="59"/>
      <c r="I2270" s="43" t="s">
        <v>2713</v>
      </c>
    </row>
    <row r="2271" spans="3:9" x14ac:dyDescent="0.2">
      <c r="C2271" s="59"/>
      <c r="I2271" s="43" t="s">
        <v>2713</v>
      </c>
    </row>
    <row r="2272" spans="3:9" x14ac:dyDescent="0.2">
      <c r="C2272" s="59"/>
      <c r="I2272" s="43" t="s">
        <v>2713</v>
      </c>
    </row>
    <row r="2273" spans="3:9" x14ac:dyDescent="0.2">
      <c r="C2273" s="59"/>
      <c r="I2273" s="43" t="s">
        <v>2713</v>
      </c>
    </row>
    <row r="2274" spans="3:9" x14ac:dyDescent="0.2">
      <c r="C2274" s="59"/>
      <c r="I2274" s="43" t="s">
        <v>2713</v>
      </c>
    </row>
    <row r="2275" spans="3:9" x14ac:dyDescent="0.2">
      <c r="C2275" s="59"/>
      <c r="I2275" s="43" t="s">
        <v>2713</v>
      </c>
    </row>
    <row r="2276" spans="3:9" x14ac:dyDescent="0.2">
      <c r="C2276" s="59"/>
      <c r="I2276" s="43" t="s">
        <v>2713</v>
      </c>
    </row>
    <row r="2277" spans="3:9" x14ac:dyDescent="0.2">
      <c r="C2277" s="59"/>
      <c r="I2277" s="43" t="s">
        <v>2713</v>
      </c>
    </row>
    <row r="2278" spans="3:9" x14ac:dyDescent="0.2">
      <c r="C2278" s="59"/>
      <c r="I2278" s="43" t="s">
        <v>2713</v>
      </c>
    </row>
    <row r="2279" spans="3:9" x14ac:dyDescent="0.2">
      <c r="C2279" s="59"/>
      <c r="I2279" s="43" t="s">
        <v>2713</v>
      </c>
    </row>
    <row r="2280" spans="3:9" x14ac:dyDescent="0.2">
      <c r="C2280" s="59"/>
      <c r="I2280" s="43" t="s">
        <v>2713</v>
      </c>
    </row>
    <row r="2281" spans="3:9" x14ac:dyDescent="0.2">
      <c r="C2281" s="59"/>
      <c r="I2281" s="43" t="s">
        <v>2713</v>
      </c>
    </row>
    <row r="2282" spans="3:9" x14ac:dyDescent="0.2">
      <c r="C2282" s="59"/>
      <c r="I2282" s="43" t="s">
        <v>2713</v>
      </c>
    </row>
    <row r="2283" spans="3:9" x14ac:dyDescent="0.2">
      <c r="C2283" s="59"/>
      <c r="I2283" s="43" t="s">
        <v>2713</v>
      </c>
    </row>
    <row r="2284" spans="3:9" x14ac:dyDescent="0.2">
      <c r="C2284" s="59"/>
      <c r="I2284" s="43" t="s">
        <v>2713</v>
      </c>
    </row>
    <row r="2285" spans="3:9" x14ac:dyDescent="0.2">
      <c r="C2285" s="59"/>
      <c r="I2285" s="43" t="s">
        <v>2713</v>
      </c>
    </row>
    <row r="2286" spans="3:9" x14ac:dyDescent="0.2">
      <c r="C2286" s="59"/>
      <c r="I2286" s="43" t="s">
        <v>2713</v>
      </c>
    </row>
    <row r="2287" spans="3:9" x14ac:dyDescent="0.2">
      <c r="C2287" s="59"/>
      <c r="I2287" s="43" t="s">
        <v>2713</v>
      </c>
    </row>
    <row r="2288" spans="3:9" x14ac:dyDescent="0.2">
      <c r="C2288" s="59"/>
      <c r="I2288" s="43" t="s">
        <v>2713</v>
      </c>
    </row>
    <row r="2289" spans="3:9" x14ac:dyDescent="0.2">
      <c r="C2289" s="59"/>
      <c r="I2289" s="43" t="s">
        <v>2713</v>
      </c>
    </row>
    <row r="2290" spans="3:9" x14ac:dyDescent="0.2">
      <c r="C2290" s="59"/>
      <c r="I2290" s="43" t="s">
        <v>2713</v>
      </c>
    </row>
    <row r="2291" spans="3:9" x14ac:dyDescent="0.2">
      <c r="C2291" s="59"/>
      <c r="I2291" s="43" t="s">
        <v>2713</v>
      </c>
    </row>
    <row r="2292" spans="3:9" x14ac:dyDescent="0.2">
      <c r="C2292" s="59"/>
      <c r="I2292" s="43" t="s">
        <v>2713</v>
      </c>
    </row>
    <row r="2293" spans="3:9" x14ac:dyDescent="0.2">
      <c r="C2293" s="59"/>
      <c r="I2293" s="43" t="s">
        <v>2713</v>
      </c>
    </row>
    <row r="2294" spans="3:9" x14ac:dyDescent="0.2">
      <c r="C2294" s="59"/>
      <c r="I2294" s="43" t="s">
        <v>2713</v>
      </c>
    </row>
    <row r="2295" spans="3:9" x14ac:dyDescent="0.2">
      <c r="C2295" s="59"/>
      <c r="I2295" s="43" t="s">
        <v>2713</v>
      </c>
    </row>
    <row r="2296" spans="3:9" x14ac:dyDescent="0.2">
      <c r="C2296" s="59"/>
      <c r="I2296" s="43" t="s">
        <v>2713</v>
      </c>
    </row>
    <row r="2297" spans="3:9" x14ac:dyDescent="0.2">
      <c r="C2297" s="59"/>
      <c r="I2297" s="43" t="s">
        <v>2713</v>
      </c>
    </row>
    <row r="2298" spans="3:9" x14ac:dyDescent="0.2">
      <c r="C2298" s="59"/>
      <c r="I2298" s="43" t="s">
        <v>2713</v>
      </c>
    </row>
    <row r="2299" spans="3:9" x14ac:dyDescent="0.2">
      <c r="C2299" s="59"/>
      <c r="I2299" s="43" t="s">
        <v>2713</v>
      </c>
    </row>
    <row r="2300" spans="3:9" x14ac:dyDescent="0.2">
      <c r="C2300" s="59"/>
      <c r="I2300" s="43" t="s">
        <v>2713</v>
      </c>
    </row>
    <row r="2301" spans="3:9" x14ac:dyDescent="0.2">
      <c r="C2301" s="59"/>
      <c r="I2301" s="43" t="s">
        <v>2713</v>
      </c>
    </row>
    <row r="2302" spans="3:9" x14ac:dyDescent="0.2">
      <c r="C2302" s="59"/>
      <c r="I2302" s="43" t="s">
        <v>2713</v>
      </c>
    </row>
    <row r="2303" spans="3:9" x14ac:dyDescent="0.2">
      <c r="C2303" s="59"/>
      <c r="I2303" s="43" t="s">
        <v>2713</v>
      </c>
    </row>
    <row r="2304" spans="3:9" x14ac:dyDescent="0.2">
      <c r="C2304" s="59"/>
      <c r="I2304" s="43" t="s">
        <v>2713</v>
      </c>
    </row>
    <row r="2305" spans="3:9" x14ac:dyDescent="0.2">
      <c r="C2305" s="59"/>
      <c r="I2305" s="43" t="s">
        <v>2713</v>
      </c>
    </row>
    <row r="2306" spans="3:9" x14ac:dyDescent="0.2">
      <c r="C2306" s="59"/>
      <c r="I2306" s="43" t="s">
        <v>2713</v>
      </c>
    </row>
    <row r="2307" spans="3:9" x14ac:dyDescent="0.2">
      <c r="C2307" s="59"/>
      <c r="I2307" s="43" t="s">
        <v>2713</v>
      </c>
    </row>
    <row r="2308" spans="3:9" x14ac:dyDescent="0.2">
      <c r="C2308" s="59"/>
      <c r="I2308" s="43" t="s">
        <v>2713</v>
      </c>
    </row>
    <row r="2309" spans="3:9" x14ac:dyDescent="0.2">
      <c r="C2309" s="59"/>
      <c r="I2309" s="43" t="s">
        <v>2713</v>
      </c>
    </row>
    <row r="2310" spans="3:9" x14ac:dyDescent="0.2">
      <c r="C2310" s="59"/>
      <c r="I2310" s="43" t="s">
        <v>2713</v>
      </c>
    </row>
    <row r="2311" spans="3:9" x14ac:dyDescent="0.2">
      <c r="C2311" s="59"/>
      <c r="I2311" s="43" t="s">
        <v>2713</v>
      </c>
    </row>
    <row r="2312" spans="3:9" x14ac:dyDescent="0.2">
      <c r="C2312" s="59"/>
      <c r="I2312" s="43" t="s">
        <v>2713</v>
      </c>
    </row>
    <row r="2313" spans="3:9" x14ac:dyDescent="0.2">
      <c r="C2313" s="59"/>
      <c r="I2313" s="43" t="s">
        <v>2713</v>
      </c>
    </row>
    <row r="2314" spans="3:9" x14ac:dyDescent="0.2">
      <c r="C2314" s="59"/>
      <c r="I2314" s="43" t="s">
        <v>2713</v>
      </c>
    </row>
    <row r="2315" spans="3:9" x14ac:dyDescent="0.2">
      <c r="C2315" s="59"/>
      <c r="I2315" s="43" t="s">
        <v>2713</v>
      </c>
    </row>
    <row r="2316" spans="3:9" x14ac:dyDescent="0.2">
      <c r="C2316" s="59"/>
      <c r="I2316" s="43" t="s">
        <v>2713</v>
      </c>
    </row>
    <row r="2317" spans="3:9" x14ac:dyDescent="0.2">
      <c r="C2317" s="59"/>
      <c r="I2317" s="43" t="s">
        <v>2713</v>
      </c>
    </row>
    <row r="2318" spans="3:9" x14ac:dyDescent="0.2">
      <c r="C2318" s="59"/>
      <c r="I2318" s="43" t="s">
        <v>2713</v>
      </c>
    </row>
    <row r="2319" spans="3:9" x14ac:dyDescent="0.2">
      <c r="C2319" s="59"/>
      <c r="I2319" s="43" t="s">
        <v>2713</v>
      </c>
    </row>
    <row r="2320" spans="3:9" x14ac:dyDescent="0.2">
      <c r="C2320" s="59"/>
      <c r="I2320" s="43" t="s">
        <v>2713</v>
      </c>
    </row>
    <row r="2321" spans="3:9" x14ac:dyDescent="0.2">
      <c r="C2321" s="59"/>
      <c r="I2321" s="43" t="s">
        <v>2713</v>
      </c>
    </row>
    <row r="2322" spans="3:9" x14ac:dyDescent="0.2">
      <c r="C2322" s="59"/>
      <c r="I2322" s="43" t="s">
        <v>2713</v>
      </c>
    </row>
    <row r="2323" spans="3:9" x14ac:dyDescent="0.2">
      <c r="C2323" s="59"/>
      <c r="I2323" s="43" t="s">
        <v>2713</v>
      </c>
    </row>
    <row r="2324" spans="3:9" x14ac:dyDescent="0.2">
      <c r="C2324" s="59"/>
      <c r="I2324" s="43" t="s">
        <v>2713</v>
      </c>
    </row>
    <row r="2325" spans="3:9" x14ac:dyDescent="0.2">
      <c r="C2325" s="59"/>
      <c r="I2325" s="43" t="s">
        <v>2713</v>
      </c>
    </row>
    <row r="2326" spans="3:9" x14ac:dyDescent="0.2">
      <c r="C2326" s="59"/>
      <c r="I2326" s="43" t="s">
        <v>2713</v>
      </c>
    </row>
    <row r="2327" spans="3:9" x14ac:dyDescent="0.2">
      <c r="C2327" s="59"/>
      <c r="I2327" s="43" t="s">
        <v>2713</v>
      </c>
    </row>
    <row r="2328" spans="3:9" x14ac:dyDescent="0.2">
      <c r="C2328" s="59"/>
      <c r="I2328" s="43" t="s">
        <v>2713</v>
      </c>
    </row>
    <row r="2329" spans="3:9" x14ac:dyDescent="0.2">
      <c r="C2329" s="59"/>
      <c r="I2329" s="43" t="s">
        <v>2713</v>
      </c>
    </row>
    <row r="2330" spans="3:9" x14ac:dyDescent="0.2">
      <c r="C2330" s="59"/>
      <c r="I2330" s="43" t="s">
        <v>2713</v>
      </c>
    </row>
    <row r="2331" spans="3:9" x14ac:dyDescent="0.2">
      <c r="C2331" s="59"/>
      <c r="I2331" s="43" t="s">
        <v>2713</v>
      </c>
    </row>
    <row r="2332" spans="3:9" x14ac:dyDescent="0.2">
      <c r="C2332" s="59"/>
      <c r="I2332" s="43" t="s">
        <v>2713</v>
      </c>
    </row>
    <row r="2333" spans="3:9" x14ac:dyDescent="0.2">
      <c r="C2333" s="59"/>
      <c r="I2333" s="43" t="s">
        <v>2713</v>
      </c>
    </row>
    <row r="2334" spans="3:9" x14ac:dyDescent="0.2">
      <c r="C2334" s="59"/>
      <c r="I2334" s="43" t="s">
        <v>2713</v>
      </c>
    </row>
    <row r="2335" spans="3:9" x14ac:dyDescent="0.2">
      <c r="C2335" s="59"/>
      <c r="I2335" s="43" t="s">
        <v>2713</v>
      </c>
    </row>
    <row r="2336" spans="3:9" x14ac:dyDescent="0.2">
      <c r="C2336" s="59"/>
      <c r="I2336" s="43" t="s">
        <v>2713</v>
      </c>
    </row>
    <row r="2337" spans="3:9" x14ac:dyDescent="0.2">
      <c r="C2337" s="59"/>
      <c r="I2337" s="43" t="s">
        <v>2713</v>
      </c>
    </row>
    <row r="2338" spans="3:9" x14ac:dyDescent="0.2">
      <c r="C2338" s="59"/>
      <c r="I2338" s="43" t="s">
        <v>2713</v>
      </c>
    </row>
    <row r="2339" spans="3:9" x14ac:dyDescent="0.2">
      <c r="C2339" s="59"/>
      <c r="I2339" s="43" t="s">
        <v>2713</v>
      </c>
    </row>
    <row r="2340" spans="3:9" x14ac:dyDescent="0.2">
      <c r="C2340" s="59"/>
      <c r="I2340" s="43" t="s">
        <v>2713</v>
      </c>
    </row>
    <row r="2341" spans="3:9" x14ac:dyDescent="0.2">
      <c r="C2341" s="59"/>
      <c r="I2341" s="43" t="s">
        <v>2713</v>
      </c>
    </row>
    <row r="2342" spans="3:9" x14ac:dyDescent="0.2">
      <c r="C2342" s="59"/>
      <c r="I2342" s="43" t="s">
        <v>2713</v>
      </c>
    </row>
    <row r="2343" spans="3:9" x14ac:dyDescent="0.2">
      <c r="C2343" s="59"/>
      <c r="I2343" s="43" t="s">
        <v>2713</v>
      </c>
    </row>
    <row r="2344" spans="3:9" x14ac:dyDescent="0.2">
      <c r="C2344" s="59"/>
      <c r="I2344" s="43" t="s">
        <v>2713</v>
      </c>
    </row>
    <row r="2345" spans="3:9" x14ac:dyDescent="0.2">
      <c r="C2345" s="59"/>
      <c r="I2345" s="43" t="s">
        <v>2713</v>
      </c>
    </row>
    <row r="2346" spans="3:9" x14ac:dyDescent="0.2">
      <c r="C2346" s="59"/>
      <c r="I2346" s="43" t="s">
        <v>2713</v>
      </c>
    </row>
    <row r="2347" spans="3:9" x14ac:dyDescent="0.2">
      <c r="C2347" s="59"/>
      <c r="I2347" s="43" t="s">
        <v>2713</v>
      </c>
    </row>
    <row r="2348" spans="3:9" x14ac:dyDescent="0.2">
      <c r="C2348" s="59"/>
      <c r="I2348" s="43" t="s">
        <v>2713</v>
      </c>
    </row>
    <row r="2349" spans="3:9" x14ac:dyDescent="0.2">
      <c r="C2349" s="59"/>
      <c r="I2349" s="43" t="s">
        <v>2713</v>
      </c>
    </row>
    <row r="2350" spans="3:9" x14ac:dyDescent="0.2">
      <c r="C2350" s="59"/>
      <c r="I2350" s="43" t="s">
        <v>2713</v>
      </c>
    </row>
    <row r="2351" spans="3:9" x14ac:dyDescent="0.2">
      <c r="C2351" s="59"/>
      <c r="I2351" s="43" t="s">
        <v>2713</v>
      </c>
    </row>
    <row r="2352" spans="3:9" x14ac:dyDescent="0.2">
      <c r="C2352" s="59"/>
      <c r="I2352" s="43" t="s">
        <v>2713</v>
      </c>
    </row>
    <row r="2353" spans="3:9" x14ac:dyDescent="0.2">
      <c r="C2353" s="59"/>
      <c r="I2353" s="43" t="s">
        <v>2713</v>
      </c>
    </row>
    <row r="2354" spans="3:9" x14ac:dyDescent="0.2">
      <c r="C2354" s="59"/>
      <c r="I2354" s="43" t="s">
        <v>2713</v>
      </c>
    </row>
    <row r="2355" spans="3:9" x14ac:dyDescent="0.2">
      <c r="C2355" s="59"/>
      <c r="I2355" s="43" t="s">
        <v>2713</v>
      </c>
    </row>
    <row r="2356" spans="3:9" x14ac:dyDescent="0.2">
      <c r="C2356" s="59"/>
      <c r="I2356" s="43" t="s">
        <v>2713</v>
      </c>
    </row>
    <row r="2357" spans="3:9" x14ac:dyDescent="0.2">
      <c r="C2357" s="59"/>
      <c r="I2357" s="43" t="s">
        <v>2713</v>
      </c>
    </row>
    <row r="2358" spans="3:9" x14ac:dyDescent="0.2">
      <c r="C2358" s="59"/>
      <c r="I2358" s="43" t="s">
        <v>2713</v>
      </c>
    </row>
    <row r="2359" spans="3:9" x14ac:dyDescent="0.2">
      <c r="C2359" s="59"/>
      <c r="I2359" s="43" t="s">
        <v>2713</v>
      </c>
    </row>
    <row r="2360" spans="3:9" x14ac:dyDescent="0.2">
      <c r="C2360" s="59"/>
      <c r="I2360" s="43" t="s">
        <v>2713</v>
      </c>
    </row>
    <row r="2361" spans="3:9" x14ac:dyDescent="0.2">
      <c r="C2361" s="59"/>
      <c r="I2361" s="43" t="s">
        <v>2713</v>
      </c>
    </row>
    <row r="2362" spans="3:9" x14ac:dyDescent="0.2">
      <c r="C2362" s="59"/>
      <c r="I2362" s="43" t="s">
        <v>2713</v>
      </c>
    </row>
    <row r="2363" spans="3:9" x14ac:dyDescent="0.2">
      <c r="C2363" s="59"/>
      <c r="I2363" s="43" t="s">
        <v>2713</v>
      </c>
    </row>
    <row r="2364" spans="3:9" x14ac:dyDescent="0.2">
      <c r="C2364" s="59"/>
      <c r="I2364" s="43" t="s">
        <v>2713</v>
      </c>
    </row>
    <row r="2365" spans="3:9" x14ac:dyDescent="0.2">
      <c r="C2365" s="59"/>
      <c r="I2365" s="43" t="s">
        <v>2713</v>
      </c>
    </row>
    <row r="2366" spans="3:9" x14ac:dyDescent="0.2">
      <c r="C2366" s="59"/>
      <c r="I2366" s="43" t="s">
        <v>2713</v>
      </c>
    </row>
    <row r="2367" spans="3:9" x14ac:dyDescent="0.2">
      <c r="C2367" s="59"/>
      <c r="I2367" s="43" t="s">
        <v>2713</v>
      </c>
    </row>
    <row r="2368" spans="3:9" x14ac:dyDescent="0.2">
      <c r="C2368" s="59"/>
      <c r="I2368" s="43" t="s">
        <v>2713</v>
      </c>
    </row>
    <row r="2369" spans="3:9" x14ac:dyDescent="0.2">
      <c r="C2369" s="59"/>
      <c r="I2369" s="43" t="s">
        <v>2713</v>
      </c>
    </row>
    <row r="2370" spans="3:9" x14ac:dyDescent="0.2">
      <c r="C2370" s="59"/>
      <c r="I2370" s="43" t="s">
        <v>2713</v>
      </c>
    </row>
    <row r="2371" spans="3:9" x14ac:dyDescent="0.2">
      <c r="C2371" s="59"/>
      <c r="I2371" s="43" t="s">
        <v>2713</v>
      </c>
    </row>
    <row r="2372" spans="3:9" x14ac:dyDescent="0.2">
      <c r="C2372" s="59"/>
      <c r="I2372" s="43" t="s">
        <v>2713</v>
      </c>
    </row>
    <row r="2373" spans="3:9" x14ac:dyDescent="0.2">
      <c r="C2373" s="59"/>
      <c r="I2373" s="43" t="s">
        <v>2713</v>
      </c>
    </row>
    <row r="2374" spans="3:9" x14ac:dyDescent="0.2">
      <c r="C2374" s="59"/>
      <c r="I2374" s="43" t="s">
        <v>2713</v>
      </c>
    </row>
    <row r="2375" spans="3:9" x14ac:dyDescent="0.2">
      <c r="C2375" s="59"/>
      <c r="I2375" s="43" t="s">
        <v>2713</v>
      </c>
    </row>
    <row r="2376" spans="3:9" x14ac:dyDescent="0.2">
      <c r="C2376" s="59"/>
      <c r="I2376" s="43" t="s">
        <v>2713</v>
      </c>
    </row>
    <row r="2377" spans="3:9" x14ac:dyDescent="0.2">
      <c r="C2377" s="59"/>
      <c r="I2377" s="43" t="s">
        <v>2713</v>
      </c>
    </row>
    <row r="2378" spans="3:9" x14ac:dyDescent="0.2">
      <c r="C2378" s="59"/>
      <c r="I2378" s="43" t="s">
        <v>2713</v>
      </c>
    </row>
    <row r="2379" spans="3:9" x14ac:dyDescent="0.2">
      <c r="C2379" s="59"/>
      <c r="I2379" s="43" t="s">
        <v>2713</v>
      </c>
    </row>
    <row r="2380" spans="3:9" x14ac:dyDescent="0.2">
      <c r="C2380" s="59"/>
      <c r="I2380" s="43" t="s">
        <v>2713</v>
      </c>
    </row>
    <row r="2381" spans="3:9" x14ac:dyDescent="0.2">
      <c r="C2381" s="59"/>
      <c r="I2381" s="43" t="s">
        <v>2713</v>
      </c>
    </row>
    <row r="2382" spans="3:9" x14ac:dyDescent="0.2">
      <c r="C2382" s="59"/>
      <c r="I2382" s="43" t="s">
        <v>2713</v>
      </c>
    </row>
    <row r="2383" spans="3:9" x14ac:dyDescent="0.2">
      <c r="C2383" s="59"/>
      <c r="I2383" s="43" t="s">
        <v>2713</v>
      </c>
    </row>
    <row r="2384" spans="3:9" x14ac:dyDescent="0.2">
      <c r="C2384" s="59"/>
      <c r="I2384" s="43" t="s">
        <v>2713</v>
      </c>
    </row>
    <row r="2385" spans="3:9" x14ac:dyDescent="0.2">
      <c r="C2385" s="59"/>
      <c r="I2385" s="43" t="s">
        <v>2713</v>
      </c>
    </row>
    <row r="2386" spans="3:9" x14ac:dyDescent="0.2">
      <c r="C2386" s="59"/>
      <c r="I2386" s="43" t="s">
        <v>2713</v>
      </c>
    </row>
    <row r="2387" spans="3:9" x14ac:dyDescent="0.2">
      <c r="C2387" s="59"/>
      <c r="I2387" s="43" t="s">
        <v>2713</v>
      </c>
    </row>
    <row r="2388" spans="3:9" x14ac:dyDescent="0.2">
      <c r="C2388" s="59"/>
      <c r="I2388" s="43" t="s">
        <v>2713</v>
      </c>
    </row>
    <row r="2389" spans="3:9" x14ac:dyDescent="0.2">
      <c r="C2389" s="59"/>
      <c r="I2389" s="43" t="s">
        <v>2713</v>
      </c>
    </row>
    <row r="2390" spans="3:9" x14ac:dyDescent="0.2">
      <c r="C2390" s="59"/>
      <c r="I2390" s="43" t="s">
        <v>2713</v>
      </c>
    </row>
    <row r="2391" spans="3:9" x14ac:dyDescent="0.2">
      <c r="C2391" s="59"/>
      <c r="I2391" s="43" t="s">
        <v>2713</v>
      </c>
    </row>
    <row r="2392" spans="3:9" x14ac:dyDescent="0.2">
      <c r="C2392" s="59"/>
      <c r="I2392" s="43" t="s">
        <v>2713</v>
      </c>
    </row>
    <row r="2393" spans="3:9" x14ac:dyDescent="0.2">
      <c r="C2393" s="59"/>
      <c r="I2393" s="43" t="s">
        <v>2713</v>
      </c>
    </row>
    <row r="2394" spans="3:9" x14ac:dyDescent="0.2">
      <c r="C2394" s="59"/>
      <c r="I2394" s="43" t="s">
        <v>2713</v>
      </c>
    </row>
    <row r="2395" spans="3:9" x14ac:dyDescent="0.2">
      <c r="C2395" s="59"/>
      <c r="I2395" s="43" t="s">
        <v>2713</v>
      </c>
    </row>
    <row r="2396" spans="3:9" x14ac:dyDescent="0.2">
      <c r="C2396" s="59"/>
      <c r="I2396" s="43" t="s">
        <v>2713</v>
      </c>
    </row>
    <row r="2397" spans="3:9" x14ac:dyDescent="0.2">
      <c r="C2397" s="59"/>
      <c r="I2397" s="43" t="s">
        <v>2713</v>
      </c>
    </row>
    <row r="2398" spans="3:9" x14ac:dyDescent="0.2">
      <c r="C2398" s="59"/>
      <c r="I2398" s="43" t="s">
        <v>2713</v>
      </c>
    </row>
    <row r="2399" spans="3:9" x14ac:dyDescent="0.2">
      <c r="C2399" s="59"/>
      <c r="I2399" s="43" t="s">
        <v>2713</v>
      </c>
    </row>
    <row r="2400" spans="3:9" x14ac:dyDescent="0.2">
      <c r="C2400" s="59"/>
      <c r="I2400" s="43" t="s">
        <v>2713</v>
      </c>
    </row>
    <row r="2401" spans="3:9" x14ac:dyDescent="0.2">
      <c r="C2401" s="59"/>
      <c r="I2401" s="43" t="s">
        <v>2713</v>
      </c>
    </row>
    <row r="2402" spans="3:9" x14ac:dyDescent="0.2">
      <c r="C2402" s="59"/>
      <c r="I2402" s="43" t="s">
        <v>2713</v>
      </c>
    </row>
    <row r="2403" spans="3:9" x14ac:dyDescent="0.2">
      <c r="C2403" s="59"/>
      <c r="I2403" s="43" t="s">
        <v>2713</v>
      </c>
    </row>
    <row r="2404" spans="3:9" x14ac:dyDescent="0.2">
      <c r="C2404" s="59"/>
      <c r="I2404" s="43" t="s">
        <v>2713</v>
      </c>
    </row>
    <row r="2405" spans="3:9" x14ac:dyDescent="0.2">
      <c r="C2405" s="59"/>
      <c r="I2405" s="43" t="s">
        <v>2713</v>
      </c>
    </row>
    <row r="2406" spans="3:9" x14ac:dyDescent="0.2">
      <c r="C2406" s="59"/>
      <c r="I2406" s="43" t="s">
        <v>2713</v>
      </c>
    </row>
    <row r="2407" spans="3:9" x14ac:dyDescent="0.2">
      <c r="C2407" s="59"/>
      <c r="I2407" s="43" t="s">
        <v>2713</v>
      </c>
    </row>
    <row r="2408" spans="3:9" x14ac:dyDescent="0.2">
      <c r="C2408" s="59"/>
      <c r="I2408" s="43" t="s">
        <v>2713</v>
      </c>
    </row>
    <row r="2409" spans="3:9" x14ac:dyDescent="0.2">
      <c r="C2409" s="59"/>
      <c r="I2409" s="43" t="s">
        <v>2713</v>
      </c>
    </row>
    <row r="2410" spans="3:9" x14ac:dyDescent="0.2">
      <c r="C2410" s="59"/>
      <c r="I2410" s="43" t="s">
        <v>2713</v>
      </c>
    </row>
    <row r="2411" spans="3:9" x14ac:dyDescent="0.2">
      <c r="C2411" s="59"/>
      <c r="I2411" s="43" t="s">
        <v>2713</v>
      </c>
    </row>
    <row r="2412" spans="3:9" x14ac:dyDescent="0.2">
      <c r="C2412" s="59"/>
      <c r="I2412" s="43" t="s">
        <v>2713</v>
      </c>
    </row>
    <row r="2413" spans="3:9" x14ac:dyDescent="0.2">
      <c r="C2413" s="59"/>
      <c r="I2413" s="43" t="s">
        <v>2713</v>
      </c>
    </row>
    <row r="2414" spans="3:9" x14ac:dyDescent="0.2">
      <c r="C2414" s="59"/>
      <c r="I2414" s="43" t="s">
        <v>2713</v>
      </c>
    </row>
    <row r="2415" spans="3:9" x14ac:dyDescent="0.2">
      <c r="C2415" s="59"/>
      <c r="I2415" s="43" t="s">
        <v>2713</v>
      </c>
    </row>
    <row r="2416" spans="3:9" x14ac:dyDescent="0.2">
      <c r="C2416" s="59"/>
      <c r="I2416" s="43" t="s">
        <v>2713</v>
      </c>
    </row>
    <row r="2417" spans="3:9" x14ac:dyDescent="0.2">
      <c r="C2417" s="59"/>
      <c r="I2417" s="43" t="s">
        <v>2713</v>
      </c>
    </row>
    <row r="2418" spans="3:9" x14ac:dyDescent="0.2">
      <c r="C2418" s="59"/>
      <c r="I2418" s="43" t="s">
        <v>2713</v>
      </c>
    </row>
    <row r="2419" spans="3:9" x14ac:dyDescent="0.2">
      <c r="C2419" s="59"/>
      <c r="I2419" s="43" t="s">
        <v>2713</v>
      </c>
    </row>
    <row r="2420" spans="3:9" x14ac:dyDescent="0.2">
      <c r="C2420" s="59"/>
      <c r="I2420" s="43" t="s">
        <v>2713</v>
      </c>
    </row>
    <row r="2421" spans="3:9" x14ac:dyDescent="0.2">
      <c r="C2421" s="59"/>
      <c r="I2421" s="43" t="s">
        <v>2713</v>
      </c>
    </row>
    <row r="2422" spans="3:9" x14ac:dyDescent="0.2">
      <c r="C2422" s="59"/>
      <c r="I2422" s="43" t="s">
        <v>2713</v>
      </c>
    </row>
    <row r="2423" spans="3:9" x14ac:dyDescent="0.2">
      <c r="C2423" s="59"/>
      <c r="I2423" s="43" t="s">
        <v>2713</v>
      </c>
    </row>
    <row r="2424" spans="3:9" x14ac:dyDescent="0.2">
      <c r="C2424" s="59"/>
      <c r="I2424" s="43" t="s">
        <v>2713</v>
      </c>
    </row>
    <row r="2425" spans="3:9" x14ac:dyDescent="0.2">
      <c r="C2425" s="59"/>
      <c r="I2425" s="43" t="s">
        <v>2713</v>
      </c>
    </row>
    <row r="2426" spans="3:9" x14ac:dyDescent="0.2">
      <c r="C2426" s="59"/>
      <c r="I2426" s="43" t="s">
        <v>2713</v>
      </c>
    </row>
    <row r="2427" spans="3:9" x14ac:dyDescent="0.2">
      <c r="C2427" s="59"/>
      <c r="I2427" s="43" t="s">
        <v>2713</v>
      </c>
    </row>
    <row r="2428" spans="3:9" x14ac:dyDescent="0.2">
      <c r="C2428" s="59"/>
      <c r="I2428" s="43" t="s">
        <v>2713</v>
      </c>
    </row>
    <row r="2429" spans="3:9" x14ac:dyDescent="0.2">
      <c r="C2429" s="59"/>
      <c r="I2429" s="43" t="s">
        <v>2713</v>
      </c>
    </row>
    <row r="2430" spans="3:9" x14ac:dyDescent="0.2">
      <c r="C2430" s="59"/>
      <c r="I2430" s="43" t="s">
        <v>2713</v>
      </c>
    </row>
    <row r="2431" spans="3:9" x14ac:dyDescent="0.2">
      <c r="C2431" s="59"/>
      <c r="I2431" s="43" t="s">
        <v>2713</v>
      </c>
    </row>
    <row r="2432" spans="3:9" x14ac:dyDescent="0.2">
      <c r="C2432" s="59"/>
      <c r="I2432" s="43" t="s">
        <v>2713</v>
      </c>
    </row>
    <row r="2433" spans="3:9" x14ac:dyDescent="0.2">
      <c r="C2433" s="59"/>
      <c r="I2433" s="43" t="s">
        <v>2713</v>
      </c>
    </row>
    <row r="2434" spans="3:9" x14ac:dyDescent="0.2">
      <c r="C2434" s="59"/>
      <c r="I2434" s="43" t="s">
        <v>2713</v>
      </c>
    </row>
    <row r="2435" spans="3:9" x14ac:dyDescent="0.2">
      <c r="C2435" s="59"/>
      <c r="I2435" s="43" t="s">
        <v>2713</v>
      </c>
    </row>
    <row r="2436" spans="3:9" x14ac:dyDescent="0.2">
      <c r="C2436" s="59"/>
      <c r="I2436" s="43" t="s">
        <v>2713</v>
      </c>
    </row>
    <row r="2437" spans="3:9" x14ac:dyDescent="0.2">
      <c r="C2437" s="59"/>
      <c r="I2437" s="43" t="s">
        <v>2713</v>
      </c>
    </row>
    <row r="2438" spans="3:9" x14ac:dyDescent="0.2">
      <c r="C2438" s="59"/>
      <c r="I2438" s="43" t="s">
        <v>2713</v>
      </c>
    </row>
    <row r="2439" spans="3:9" x14ac:dyDescent="0.2">
      <c r="C2439" s="59"/>
      <c r="I2439" s="43" t="s">
        <v>2713</v>
      </c>
    </row>
    <row r="2440" spans="3:9" x14ac:dyDescent="0.2">
      <c r="C2440" s="59"/>
      <c r="I2440" s="43" t="s">
        <v>2713</v>
      </c>
    </row>
    <row r="2441" spans="3:9" x14ac:dyDescent="0.2">
      <c r="C2441" s="59"/>
      <c r="I2441" s="43" t="s">
        <v>2713</v>
      </c>
    </row>
    <row r="2442" spans="3:9" x14ac:dyDescent="0.2">
      <c r="C2442" s="59"/>
      <c r="I2442" s="43" t="s">
        <v>2713</v>
      </c>
    </row>
    <row r="2443" spans="3:9" x14ac:dyDescent="0.2">
      <c r="C2443" s="59"/>
      <c r="I2443" s="43" t="s">
        <v>2713</v>
      </c>
    </row>
    <row r="2444" spans="3:9" x14ac:dyDescent="0.2">
      <c r="C2444" s="59"/>
      <c r="I2444" s="43" t="s">
        <v>2713</v>
      </c>
    </row>
    <row r="2445" spans="3:9" x14ac:dyDescent="0.2">
      <c r="C2445" s="59"/>
      <c r="I2445" s="43" t="s">
        <v>2713</v>
      </c>
    </row>
    <row r="2446" spans="3:9" x14ac:dyDescent="0.2">
      <c r="C2446" s="59"/>
      <c r="I2446" s="43" t="s">
        <v>2713</v>
      </c>
    </row>
    <row r="2447" spans="3:9" x14ac:dyDescent="0.2">
      <c r="C2447" s="59"/>
      <c r="I2447" s="43" t="s">
        <v>2713</v>
      </c>
    </row>
    <row r="2448" spans="3:9" x14ac:dyDescent="0.2">
      <c r="C2448" s="59"/>
      <c r="I2448" s="43" t="s">
        <v>2713</v>
      </c>
    </row>
    <row r="2449" spans="3:9" x14ac:dyDescent="0.2">
      <c r="C2449" s="59"/>
      <c r="I2449" s="43" t="s">
        <v>2713</v>
      </c>
    </row>
    <row r="2450" spans="3:9" x14ac:dyDescent="0.2">
      <c r="C2450" s="59"/>
      <c r="I2450" s="43" t="s">
        <v>2713</v>
      </c>
    </row>
    <row r="2451" spans="3:9" x14ac:dyDescent="0.2">
      <c r="C2451" s="59"/>
      <c r="I2451" s="43" t="s">
        <v>2713</v>
      </c>
    </row>
    <row r="2452" spans="3:9" x14ac:dyDescent="0.2">
      <c r="C2452" s="59"/>
      <c r="I2452" s="43" t="s">
        <v>2713</v>
      </c>
    </row>
    <row r="2453" spans="3:9" x14ac:dyDescent="0.2">
      <c r="C2453" s="59"/>
      <c r="I2453" s="43" t="s">
        <v>2713</v>
      </c>
    </row>
    <row r="2454" spans="3:9" x14ac:dyDescent="0.2">
      <c r="C2454" s="59"/>
      <c r="I2454" s="43" t="s">
        <v>2713</v>
      </c>
    </row>
    <row r="2455" spans="3:9" x14ac:dyDescent="0.2">
      <c r="C2455" s="59"/>
      <c r="I2455" s="43" t="s">
        <v>2713</v>
      </c>
    </row>
    <row r="2456" spans="3:9" x14ac:dyDescent="0.2">
      <c r="C2456" s="59"/>
      <c r="I2456" s="43" t="s">
        <v>2713</v>
      </c>
    </row>
    <row r="2457" spans="3:9" x14ac:dyDescent="0.2">
      <c r="C2457" s="59"/>
      <c r="I2457" s="43" t="s">
        <v>2713</v>
      </c>
    </row>
    <row r="2458" spans="3:9" x14ac:dyDescent="0.2">
      <c r="C2458" s="59"/>
      <c r="I2458" s="43" t="s">
        <v>2713</v>
      </c>
    </row>
    <row r="2459" spans="3:9" x14ac:dyDescent="0.2">
      <c r="C2459" s="59"/>
      <c r="I2459" s="43" t="s">
        <v>2713</v>
      </c>
    </row>
    <row r="2460" spans="3:9" x14ac:dyDescent="0.2">
      <c r="C2460" s="59"/>
      <c r="I2460" s="43" t="s">
        <v>2713</v>
      </c>
    </row>
    <row r="2461" spans="3:9" x14ac:dyDescent="0.2">
      <c r="C2461" s="59"/>
      <c r="I2461" s="43" t="s">
        <v>2713</v>
      </c>
    </row>
    <row r="2462" spans="3:9" x14ac:dyDescent="0.2">
      <c r="C2462" s="59"/>
      <c r="I2462" s="43" t="s">
        <v>2713</v>
      </c>
    </row>
    <row r="2463" spans="3:9" x14ac:dyDescent="0.2">
      <c r="C2463" s="59"/>
      <c r="I2463" s="43" t="s">
        <v>2713</v>
      </c>
    </row>
    <row r="2464" spans="3:9" x14ac:dyDescent="0.2">
      <c r="C2464" s="59"/>
      <c r="I2464" s="43" t="s">
        <v>2713</v>
      </c>
    </row>
    <row r="2465" spans="3:9" x14ac:dyDescent="0.2">
      <c r="C2465" s="59"/>
      <c r="I2465" s="43" t="s">
        <v>2713</v>
      </c>
    </row>
    <row r="2466" spans="3:9" x14ac:dyDescent="0.2">
      <c r="C2466" s="59"/>
      <c r="I2466" s="43" t="s">
        <v>2713</v>
      </c>
    </row>
    <row r="2467" spans="3:9" x14ac:dyDescent="0.2">
      <c r="C2467" s="59"/>
      <c r="I2467" s="43" t="s">
        <v>2713</v>
      </c>
    </row>
    <row r="2468" spans="3:9" x14ac:dyDescent="0.2">
      <c r="C2468" s="59"/>
      <c r="I2468" s="43" t="s">
        <v>2713</v>
      </c>
    </row>
    <row r="2469" spans="3:9" x14ac:dyDescent="0.2">
      <c r="C2469" s="59"/>
      <c r="I2469" s="43" t="s">
        <v>2713</v>
      </c>
    </row>
    <row r="2470" spans="3:9" x14ac:dyDescent="0.2">
      <c r="C2470" s="59"/>
      <c r="I2470" s="43" t="s">
        <v>2713</v>
      </c>
    </row>
    <row r="2471" spans="3:9" x14ac:dyDescent="0.2">
      <c r="C2471" s="59"/>
      <c r="I2471" s="43" t="s">
        <v>2713</v>
      </c>
    </row>
    <row r="2472" spans="3:9" x14ac:dyDescent="0.2">
      <c r="C2472" s="59"/>
      <c r="I2472" s="43" t="s">
        <v>2713</v>
      </c>
    </row>
    <row r="2473" spans="3:9" x14ac:dyDescent="0.2">
      <c r="C2473" s="59"/>
      <c r="I2473" s="43" t="s">
        <v>2713</v>
      </c>
    </row>
    <row r="2474" spans="3:9" x14ac:dyDescent="0.2">
      <c r="C2474" s="59"/>
      <c r="I2474" s="43" t="s">
        <v>2713</v>
      </c>
    </row>
    <row r="2475" spans="3:9" x14ac:dyDescent="0.2">
      <c r="C2475" s="59"/>
      <c r="I2475" s="43" t="s">
        <v>2713</v>
      </c>
    </row>
    <row r="2476" spans="3:9" x14ac:dyDescent="0.2">
      <c r="C2476" s="59"/>
      <c r="I2476" s="43" t="s">
        <v>2713</v>
      </c>
    </row>
    <row r="2477" spans="3:9" x14ac:dyDescent="0.2">
      <c r="C2477" s="59"/>
      <c r="I2477" s="43" t="s">
        <v>2713</v>
      </c>
    </row>
    <row r="2478" spans="3:9" x14ac:dyDescent="0.2">
      <c r="C2478" s="59"/>
      <c r="I2478" s="43" t="s">
        <v>2713</v>
      </c>
    </row>
    <row r="2479" spans="3:9" x14ac:dyDescent="0.2">
      <c r="C2479" s="59"/>
      <c r="I2479" s="43" t="s">
        <v>2713</v>
      </c>
    </row>
    <row r="2480" spans="3:9" x14ac:dyDescent="0.2">
      <c r="C2480" s="59"/>
      <c r="I2480" s="43" t="s">
        <v>2713</v>
      </c>
    </row>
    <row r="2481" spans="3:9" x14ac:dyDescent="0.2">
      <c r="C2481" s="59"/>
      <c r="I2481" s="43" t="s">
        <v>2713</v>
      </c>
    </row>
    <row r="2482" spans="3:9" x14ac:dyDescent="0.2">
      <c r="C2482" s="59"/>
      <c r="I2482" s="43" t="s">
        <v>2713</v>
      </c>
    </row>
    <row r="2483" spans="3:9" x14ac:dyDescent="0.2">
      <c r="C2483" s="59"/>
      <c r="I2483" s="43" t="s">
        <v>2713</v>
      </c>
    </row>
    <row r="2484" spans="3:9" x14ac:dyDescent="0.2">
      <c r="C2484" s="59"/>
      <c r="I2484" s="43" t="s">
        <v>2713</v>
      </c>
    </row>
    <row r="2485" spans="3:9" x14ac:dyDescent="0.2">
      <c r="C2485" s="59"/>
      <c r="I2485" s="43" t="s">
        <v>2713</v>
      </c>
    </row>
    <row r="2486" spans="3:9" x14ac:dyDescent="0.2">
      <c r="C2486" s="59"/>
      <c r="I2486" s="43" t="s">
        <v>2713</v>
      </c>
    </row>
    <row r="2487" spans="3:9" x14ac:dyDescent="0.2">
      <c r="C2487" s="59"/>
      <c r="I2487" s="43" t="s">
        <v>2713</v>
      </c>
    </row>
    <row r="2488" spans="3:9" x14ac:dyDescent="0.2">
      <c r="C2488" s="59"/>
      <c r="I2488" s="43" t="s">
        <v>2713</v>
      </c>
    </row>
    <row r="2489" spans="3:9" x14ac:dyDescent="0.2">
      <c r="C2489" s="59"/>
      <c r="I2489" s="43" t="s">
        <v>2713</v>
      </c>
    </row>
    <row r="2490" spans="3:9" x14ac:dyDescent="0.2">
      <c r="C2490" s="59"/>
      <c r="I2490" s="43" t="s">
        <v>2713</v>
      </c>
    </row>
    <row r="2491" spans="3:9" x14ac:dyDescent="0.2">
      <c r="C2491" s="59"/>
      <c r="I2491" s="43" t="s">
        <v>2713</v>
      </c>
    </row>
    <row r="2492" spans="3:9" x14ac:dyDescent="0.2">
      <c r="C2492" s="59"/>
      <c r="I2492" s="43" t="s">
        <v>2713</v>
      </c>
    </row>
    <row r="2493" spans="3:9" x14ac:dyDescent="0.2">
      <c r="C2493" s="59"/>
      <c r="I2493" s="43" t="s">
        <v>2713</v>
      </c>
    </row>
    <row r="2494" spans="3:9" x14ac:dyDescent="0.2">
      <c r="C2494" s="59"/>
      <c r="I2494" s="43" t="s">
        <v>2713</v>
      </c>
    </row>
    <row r="2495" spans="3:9" x14ac:dyDescent="0.2">
      <c r="C2495" s="59"/>
      <c r="I2495" s="43" t="s">
        <v>2713</v>
      </c>
    </row>
    <row r="2496" spans="3:9" x14ac:dyDescent="0.2">
      <c r="C2496" s="59"/>
      <c r="I2496" s="43" t="s">
        <v>2713</v>
      </c>
    </row>
    <row r="2497" spans="3:9" x14ac:dyDescent="0.2">
      <c r="C2497" s="59"/>
      <c r="I2497" s="43" t="s">
        <v>2713</v>
      </c>
    </row>
    <row r="2498" spans="3:9" x14ac:dyDescent="0.2">
      <c r="C2498" s="59"/>
      <c r="I2498" s="43" t="s">
        <v>2713</v>
      </c>
    </row>
    <row r="2499" spans="3:9" x14ac:dyDescent="0.2">
      <c r="C2499" s="59"/>
      <c r="I2499" s="43" t="s">
        <v>2713</v>
      </c>
    </row>
    <row r="2500" spans="3:9" x14ac:dyDescent="0.2">
      <c r="C2500" s="59"/>
      <c r="I2500" s="43" t="s">
        <v>2713</v>
      </c>
    </row>
    <row r="2501" spans="3:9" x14ac:dyDescent="0.2">
      <c r="C2501" s="59"/>
      <c r="I2501" s="43" t="s">
        <v>2713</v>
      </c>
    </row>
    <row r="2502" spans="3:9" x14ac:dyDescent="0.2">
      <c r="C2502" s="59"/>
      <c r="I2502" s="43" t="s">
        <v>2713</v>
      </c>
    </row>
    <row r="2503" spans="3:9" x14ac:dyDescent="0.2">
      <c r="C2503" s="59"/>
      <c r="I2503" s="43" t="s">
        <v>2713</v>
      </c>
    </row>
    <row r="2504" spans="3:9" x14ac:dyDescent="0.2">
      <c r="C2504" s="59"/>
      <c r="I2504" s="43" t="s">
        <v>2713</v>
      </c>
    </row>
    <row r="2505" spans="3:9" x14ac:dyDescent="0.2">
      <c r="C2505" s="59"/>
      <c r="I2505" s="43" t="s">
        <v>2713</v>
      </c>
    </row>
    <row r="2506" spans="3:9" x14ac:dyDescent="0.2">
      <c r="C2506" s="59"/>
      <c r="I2506" s="43" t="s">
        <v>2713</v>
      </c>
    </row>
    <row r="2507" spans="3:9" x14ac:dyDescent="0.2">
      <c r="C2507" s="59"/>
      <c r="I2507" s="43" t="s">
        <v>2713</v>
      </c>
    </row>
    <row r="2508" spans="3:9" x14ac:dyDescent="0.2">
      <c r="C2508" s="59"/>
      <c r="I2508" s="43" t="s">
        <v>2713</v>
      </c>
    </row>
    <row r="2509" spans="3:9" x14ac:dyDescent="0.2">
      <c r="C2509" s="59"/>
      <c r="I2509" s="43" t="s">
        <v>2713</v>
      </c>
    </row>
    <row r="2510" spans="3:9" x14ac:dyDescent="0.2">
      <c r="C2510" s="59"/>
      <c r="I2510" s="43" t="s">
        <v>2713</v>
      </c>
    </row>
    <row r="2511" spans="3:9" x14ac:dyDescent="0.2">
      <c r="C2511" s="59"/>
      <c r="I2511" s="43" t="s">
        <v>2713</v>
      </c>
    </row>
    <row r="2512" spans="3:9" x14ac:dyDescent="0.2">
      <c r="C2512" s="59"/>
      <c r="I2512" s="43" t="s">
        <v>2713</v>
      </c>
    </row>
    <row r="2513" spans="3:9" x14ac:dyDescent="0.2">
      <c r="C2513" s="59"/>
      <c r="I2513" s="43" t="s">
        <v>2713</v>
      </c>
    </row>
    <row r="2514" spans="3:9" x14ac:dyDescent="0.2">
      <c r="C2514" s="59"/>
      <c r="I2514" s="43" t="s">
        <v>2713</v>
      </c>
    </row>
    <row r="2515" spans="3:9" x14ac:dyDescent="0.2">
      <c r="C2515" s="59"/>
      <c r="I2515" s="43" t="s">
        <v>2713</v>
      </c>
    </row>
    <row r="2516" spans="3:9" x14ac:dyDescent="0.2">
      <c r="C2516" s="59"/>
      <c r="I2516" s="43" t="s">
        <v>2713</v>
      </c>
    </row>
  </sheetData>
  <sortState xmlns:xlrd2="http://schemas.microsoft.com/office/spreadsheetml/2017/richdata2" ref="A2:U1452">
    <sortCondition ref="A2:A1452"/>
  </sortState>
  <phoneticPr fontId="8" type="noConversion"/>
  <conditionalFormatting sqref="A1:A1048576">
    <cfRule type="duplicateValues" dxfId="28" priority="9"/>
    <cfRule type="duplicateValues" dxfId="27" priority="66"/>
    <cfRule type="duplicateValues" dxfId="26" priority="67"/>
    <cfRule type="duplicateValues" dxfId="25" priority="72"/>
  </conditionalFormatting>
  <conditionalFormatting sqref="A2:A1453">
    <cfRule type="duplicateValues" dxfId="24" priority="1383"/>
    <cfRule type="duplicateValues" dxfId="23" priority="1384"/>
  </conditionalFormatting>
  <conditionalFormatting sqref="B1454:C2516">
    <cfRule type="duplicateValues" dxfId="22" priority="1285"/>
  </conditionalFormatting>
  <conditionalFormatting sqref="C1454:C2516">
    <cfRule type="duplicateValues" dxfId="21" priority="1286"/>
    <cfRule type="duplicateValues" dxfId="20" priority="1287"/>
    <cfRule type="duplicateValues" dxfId="19" priority="1288"/>
    <cfRule type="duplicateValues" dxfId="18" priority="1289"/>
  </conditionalFormatting>
  <conditionalFormatting sqref="H403:I403">
    <cfRule type="duplicateValues" dxfId="17" priority="70"/>
  </conditionalFormatting>
  <conditionalFormatting sqref="H409:I409">
    <cfRule type="duplicateValues" dxfId="16" priority="69"/>
  </conditionalFormatting>
  <printOptions horizontalCentered="1"/>
  <pageMargins left="0.7" right="0.7" top="0.75" bottom="0.75" header="0.3" footer="0.3"/>
  <pageSetup scale="62" fitToHeight="20" orientation="landscape" r:id="rId1"/>
  <headerFooter alignWithMargins="0">
    <oddHeader xml:space="preserve">&amp;C&amp;"Arial,Bold"&amp;UInterconnection Requests and Transmission Projects &amp;R
&amp;10Page &amp;P of &amp;N&amp;12
</oddHeader>
    <oddFooter>&amp;L&amp;"Arial,Italic"&amp;10&amp;F&amp;C
&amp;R&amp;"Arial,Italic"&amp;10Updated: 07/31/2026</oddFooter>
  </headerFooter>
  <ignoredErrors>
    <ignoredError sqref="A755:A756 A651:A658 A545:A559 A636:A646 A667 A676:A678 A680:A681 A736:A750 A768 M836:M844 A845:H845 A648:A649 A752:A753 M755:M756 M763:M766 A763:A766 M768:M799 A770:A799 M944:M962 M1052:M1073 M1075:M1166 M896:M923 M925:M928 M996:M1019 A759:A761 M758:M761 M872:M877 M930:M942 M1168:M1191 A1052:A1191 M1283:M1324 A454:A456 M1021:M1050 A968:A1050 M636:M649 M421:M456 A669:A673 M458:M469 M651:M665 A660:A665 A458:A543 M1193:M1281 A1193:A1281 M1342:M1400 A1342:A1452 M1425:M1453 A561:A611 M472:M634 A613:A634 M801:M834 A801:A844 A2:A452 M2:M419 A683:A734 M667:M753 M846:M870 M879:M894 A846:A942 A944:A966 M964:M994 A1283:A1341 M1326:M1341 J845:XFD845" numberStoredAsText="1"/>
    <ignoredError sqref="N944:N946 N956 N928:N942"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6C1D-CE72-485A-B1C0-CD38865F2D19}">
  <dimension ref="A1:N288"/>
  <sheetViews>
    <sheetView topLeftCell="A261" workbookViewId="0">
      <selection activeCell="Q173" sqref="Q173:S173"/>
    </sheetView>
  </sheetViews>
  <sheetFormatPr defaultRowHeight="15" x14ac:dyDescent="0.2"/>
  <cols>
    <col min="1" max="1" width="8.88671875" bestFit="1" customWidth="1"/>
    <col min="2" max="2" width="18.88671875" bestFit="1" customWidth="1"/>
    <col min="3" max="3" width="10.33203125" bestFit="1" customWidth="1"/>
    <col min="7" max="7" width="11" customWidth="1"/>
    <col min="10" max="10" width="4.109375" customWidth="1"/>
    <col min="11" max="11" width="47.33203125" bestFit="1" customWidth="1"/>
    <col min="14" max="14" width="12.6640625" bestFit="1" customWidth="1"/>
  </cols>
  <sheetData>
    <row r="1" spans="1:14" ht="16.5" thickBot="1" x14ac:dyDescent="0.3">
      <c r="A1" s="204" t="s">
        <v>7656</v>
      </c>
      <c r="B1" s="204"/>
      <c r="C1" s="204"/>
      <c r="D1" s="204"/>
      <c r="E1" s="204"/>
      <c r="F1" s="204"/>
      <c r="G1" s="204"/>
      <c r="H1" s="204"/>
      <c r="I1" s="204"/>
      <c r="J1" s="204"/>
      <c r="K1" s="204"/>
      <c r="L1" s="204"/>
      <c r="M1" s="204"/>
      <c r="N1" s="204"/>
    </row>
    <row r="2" spans="1:14" s="4" customFormat="1" ht="36" customHeight="1" thickBot="1" x14ac:dyDescent="0.25">
      <c r="A2" s="34" t="s">
        <v>2828</v>
      </c>
      <c r="B2" s="34" t="s">
        <v>33</v>
      </c>
      <c r="C2" s="34" t="s">
        <v>0</v>
      </c>
      <c r="D2" s="35" t="s">
        <v>2829</v>
      </c>
      <c r="E2" s="35" t="s">
        <v>2830</v>
      </c>
      <c r="F2" s="35" t="s">
        <v>2831</v>
      </c>
      <c r="G2" s="35" t="s">
        <v>2832</v>
      </c>
      <c r="H2" s="36" t="s">
        <v>2710</v>
      </c>
      <c r="I2" s="37" t="s">
        <v>2711</v>
      </c>
      <c r="J2" s="38" t="s">
        <v>529</v>
      </c>
      <c r="K2" s="38" t="s">
        <v>2833</v>
      </c>
      <c r="L2" s="38" t="s">
        <v>85</v>
      </c>
      <c r="M2" s="38" t="s">
        <v>55</v>
      </c>
      <c r="N2" s="38" t="s">
        <v>363</v>
      </c>
    </row>
    <row r="3" spans="1:14" ht="14.45" customHeight="1" x14ac:dyDescent="0.2">
      <c r="A3" s="59" t="s">
        <v>6199</v>
      </c>
      <c r="B3" s="60" t="s">
        <v>4358</v>
      </c>
      <c r="C3" s="60" t="s">
        <v>6200</v>
      </c>
      <c r="D3" s="40">
        <v>45505</v>
      </c>
      <c r="E3" s="61" t="s">
        <v>3519</v>
      </c>
      <c r="F3" s="62" t="s">
        <v>3519</v>
      </c>
      <c r="G3" s="63" t="s">
        <v>124</v>
      </c>
      <c r="H3" s="64" t="s">
        <v>2746</v>
      </c>
      <c r="I3" s="64" t="s">
        <v>2713</v>
      </c>
      <c r="J3" s="63" t="s">
        <v>532</v>
      </c>
      <c r="K3" s="64" t="s">
        <v>6784</v>
      </c>
      <c r="L3" s="63" t="s">
        <v>41</v>
      </c>
      <c r="M3" s="63" t="s">
        <v>5781</v>
      </c>
      <c r="N3" s="65">
        <v>45688</v>
      </c>
    </row>
    <row r="4" spans="1:14" ht="14.45" customHeight="1" x14ac:dyDescent="0.2">
      <c r="A4" s="59" t="s">
        <v>6201</v>
      </c>
      <c r="B4" s="60" t="s">
        <v>6202</v>
      </c>
      <c r="C4" s="60" t="s">
        <v>6203</v>
      </c>
      <c r="D4" s="40">
        <v>45505</v>
      </c>
      <c r="E4" s="61" t="s">
        <v>4629</v>
      </c>
      <c r="F4" s="62" t="s">
        <v>4629</v>
      </c>
      <c r="G4" s="63" t="s">
        <v>124</v>
      </c>
      <c r="H4" s="64" t="s">
        <v>2715</v>
      </c>
      <c r="I4" s="64" t="s">
        <v>2713</v>
      </c>
      <c r="J4" s="63" t="s">
        <v>533</v>
      </c>
      <c r="K4" s="64" t="s">
        <v>6204</v>
      </c>
      <c r="L4" s="63" t="s">
        <v>403</v>
      </c>
      <c r="M4" s="63" t="s">
        <v>5781</v>
      </c>
      <c r="N4" s="65">
        <v>45716</v>
      </c>
    </row>
    <row r="5" spans="1:14" ht="15" customHeight="1" x14ac:dyDescent="0.2">
      <c r="A5" s="59" t="s">
        <v>6214</v>
      </c>
      <c r="B5" s="60" t="s">
        <v>6215</v>
      </c>
      <c r="C5" s="60" t="s">
        <v>6216</v>
      </c>
      <c r="D5" s="40">
        <v>45505</v>
      </c>
      <c r="E5" s="61">
        <v>1400</v>
      </c>
      <c r="F5" s="62">
        <v>1400</v>
      </c>
      <c r="G5" s="63" t="s">
        <v>124</v>
      </c>
      <c r="H5" s="64" t="s">
        <v>2716</v>
      </c>
      <c r="I5" s="64" t="s">
        <v>2713</v>
      </c>
      <c r="J5" s="63" t="s">
        <v>532</v>
      </c>
      <c r="K5" s="64" t="s">
        <v>6217</v>
      </c>
      <c r="L5" s="63" t="s">
        <v>41</v>
      </c>
      <c r="M5" s="63" t="s">
        <v>5781</v>
      </c>
      <c r="N5" s="65">
        <v>45747</v>
      </c>
    </row>
    <row r="6" spans="1:14" ht="14.45" customHeight="1" x14ac:dyDescent="0.2">
      <c r="A6" s="59" t="s">
        <v>6160</v>
      </c>
      <c r="B6" s="60" t="s">
        <v>6161</v>
      </c>
      <c r="C6" s="60" t="s">
        <v>6120</v>
      </c>
      <c r="D6" s="40">
        <v>45505</v>
      </c>
      <c r="E6" s="61">
        <v>250</v>
      </c>
      <c r="F6" s="62">
        <v>250</v>
      </c>
      <c r="G6" s="63" t="s">
        <v>615</v>
      </c>
      <c r="H6" s="64" t="s">
        <v>2769</v>
      </c>
      <c r="I6" s="64" t="s">
        <v>2713</v>
      </c>
      <c r="J6" s="63" t="s">
        <v>471</v>
      </c>
      <c r="K6" s="64" t="s">
        <v>6162</v>
      </c>
      <c r="L6" s="63" t="s">
        <v>3533</v>
      </c>
      <c r="M6" s="63" t="s">
        <v>5781</v>
      </c>
      <c r="N6" s="65">
        <v>45565</v>
      </c>
    </row>
    <row r="7" spans="1:14" ht="14.45" customHeight="1" x14ac:dyDescent="0.2">
      <c r="A7" s="59" t="s">
        <v>6218</v>
      </c>
      <c r="B7" s="60" t="s">
        <v>4291</v>
      </c>
      <c r="C7" s="60" t="s">
        <v>4030</v>
      </c>
      <c r="D7" s="40">
        <v>45505</v>
      </c>
      <c r="E7" s="61">
        <v>884</v>
      </c>
      <c r="F7" s="62">
        <v>884</v>
      </c>
      <c r="G7" s="63" t="s">
        <v>124</v>
      </c>
      <c r="H7" s="64" t="s">
        <v>6219</v>
      </c>
      <c r="I7" s="64" t="s">
        <v>2713</v>
      </c>
      <c r="J7" s="63" t="s">
        <v>532</v>
      </c>
      <c r="K7" s="64" t="s">
        <v>6220</v>
      </c>
      <c r="L7" s="63" t="s">
        <v>41</v>
      </c>
      <c r="M7" s="63" t="s">
        <v>5781</v>
      </c>
      <c r="N7" s="65">
        <v>45657</v>
      </c>
    </row>
    <row r="8" spans="1:14" ht="14.45" customHeight="1" x14ac:dyDescent="0.2">
      <c r="A8" s="59" t="s">
        <v>6223</v>
      </c>
      <c r="B8" s="60" t="s">
        <v>6224</v>
      </c>
      <c r="C8" s="60" t="s">
        <v>6225</v>
      </c>
      <c r="D8" s="40">
        <v>45505</v>
      </c>
      <c r="E8" s="61">
        <v>1400</v>
      </c>
      <c r="F8" s="62">
        <v>1400</v>
      </c>
      <c r="G8" s="63" t="s">
        <v>124</v>
      </c>
      <c r="H8" s="64" t="s">
        <v>6226</v>
      </c>
      <c r="I8" s="64" t="s">
        <v>2713</v>
      </c>
      <c r="J8" s="63" t="s">
        <v>533</v>
      </c>
      <c r="K8" s="64" t="s">
        <v>6227</v>
      </c>
      <c r="L8" s="63" t="s">
        <v>403</v>
      </c>
      <c r="M8" s="63" t="s">
        <v>5781</v>
      </c>
      <c r="N8" s="65">
        <v>45716</v>
      </c>
    </row>
    <row r="9" spans="1:14" ht="14.45" customHeight="1" x14ac:dyDescent="0.2">
      <c r="A9" s="59" t="s">
        <v>6947</v>
      </c>
      <c r="B9" s="60" t="s">
        <v>6948</v>
      </c>
      <c r="C9" s="60" t="s">
        <v>6949</v>
      </c>
      <c r="D9" s="40">
        <v>45505</v>
      </c>
      <c r="E9" s="61">
        <v>1240</v>
      </c>
      <c r="F9" s="62">
        <v>1240</v>
      </c>
      <c r="G9" s="63" t="s">
        <v>124</v>
      </c>
      <c r="H9" s="64" t="s">
        <v>6950</v>
      </c>
      <c r="I9" s="64" t="s">
        <v>2713</v>
      </c>
      <c r="J9" s="63" t="s">
        <v>532</v>
      </c>
      <c r="K9" s="64" t="s">
        <v>6951</v>
      </c>
      <c r="L9" s="63" t="s">
        <v>41</v>
      </c>
      <c r="M9" s="63" t="s">
        <v>5781</v>
      </c>
      <c r="N9" s="65">
        <v>45747</v>
      </c>
    </row>
    <row r="10" spans="1:14" ht="14.45" customHeight="1" x14ac:dyDescent="0.2">
      <c r="A10" s="59" t="s">
        <v>6231</v>
      </c>
      <c r="B10" s="60" t="s">
        <v>4860</v>
      </c>
      <c r="C10" s="60" t="s">
        <v>4860</v>
      </c>
      <c r="D10" s="40">
        <v>45505</v>
      </c>
      <c r="E10" s="61">
        <v>150</v>
      </c>
      <c r="F10" s="62">
        <v>150</v>
      </c>
      <c r="G10" s="63" t="s">
        <v>615</v>
      </c>
      <c r="H10" s="64" t="s">
        <v>2719</v>
      </c>
      <c r="I10" s="64" t="s">
        <v>2713</v>
      </c>
      <c r="J10" s="63" t="s">
        <v>533</v>
      </c>
      <c r="K10" s="64" t="s">
        <v>3177</v>
      </c>
      <c r="L10" s="63" t="s">
        <v>403</v>
      </c>
      <c r="M10" s="63" t="s">
        <v>5781</v>
      </c>
      <c r="N10" s="65">
        <v>45716</v>
      </c>
    </row>
    <row r="11" spans="1:14" ht="14.45" customHeight="1" x14ac:dyDescent="0.2">
      <c r="A11" s="59" t="s">
        <v>6042</v>
      </c>
      <c r="B11" s="60" t="s">
        <v>6043</v>
      </c>
      <c r="C11" s="60" t="s">
        <v>6044</v>
      </c>
      <c r="D11" s="40">
        <v>45505</v>
      </c>
      <c r="E11" s="61">
        <v>100</v>
      </c>
      <c r="F11" s="62">
        <v>100</v>
      </c>
      <c r="G11" s="63" t="s">
        <v>55</v>
      </c>
      <c r="H11" s="64" t="s">
        <v>2098</v>
      </c>
      <c r="I11" s="64" t="s">
        <v>2713</v>
      </c>
      <c r="J11" s="63" t="s">
        <v>393</v>
      </c>
      <c r="K11" s="64" t="s">
        <v>6232</v>
      </c>
      <c r="L11" s="63" t="s">
        <v>34</v>
      </c>
      <c r="M11" s="63" t="s">
        <v>5781</v>
      </c>
      <c r="N11" s="65">
        <v>45991</v>
      </c>
    </row>
    <row r="12" spans="1:14" ht="14.45" customHeight="1" x14ac:dyDescent="0.2">
      <c r="A12" s="59" t="s">
        <v>6095</v>
      </c>
      <c r="B12" s="60" t="s">
        <v>6096</v>
      </c>
      <c r="C12" s="60" t="s">
        <v>6097</v>
      </c>
      <c r="D12" s="40">
        <v>45505</v>
      </c>
      <c r="E12" s="61">
        <v>150</v>
      </c>
      <c r="F12" s="62">
        <v>150</v>
      </c>
      <c r="G12" s="63" t="s">
        <v>124</v>
      </c>
      <c r="H12" s="64" t="s">
        <v>6098</v>
      </c>
      <c r="I12" s="64" t="s">
        <v>2713</v>
      </c>
      <c r="J12" s="63" t="s">
        <v>393</v>
      </c>
      <c r="K12" s="64" t="s">
        <v>6233</v>
      </c>
      <c r="L12" s="63" t="s">
        <v>34</v>
      </c>
      <c r="M12" s="63" t="s">
        <v>5781</v>
      </c>
      <c r="N12" s="65">
        <v>45991</v>
      </c>
    </row>
    <row r="13" spans="1:14" ht="14.45" customHeight="1" x14ac:dyDescent="0.2">
      <c r="A13" s="59" t="s">
        <v>6234</v>
      </c>
      <c r="B13" s="60" t="s">
        <v>4029</v>
      </c>
      <c r="C13" s="60" t="s">
        <v>6235</v>
      </c>
      <c r="D13" s="40">
        <v>45505</v>
      </c>
      <c r="E13" s="61">
        <v>1310</v>
      </c>
      <c r="F13" s="62">
        <v>1310</v>
      </c>
      <c r="G13" s="63" t="s">
        <v>124</v>
      </c>
      <c r="H13" s="64" t="s">
        <v>2716</v>
      </c>
      <c r="I13" s="64" t="s">
        <v>2713</v>
      </c>
      <c r="J13" s="63" t="s">
        <v>532</v>
      </c>
      <c r="K13" s="64" t="s">
        <v>6236</v>
      </c>
      <c r="L13" s="63" t="s">
        <v>3533</v>
      </c>
      <c r="M13" s="63" t="s">
        <v>5781</v>
      </c>
      <c r="N13" s="65">
        <v>45626</v>
      </c>
    </row>
    <row r="14" spans="1:14" ht="14.45" customHeight="1" x14ac:dyDescent="0.2">
      <c r="A14" s="59" t="s">
        <v>6237</v>
      </c>
      <c r="B14" s="60" t="s">
        <v>6238</v>
      </c>
      <c r="C14" s="60" t="s">
        <v>3446</v>
      </c>
      <c r="D14" s="40">
        <v>45505</v>
      </c>
      <c r="E14" s="61">
        <v>75</v>
      </c>
      <c r="F14" s="62">
        <v>75</v>
      </c>
      <c r="G14" s="63" t="s">
        <v>55</v>
      </c>
      <c r="H14" s="64" t="s">
        <v>6239</v>
      </c>
      <c r="I14" s="64" t="s">
        <v>2713</v>
      </c>
      <c r="J14" s="63" t="s">
        <v>530</v>
      </c>
      <c r="K14" s="64" t="s">
        <v>6240</v>
      </c>
      <c r="L14" s="63" t="s">
        <v>157</v>
      </c>
      <c r="M14" s="63" t="s">
        <v>5781</v>
      </c>
      <c r="N14" s="65">
        <v>45747</v>
      </c>
    </row>
    <row r="15" spans="1:14" ht="14.45" customHeight="1" x14ac:dyDescent="0.2">
      <c r="A15" s="59" t="s">
        <v>6100</v>
      </c>
      <c r="B15" s="60" t="s">
        <v>6101</v>
      </c>
      <c r="C15" s="60" t="s">
        <v>6102</v>
      </c>
      <c r="D15" s="40">
        <v>45505</v>
      </c>
      <c r="E15" s="61">
        <v>75</v>
      </c>
      <c r="F15" s="62">
        <v>75</v>
      </c>
      <c r="G15" s="63" t="s">
        <v>55</v>
      </c>
      <c r="H15" s="64" t="s">
        <v>6103</v>
      </c>
      <c r="I15" s="64" t="s">
        <v>2713</v>
      </c>
      <c r="J15" s="63" t="s">
        <v>471</v>
      </c>
      <c r="K15" s="64" t="s">
        <v>6176</v>
      </c>
      <c r="L15" s="63" t="s">
        <v>157</v>
      </c>
      <c r="M15" s="63" t="s">
        <v>5781</v>
      </c>
      <c r="N15" s="65">
        <v>45657</v>
      </c>
    </row>
    <row r="16" spans="1:14" ht="14.45" customHeight="1" x14ac:dyDescent="0.2">
      <c r="A16" s="59" t="s">
        <v>6107</v>
      </c>
      <c r="B16" s="60" t="s">
        <v>6108</v>
      </c>
      <c r="C16" s="60" t="s">
        <v>6109</v>
      </c>
      <c r="D16" s="40">
        <v>45505</v>
      </c>
      <c r="E16" s="61">
        <v>115</v>
      </c>
      <c r="F16" s="62">
        <v>115</v>
      </c>
      <c r="G16" s="63" t="s">
        <v>55</v>
      </c>
      <c r="H16" s="64" t="s">
        <v>6110</v>
      </c>
      <c r="I16" s="64" t="s">
        <v>2713</v>
      </c>
      <c r="J16" s="63" t="s">
        <v>530</v>
      </c>
      <c r="K16" s="64" t="s">
        <v>6170</v>
      </c>
      <c r="L16" s="63" t="s">
        <v>157</v>
      </c>
      <c r="M16" s="63" t="s">
        <v>5781</v>
      </c>
      <c r="N16" s="65">
        <v>45688</v>
      </c>
    </row>
    <row r="17" spans="1:14" ht="14.45" customHeight="1" x14ac:dyDescent="0.2">
      <c r="A17" s="59" t="s">
        <v>6111</v>
      </c>
      <c r="B17" s="60" t="s">
        <v>4029</v>
      </c>
      <c r="C17" s="60" t="s">
        <v>6112</v>
      </c>
      <c r="D17" s="40">
        <v>45505</v>
      </c>
      <c r="E17" s="61">
        <v>1310</v>
      </c>
      <c r="F17" s="62">
        <v>1310</v>
      </c>
      <c r="G17" s="63" t="s">
        <v>124</v>
      </c>
      <c r="H17" s="64" t="s">
        <v>2715</v>
      </c>
      <c r="I17" s="64" t="s">
        <v>2713</v>
      </c>
      <c r="J17" s="63" t="s">
        <v>533</v>
      </c>
      <c r="K17" s="64" t="s">
        <v>5014</v>
      </c>
      <c r="L17" s="63" t="s">
        <v>403</v>
      </c>
      <c r="M17" s="63" t="s">
        <v>5781</v>
      </c>
      <c r="N17" s="65">
        <v>45688</v>
      </c>
    </row>
    <row r="18" spans="1:14" ht="14.45" customHeight="1" x14ac:dyDescent="0.2">
      <c r="A18" s="59" t="s">
        <v>6113</v>
      </c>
      <c r="B18" s="60" t="s">
        <v>3142</v>
      </c>
      <c r="C18" s="60" t="s">
        <v>3143</v>
      </c>
      <c r="D18" s="40">
        <v>45505</v>
      </c>
      <c r="E18" s="61">
        <v>60</v>
      </c>
      <c r="F18" s="62">
        <v>60</v>
      </c>
      <c r="G18" s="63" t="s">
        <v>615</v>
      </c>
      <c r="H18" s="64" t="s">
        <v>2716</v>
      </c>
      <c r="I18" s="64" t="s">
        <v>2713</v>
      </c>
      <c r="J18" s="63" t="s">
        <v>532</v>
      </c>
      <c r="K18" s="64" t="s">
        <v>3621</v>
      </c>
      <c r="L18" s="63" t="s">
        <v>87</v>
      </c>
      <c r="M18" s="63" t="s">
        <v>5781</v>
      </c>
      <c r="N18" s="65">
        <v>45716</v>
      </c>
    </row>
    <row r="19" spans="1:14" ht="14.45" customHeight="1" x14ac:dyDescent="0.2">
      <c r="A19" s="59" t="s">
        <v>6114</v>
      </c>
      <c r="B19" s="60" t="s">
        <v>6115</v>
      </c>
      <c r="C19" s="60" t="s">
        <v>6116</v>
      </c>
      <c r="D19" s="40">
        <v>45505</v>
      </c>
      <c r="E19" s="61">
        <v>199</v>
      </c>
      <c r="F19" s="62">
        <v>199</v>
      </c>
      <c r="G19" s="63" t="s">
        <v>55</v>
      </c>
      <c r="H19" s="64" t="s">
        <v>6117</v>
      </c>
      <c r="I19" s="64" t="s">
        <v>2713</v>
      </c>
      <c r="J19" s="63" t="s">
        <v>393</v>
      </c>
      <c r="K19" s="64" t="s">
        <v>6243</v>
      </c>
      <c r="L19" s="63" t="s">
        <v>41</v>
      </c>
      <c r="M19" s="63" t="s">
        <v>5781</v>
      </c>
      <c r="N19" s="65">
        <v>45991</v>
      </c>
    </row>
    <row r="20" spans="1:14" ht="14.45" customHeight="1" x14ac:dyDescent="0.2">
      <c r="A20" s="59" t="s">
        <v>6118</v>
      </c>
      <c r="B20" s="60" t="s">
        <v>6119</v>
      </c>
      <c r="C20" s="60" t="s">
        <v>6120</v>
      </c>
      <c r="D20" s="40">
        <v>45505</v>
      </c>
      <c r="E20" s="61">
        <v>79</v>
      </c>
      <c r="F20" s="62">
        <v>79</v>
      </c>
      <c r="G20" s="63" t="s">
        <v>615</v>
      </c>
      <c r="H20" s="64" t="s">
        <v>2717</v>
      </c>
      <c r="I20" s="64" t="s">
        <v>2713</v>
      </c>
      <c r="J20" s="63" t="s">
        <v>539</v>
      </c>
      <c r="K20" s="64" t="s">
        <v>6244</v>
      </c>
      <c r="L20" s="63" t="s">
        <v>1162</v>
      </c>
      <c r="M20" s="63" t="s">
        <v>5781</v>
      </c>
      <c r="N20" s="65">
        <v>45688</v>
      </c>
    </row>
    <row r="21" spans="1:14" ht="14.45" customHeight="1" x14ac:dyDescent="0.2">
      <c r="A21" s="59" t="s">
        <v>6121</v>
      </c>
      <c r="B21" s="60" t="s">
        <v>6122</v>
      </c>
      <c r="C21" s="60" t="s">
        <v>3445</v>
      </c>
      <c r="D21" s="40">
        <v>45505</v>
      </c>
      <c r="E21" s="61">
        <v>185</v>
      </c>
      <c r="F21" s="62">
        <v>185</v>
      </c>
      <c r="G21" s="63" t="s">
        <v>55</v>
      </c>
      <c r="H21" s="64" t="s">
        <v>2736</v>
      </c>
      <c r="I21" s="64" t="s">
        <v>2713</v>
      </c>
      <c r="J21" s="63" t="s">
        <v>471</v>
      </c>
      <c r="K21" s="64" t="s">
        <v>6245</v>
      </c>
      <c r="L21" s="63" t="s">
        <v>6123</v>
      </c>
      <c r="M21" s="63" t="s">
        <v>5781</v>
      </c>
      <c r="N21" s="65">
        <v>45991</v>
      </c>
    </row>
    <row r="22" spans="1:14" ht="14.45" customHeight="1" x14ac:dyDescent="0.2">
      <c r="A22" s="59" t="s">
        <v>6246</v>
      </c>
      <c r="B22" s="60" t="s">
        <v>1428</v>
      </c>
      <c r="C22" s="60" t="s">
        <v>1586</v>
      </c>
      <c r="D22" s="40">
        <v>45505</v>
      </c>
      <c r="E22" s="61">
        <v>93.55</v>
      </c>
      <c r="F22" s="62">
        <v>93.55</v>
      </c>
      <c r="G22" s="63" t="s">
        <v>55</v>
      </c>
      <c r="H22" s="64" t="s">
        <v>2838</v>
      </c>
      <c r="I22" s="64" t="s">
        <v>2713</v>
      </c>
      <c r="J22" s="63" t="s">
        <v>393</v>
      </c>
      <c r="K22" s="64" t="s">
        <v>6247</v>
      </c>
      <c r="L22" s="63" t="s">
        <v>34</v>
      </c>
      <c r="M22" s="63" t="s">
        <v>5781</v>
      </c>
      <c r="N22" s="65">
        <v>45688</v>
      </c>
    </row>
    <row r="23" spans="1:14" ht="14.45" customHeight="1" x14ac:dyDescent="0.2">
      <c r="A23" s="59" t="s">
        <v>6248</v>
      </c>
      <c r="B23" s="60" t="s">
        <v>1428</v>
      </c>
      <c r="C23" s="60" t="s">
        <v>6249</v>
      </c>
      <c r="D23" s="40">
        <v>45505</v>
      </c>
      <c r="E23" s="61">
        <v>119</v>
      </c>
      <c r="F23" s="62">
        <v>119</v>
      </c>
      <c r="G23" s="63" t="s">
        <v>55</v>
      </c>
      <c r="H23" s="64" t="s">
        <v>2740</v>
      </c>
      <c r="I23" s="64" t="s">
        <v>2713</v>
      </c>
      <c r="J23" s="63" t="s">
        <v>530</v>
      </c>
      <c r="K23" s="64" t="s">
        <v>1546</v>
      </c>
      <c r="L23" s="63" t="s">
        <v>157</v>
      </c>
      <c r="M23" s="63" t="s">
        <v>5781</v>
      </c>
      <c r="N23" s="65">
        <v>45688</v>
      </c>
    </row>
    <row r="24" spans="1:14" ht="14.45" customHeight="1" x14ac:dyDescent="0.2">
      <c r="A24" s="59" t="s">
        <v>6250</v>
      </c>
      <c r="B24" s="60" t="s">
        <v>6251</v>
      </c>
      <c r="C24" s="60" t="s">
        <v>6252</v>
      </c>
      <c r="D24" s="40">
        <v>45505</v>
      </c>
      <c r="E24" s="61">
        <v>100</v>
      </c>
      <c r="F24" s="62">
        <v>100</v>
      </c>
      <c r="G24" s="63" t="s">
        <v>55</v>
      </c>
      <c r="H24" s="64" t="s">
        <v>2735</v>
      </c>
      <c r="I24" s="64" t="s">
        <v>2713</v>
      </c>
      <c r="J24" s="63" t="s">
        <v>420</v>
      </c>
      <c r="K24" s="64" t="s">
        <v>6253</v>
      </c>
      <c r="L24" s="63" t="s">
        <v>41</v>
      </c>
      <c r="M24" s="63" t="s">
        <v>5781</v>
      </c>
      <c r="N24" s="65">
        <v>45688</v>
      </c>
    </row>
    <row r="25" spans="1:14" ht="14.45" customHeight="1" x14ac:dyDescent="0.2">
      <c r="A25" s="59" t="s">
        <v>6255</v>
      </c>
      <c r="B25" s="60" t="s">
        <v>5544</v>
      </c>
      <c r="C25" s="60" t="s">
        <v>5548</v>
      </c>
      <c r="D25" s="40">
        <v>45505</v>
      </c>
      <c r="E25" s="61">
        <v>1310</v>
      </c>
      <c r="F25" s="62">
        <v>1310</v>
      </c>
      <c r="G25" s="63" t="s">
        <v>124</v>
      </c>
      <c r="H25" s="64" t="s">
        <v>2746</v>
      </c>
      <c r="I25" s="64" t="s">
        <v>2713</v>
      </c>
      <c r="J25" s="63" t="s">
        <v>532</v>
      </c>
      <c r="K25" s="64" t="s">
        <v>3552</v>
      </c>
      <c r="L25" s="63" t="s">
        <v>41</v>
      </c>
      <c r="M25" s="63" t="s">
        <v>5781</v>
      </c>
      <c r="N25" s="65">
        <v>45747</v>
      </c>
    </row>
    <row r="26" spans="1:14" ht="14.45" customHeight="1" x14ac:dyDescent="0.2">
      <c r="A26" s="59" t="s">
        <v>6256</v>
      </c>
      <c r="B26" s="60" t="s">
        <v>7297</v>
      </c>
      <c r="C26" s="60" t="s">
        <v>6257</v>
      </c>
      <c r="D26" s="40">
        <v>45505</v>
      </c>
      <c r="E26" s="61">
        <v>100</v>
      </c>
      <c r="F26" s="62">
        <v>100</v>
      </c>
      <c r="G26" s="63" t="s">
        <v>615</v>
      </c>
      <c r="H26" s="64" t="s">
        <v>2777</v>
      </c>
      <c r="I26" s="64" t="s">
        <v>2713</v>
      </c>
      <c r="J26" s="63" t="s">
        <v>539</v>
      </c>
      <c r="K26" s="64" t="s">
        <v>4918</v>
      </c>
      <c r="L26" s="63" t="s">
        <v>673</v>
      </c>
      <c r="M26" s="63" t="s">
        <v>5781</v>
      </c>
      <c r="N26" s="65">
        <v>45961</v>
      </c>
    </row>
    <row r="27" spans="1:14" ht="14.45" customHeight="1" x14ac:dyDescent="0.2">
      <c r="A27" s="59" t="s">
        <v>6127</v>
      </c>
      <c r="B27" s="60" t="s">
        <v>6128</v>
      </c>
      <c r="C27" s="60" t="s">
        <v>6128</v>
      </c>
      <c r="D27" s="40">
        <v>45505</v>
      </c>
      <c r="E27" s="61">
        <v>50</v>
      </c>
      <c r="F27" s="62">
        <v>50</v>
      </c>
      <c r="G27" s="63" t="s">
        <v>615</v>
      </c>
      <c r="H27" s="64" t="s">
        <v>2716</v>
      </c>
      <c r="I27" s="64" t="s">
        <v>2713</v>
      </c>
      <c r="J27" s="63" t="s">
        <v>532</v>
      </c>
      <c r="K27" s="64" t="s">
        <v>6260</v>
      </c>
      <c r="L27" s="63" t="s">
        <v>87</v>
      </c>
      <c r="M27" s="63" t="s">
        <v>5781</v>
      </c>
      <c r="N27" s="65">
        <v>45961</v>
      </c>
    </row>
    <row r="28" spans="1:14" ht="14.45" customHeight="1" x14ac:dyDescent="0.2">
      <c r="A28" s="59" t="s">
        <v>6261</v>
      </c>
      <c r="B28" s="60" t="s">
        <v>6262</v>
      </c>
      <c r="C28" s="60" t="s">
        <v>6262</v>
      </c>
      <c r="D28" s="40">
        <v>45505</v>
      </c>
      <c r="E28" s="61">
        <v>100</v>
      </c>
      <c r="F28" s="62">
        <v>100</v>
      </c>
      <c r="G28" s="63" t="s">
        <v>615</v>
      </c>
      <c r="H28" s="64" t="s">
        <v>2716</v>
      </c>
      <c r="I28" s="64" t="s">
        <v>2713</v>
      </c>
      <c r="J28" s="63" t="s">
        <v>532</v>
      </c>
      <c r="K28" s="64" t="s">
        <v>6263</v>
      </c>
      <c r="L28" s="63" t="s">
        <v>87</v>
      </c>
      <c r="M28" s="63" t="s">
        <v>5781</v>
      </c>
      <c r="N28" s="65">
        <v>45657</v>
      </c>
    </row>
    <row r="29" spans="1:14" ht="14.45" customHeight="1" x14ac:dyDescent="0.2">
      <c r="A29" s="59" t="s">
        <v>6264</v>
      </c>
      <c r="B29" s="60" t="s">
        <v>3951</v>
      </c>
      <c r="C29" s="60" t="s">
        <v>3952</v>
      </c>
      <c r="D29" s="40">
        <v>45505</v>
      </c>
      <c r="E29" s="61">
        <v>1310</v>
      </c>
      <c r="F29" s="62">
        <v>1310</v>
      </c>
      <c r="G29" s="63" t="s">
        <v>124</v>
      </c>
      <c r="H29" s="64" t="s">
        <v>2719</v>
      </c>
      <c r="I29" s="64" t="s">
        <v>2713</v>
      </c>
      <c r="J29" s="63" t="s">
        <v>533</v>
      </c>
      <c r="K29" s="64" t="s">
        <v>6265</v>
      </c>
      <c r="L29" s="63" t="s">
        <v>403</v>
      </c>
      <c r="M29" s="63" t="s">
        <v>5781</v>
      </c>
      <c r="N29" s="65">
        <v>45626</v>
      </c>
    </row>
    <row r="30" spans="1:14" ht="14.45" customHeight="1" x14ac:dyDescent="0.2">
      <c r="A30" s="59" t="s">
        <v>6266</v>
      </c>
      <c r="B30" s="60" t="s">
        <v>6267</v>
      </c>
      <c r="C30" s="60" t="s">
        <v>3555</v>
      </c>
      <c r="D30" s="40">
        <v>45505</v>
      </c>
      <c r="E30" s="61">
        <v>140</v>
      </c>
      <c r="F30" s="62">
        <v>140</v>
      </c>
      <c r="G30" s="63" t="s">
        <v>55</v>
      </c>
      <c r="H30" s="64" t="s">
        <v>2740</v>
      </c>
      <c r="I30" s="64" t="s">
        <v>2713</v>
      </c>
      <c r="J30" s="63" t="s">
        <v>530</v>
      </c>
      <c r="K30" s="64" t="s">
        <v>6952</v>
      </c>
      <c r="L30" s="63" t="s">
        <v>157</v>
      </c>
      <c r="M30" s="63" t="s">
        <v>5781</v>
      </c>
      <c r="N30" s="65">
        <v>45716</v>
      </c>
    </row>
    <row r="31" spans="1:14" ht="14.45" customHeight="1" x14ac:dyDescent="0.2">
      <c r="A31" s="59" t="s">
        <v>6268</v>
      </c>
      <c r="B31" s="60" t="s">
        <v>6269</v>
      </c>
      <c r="C31" s="60" t="s">
        <v>6270</v>
      </c>
      <c r="D31" s="40">
        <v>45505</v>
      </c>
      <c r="E31" s="61">
        <v>68</v>
      </c>
      <c r="F31" s="62">
        <v>68</v>
      </c>
      <c r="G31" s="63" t="s">
        <v>615</v>
      </c>
      <c r="H31" s="64" t="s">
        <v>2719</v>
      </c>
      <c r="I31" s="64" t="s">
        <v>2713</v>
      </c>
      <c r="J31" s="63" t="s">
        <v>533</v>
      </c>
      <c r="K31" s="64" t="s">
        <v>6787</v>
      </c>
      <c r="L31" s="63" t="s">
        <v>403</v>
      </c>
      <c r="M31" s="63" t="s">
        <v>5781</v>
      </c>
      <c r="N31" s="65">
        <v>45961</v>
      </c>
    </row>
    <row r="32" spans="1:14" ht="14.45" customHeight="1" x14ac:dyDescent="0.2">
      <c r="A32" s="59" t="s">
        <v>6129</v>
      </c>
      <c r="B32" s="60" t="s">
        <v>4865</v>
      </c>
      <c r="C32" s="60" t="s">
        <v>4866</v>
      </c>
      <c r="D32" s="40">
        <v>45505</v>
      </c>
      <c r="E32" s="61">
        <v>140</v>
      </c>
      <c r="F32" s="62">
        <v>140</v>
      </c>
      <c r="G32" s="63" t="s">
        <v>55</v>
      </c>
      <c r="H32" s="64" t="s">
        <v>2800</v>
      </c>
      <c r="I32" s="64" t="s">
        <v>2713</v>
      </c>
      <c r="J32" s="63" t="s">
        <v>420</v>
      </c>
      <c r="K32" s="64" t="s">
        <v>6953</v>
      </c>
      <c r="L32" s="63" t="s">
        <v>157</v>
      </c>
      <c r="M32" s="63" t="s">
        <v>5781</v>
      </c>
      <c r="N32" s="65">
        <v>45961</v>
      </c>
    </row>
    <row r="33" spans="1:14" ht="14.45" customHeight="1" x14ac:dyDescent="0.2">
      <c r="A33" s="59" t="s">
        <v>6272</v>
      </c>
      <c r="B33" s="60" t="s">
        <v>1428</v>
      </c>
      <c r="C33" s="60" t="s">
        <v>1581</v>
      </c>
      <c r="D33" s="40">
        <v>45505</v>
      </c>
      <c r="E33" s="61">
        <v>240</v>
      </c>
      <c r="F33" s="62">
        <v>240</v>
      </c>
      <c r="G33" s="63" t="s">
        <v>3505</v>
      </c>
      <c r="H33" s="64" t="s">
        <v>6273</v>
      </c>
      <c r="I33" s="64" t="s">
        <v>2713</v>
      </c>
      <c r="J33" s="63" t="s">
        <v>530</v>
      </c>
      <c r="K33" s="64" t="s">
        <v>6274</v>
      </c>
      <c r="L33" s="63" t="s">
        <v>41</v>
      </c>
      <c r="M33" s="63" t="s">
        <v>5781</v>
      </c>
      <c r="N33" s="65">
        <v>45688</v>
      </c>
    </row>
    <row r="34" spans="1:14" ht="14.45" customHeight="1" x14ac:dyDescent="0.2">
      <c r="A34" s="59" t="s">
        <v>6275</v>
      </c>
      <c r="B34" s="60" t="s">
        <v>6259</v>
      </c>
      <c r="C34" s="60" t="s">
        <v>6276</v>
      </c>
      <c r="D34" s="40">
        <v>45505</v>
      </c>
      <c r="E34" s="61">
        <v>110</v>
      </c>
      <c r="F34" s="62">
        <v>110</v>
      </c>
      <c r="G34" s="63" t="s">
        <v>615</v>
      </c>
      <c r="H34" s="64" t="s">
        <v>2763</v>
      </c>
      <c r="I34" s="64" t="s">
        <v>2713</v>
      </c>
      <c r="J34" s="63" t="s">
        <v>393</v>
      </c>
      <c r="K34" s="64" t="s">
        <v>6277</v>
      </c>
      <c r="L34" s="63" t="s">
        <v>34</v>
      </c>
      <c r="M34" s="63" t="s">
        <v>5781</v>
      </c>
      <c r="N34" s="65">
        <v>45688</v>
      </c>
    </row>
    <row r="35" spans="1:14" ht="14.45" customHeight="1" x14ac:dyDescent="0.2">
      <c r="A35" s="59" t="s">
        <v>6279</v>
      </c>
      <c r="B35" s="60" t="s">
        <v>1428</v>
      </c>
      <c r="C35" s="60" t="s">
        <v>1669</v>
      </c>
      <c r="D35" s="40">
        <v>45505</v>
      </c>
      <c r="E35" s="61">
        <v>200</v>
      </c>
      <c r="F35" s="62">
        <v>200</v>
      </c>
      <c r="G35" s="63" t="s">
        <v>3505</v>
      </c>
      <c r="H35" s="64" t="s">
        <v>2810</v>
      </c>
      <c r="I35" s="64" t="s">
        <v>2713</v>
      </c>
      <c r="J35" s="63" t="s">
        <v>540</v>
      </c>
      <c r="K35" s="64" t="s">
        <v>6280</v>
      </c>
      <c r="L35" s="63" t="s">
        <v>41</v>
      </c>
      <c r="M35" s="63" t="s">
        <v>5781</v>
      </c>
      <c r="N35" s="65">
        <v>45716</v>
      </c>
    </row>
    <row r="36" spans="1:14" ht="14.45" customHeight="1" x14ac:dyDescent="0.2">
      <c r="A36" s="59" t="s">
        <v>6281</v>
      </c>
      <c r="B36" s="60" t="s">
        <v>7297</v>
      </c>
      <c r="C36" s="60" t="s">
        <v>6282</v>
      </c>
      <c r="D36" s="40">
        <v>45505</v>
      </c>
      <c r="E36" s="61">
        <v>199</v>
      </c>
      <c r="F36" s="62">
        <v>199</v>
      </c>
      <c r="G36" s="63" t="s">
        <v>615</v>
      </c>
      <c r="H36" s="64" t="s">
        <v>2796</v>
      </c>
      <c r="I36" s="64" t="s">
        <v>2713</v>
      </c>
      <c r="J36" s="63" t="s">
        <v>471</v>
      </c>
      <c r="K36" s="64" t="s">
        <v>6955</v>
      </c>
      <c r="L36" s="63" t="s">
        <v>157</v>
      </c>
      <c r="M36" s="63" t="s">
        <v>5781</v>
      </c>
      <c r="N36" s="65">
        <v>45838</v>
      </c>
    </row>
    <row r="37" spans="1:14" ht="14.45" customHeight="1" x14ac:dyDescent="0.2">
      <c r="A37" s="59" t="s">
        <v>6283</v>
      </c>
      <c r="B37" s="60" t="s">
        <v>5642</v>
      </c>
      <c r="C37" s="60" t="s">
        <v>5642</v>
      </c>
      <c r="D37" s="40">
        <v>45505</v>
      </c>
      <c r="E37" s="61">
        <v>1350</v>
      </c>
      <c r="F37" s="62">
        <v>1350</v>
      </c>
      <c r="G37" s="63" t="s">
        <v>615</v>
      </c>
      <c r="H37" s="64" t="s">
        <v>2759</v>
      </c>
      <c r="I37" s="64" t="s">
        <v>2713</v>
      </c>
      <c r="J37" s="63" t="s">
        <v>471</v>
      </c>
      <c r="K37" s="64" t="s">
        <v>6284</v>
      </c>
      <c r="L37" s="63" t="s">
        <v>157</v>
      </c>
      <c r="M37" s="63" t="s">
        <v>5781</v>
      </c>
      <c r="N37" s="65">
        <v>45747</v>
      </c>
    </row>
    <row r="38" spans="1:14" ht="14.45" customHeight="1" x14ac:dyDescent="0.2">
      <c r="A38" s="59" t="s">
        <v>6285</v>
      </c>
      <c r="B38" s="60" t="s">
        <v>5758</v>
      </c>
      <c r="C38" s="60" t="s">
        <v>6286</v>
      </c>
      <c r="D38" s="40">
        <v>45505</v>
      </c>
      <c r="E38" s="61">
        <v>1117</v>
      </c>
      <c r="F38" s="62">
        <v>1091</v>
      </c>
      <c r="G38" s="63" t="s">
        <v>615</v>
      </c>
      <c r="H38" s="64" t="s">
        <v>2763</v>
      </c>
      <c r="I38" s="64" t="s">
        <v>2713</v>
      </c>
      <c r="J38" s="63" t="s">
        <v>393</v>
      </c>
      <c r="K38" s="64" t="s">
        <v>5765</v>
      </c>
      <c r="L38" s="63" t="s">
        <v>34</v>
      </c>
      <c r="M38" s="63" t="s">
        <v>5781</v>
      </c>
      <c r="N38" s="65">
        <v>45747</v>
      </c>
    </row>
    <row r="39" spans="1:14" ht="14.45" customHeight="1" x14ac:dyDescent="0.2">
      <c r="A39" s="59" t="s">
        <v>6290</v>
      </c>
      <c r="B39" s="60" t="s">
        <v>7297</v>
      </c>
      <c r="C39" s="60" t="s">
        <v>1034</v>
      </c>
      <c r="D39" s="40">
        <v>45505</v>
      </c>
      <c r="E39" s="61">
        <v>100</v>
      </c>
      <c r="F39" s="62">
        <v>100</v>
      </c>
      <c r="G39" s="63" t="s">
        <v>615</v>
      </c>
      <c r="H39" s="64" t="s">
        <v>2777</v>
      </c>
      <c r="I39" s="64" t="s">
        <v>2713</v>
      </c>
      <c r="J39" s="63" t="s">
        <v>539</v>
      </c>
      <c r="K39" s="64" t="s">
        <v>6291</v>
      </c>
      <c r="L39" s="63" t="s">
        <v>673</v>
      </c>
      <c r="M39" s="63" t="s">
        <v>5781</v>
      </c>
      <c r="N39" s="65">
        <v>45961</v>
      </c>
    </row>
    <row r="40" spans="1:14" ht="14.45" customHeight="1" x14ac:dyDescent="0.2">
      <c r="A40" s="59" t="s">
        <v>6292</v>
      </c>
      <c r="B40" s="60" t="s">
        <v>3851</v>
      </c>
      <c r="C40" s="60" t="s">
        <v>3851</v>
      </c>
      <c r="D40" s="40">
        <v>45505</v>
      </c>
      <c r="E40" s="61">
        <v>250</v>
      </c>
      <c r="F40" s="62">
        <v>250</v>
      </c>
      <c r="G40" s="63" t="s">
        <v>615</v>
      </c>
      <c r="H40" s="64" t="s">
        <v>2717</v>
      </c>
      <c r="I40" s="64" t="s">
        <v>2713</v>
      </c>
      <c r="J40" s="63" t="s">
        <v>539</v>
      </c>
      <c r="K40" s="64" t="s">
        <v>6293</v>
      </c>
      <c r="L40" s="63" t="s">
        <v>673</v>
      </c>
      <c r="M40" s="63" t="s">
        <v>5781</v>
      </c>
      <c r="N40" s="65">
        <v>45900</v>
      </c>
    </row>
    <row r="41" spans="1:14" ht="14.45" customHeight="1" x14ac:dyDescent="0.2">
      <c r="A41" s="59" t="s">
        <v>6294</v>
      </c>
      <c r="B41" s="60" t="s">
        <v>3388</v>
      </c>
      <c r="C41" s="60" t="s">
        <v>4024</v>
      </c>
      <c r="D41" s="40">
        <v>45505</v>
      </c>
      <c r="E41" s="61">
        <v>119.1</v>
      </c>
      <c r="F41" s="62">
        <v>119.1</v>
      </c>
      <c r="G41" s="63" t="s">
        <v>124</v>
      </c>
      <c r="H41" s="64" t="s">
        <v>2732</v>
      </c>
      <c r="I41" s="64" t="s">
        <v>2713</v>
      </c>
      <c r="J41" s="63" t="s">
        <v>393</v>
      </c>
      <c r="K41" s="64" t="s">
        <v>6295</v>
      </c>
      <c r="L41" s="63" t="s">
        <v>34</v>
      </c>
      <c r="M41" s="63">
        <v>0</v>
      </c>
      <c r="N41" s="65">
        <v>45716</v>
      </c>
    </row>
    <row r="42" spans="1:14" ht="14.45" customHeight="1" x14ac:dyDescent="0.2">
      <c r="A42" s="59" t="s">
        <v>6935</v>
      </c>
      <c r="B42" s="60" t="s">
        <v>3388</v>
      </c>
      <c r="C42" s="60" t="s">
        <v>4162</v>
      </c>
      <c r="D42" s="40">
        <v>45505</v>
      </c>
      <c r="E42" s="61">
        <v>97</v>
      </c>
      <c r="F42" s="62">
        <v>97</v>
      </c>
      <c r="G42" s="63" t="s">
        <v>124</v>
      </c>
      <c r="H42" s="64" t="s">
        <v>2766</v>
      </c>
      <c r="I42" s="64" t="s">
        <v>2713</v>
      </c>
      <c r="J42" s="63" t="s">
        <v>393</v>
      </c>
      <c r="K42" s="64" t="s">
        <v>6936</v>
      </c>
      <c r="L42" s="63" t="s">
        <v>34</v>
      </c>
      <c r="M42" s="63" t="s">
        <v>5781</v>
      </c>
      <c r="N42" s="65">
        <v>45596</v>
      </c>
    </row>
    <row r="43" spans="1:14" ht="14.45" customHeight="1" x14ac:dyDescent="0.2">
      <c r="A43" s="59" t="s">
        <v>6134</v>
      </c>
      <c r="B43" s="60" t="s">
        <v>3388</v>
      </c>
      <c r="C43" s="60" t="s">
        <v>3419</v>
      </c>
      <c r="D43" s="40">
        <v>45505</v>
      </c>
      <c r="E43" s="61">
        <v>72</v>
      </c>
      <c r="F43" s="62">
        <v>72</v>
      </c>
      <c r="G43" s="63" t="s">
        <v>124</v>
      </c>
      <c r="H43" s="64" t="s">
        <v>2729</v>
      </c>
      <c r="I43" s="64" t="s">
        <v>2713</v>
      </c>
      <c r="J43" s="63" t="s">
        <v>393</v>
      </c>
      <c r="K43" s="64" t="s">
        <v>6135</v>
      </c>
      <c r="L43" s="63" t="s">
        <v>157</v>
      </c>
      <c r="M43" s="63" t="s">
        <v>5781</v>
      </c>
      <c r="N43" s="65">
        <v>45688</v>
      </c>
    </row>
    <row r="44" spans="1:14" ht="14.45" customHeight="1" x14ac:dyDescent="0.2">
      <c r="A44" s="59" t="s">
        <v>6296</v>
      </c>
      <c r="B44" s="60" t="s">
        <v>6297</v>
      </c>
      <c r="C44" s="60" t="s">
        <v>6298</v>
      </c>
      <c r="D44" s="40">
        <v>45505</v>
      </c>
      <c r="E44" s="61">
        <v>100</v>
      </c>
      <c r="F44" s="62">
        <v>100</v>
      </c>
      <c r="G44" s="63" t="s">
        <v>615</v>
      </c>
      <c r="H44" s="64" t="s">
        <v>2769</v>
      </c>
      <c r="I44" s="64" t="s">
        <v>2713</v>
      </c>
      <c r="J44" s="63" t="s">
        <v>471</v>
      </c>
      <c r="K44" s="64" t="s">
        <v>6299</v>
      </c>
      <c r="L44" s="63" t="s">
        <v>34</v>
      </c>
      <c r="M44" s="63" t="s">
        <v>5781</v>
      </c>
      <c r="N44" s="65">
        <v>45716</v>
      </c>
    </row>
    <row r="45" spans="1:14" ht="14.45" customHeight="1" x14ac:dyDescent="0.2">
      <c r="A45" s="59" t="s">
        <v>6300</v>
      </c>
      <c r="B45" s="60" t="s">
        <v>6422</v>
      </c>
      <c r="C45" s="60" t="s">
        <v>6301</v>
      </c>
      <c r="D45" s="40">
        <v>45505</v>
      </c>
      <c r="E45" s="61">
        <v>120</v>
      </c>
      <c r="F45" s="62">
        <v>120</v>
      </c>
      <c r="G45" s="63" t="s">
        <v>615</v>
      </c>
      <c r="H45" s="64" t="s">
        <v>2732</v>
      </c>
      <c r="I45" s="64" t="s">
        <v>2713</v>
      </c>
      <c r="J45" s="63" t="s">
        <v>393</v>
      </c>
      <c r="K45" s="64" t="s">
        <v>6956</v>
      </c>
      <c r="L45" s="63" t="s">
        <v>34</v>
      </c>
      <c r="M45" s="63" t="s">
        <v>5781</v>
      </c>
      <c r="N45" s="65">
        <v>45716</v>
      </c>
    </row>
    <row r="46" spans="1:14" ht="14.45" customHeight="1" x14ac:dyDescent="0.2">
      <c r="A46" s="59" t="s">
        <v>6136</v>
      </c>
      <c r="B46" s="60" t="s">
        <v>4046</v>
      </c>
      <c r="C46" s="60" t="s">
        <v>6137</v>
      </c>
      <c r="D46" s="40">
        <v>45505</v>
      </c>
      <c r="E46" s="61">
        <v>79</v>
      </c>
      <c r="F46" s="62">
        <v>79</v>
      </c>
      <c r="G46" s="63" t="s">
        <v>615</v>
      </c>
      <c r="H46" s="64" t="s">
        <v>3154</v>
      </c>
      <c r="I46" s="64" t="s">
        <v>2713</v>
      </c>
      <c r="J46" s="63" t="s">
        <v>539</v>
      </c>
      <c r="K46" s="64" t="s">
        <v>6172</v>
      </c>
      <c r="L46" s="63" t="s">
        <v>1162</v>
      </c>
      <c r="M46" s="63" t="s">
        <v>5781</v>
      </c>
      <c r="N46" s="65">
        <v>45991</v>
      </c>
    </row>
    <row r="47" spans="1:14" ht="14.45" customHeight="1" x14ac:dyDescent="0.2">
      <c r="A47" s="59" t="s">
        <v>6302</v>
      </c>
      <c r="B47" s="60" t="s">
        <v>7410</v>
      </c>
      <c r="C47" s="60" t="s">
        <v>6303</v>
      </c>
      <c r="D47" s="40">
        <v>45505</v>
      </c>
      <c r="E47" s="61">
        <v>79</v>
      </c>
      <c r="F47" s="62">
        <v>79</v>
      </c>
      <c r="G47" s="63" t="s">
        <v>615</v>
      </c>
      <c r="H47" s="64" t="s">
        <v>2806</v>
      </c>
      <c r="I47" s="64" t="s">
        <v>2713</v>
      </c>
      <c r="J47" s="63" t="s">
        <v>539</v>
      </c>
      <c r="K47" s="64" t="s">
        <v>6304</v>
      </c>
      <c r="L47" s="63" t="s">
        <v>673</v>
      </c>
      <c r="M47" s="63" t="s">
        <v>5781</v>
      </c>
      <c r="N47" s="65">
        <v>45900</v>
      </c>
    </row>
    <row r="48" spans="1:14" ht="14.45" customHeight="1" x14ac:dyDescent="0.2">
      <c r="A48" s="59" t="s">
        <v>6305</v>
      </c>
      <c r="B48" s="60" t="s">
        <v>4046</v>
      </c>
      <c r="C48" s="60" t="s">
        <v>4961</v>
      </c>
      <c r="D48" s="40">
        <v>45505</v>
      </c>
      <c r="E48" s="61">
        <v>100</v>
      </c>
      <c r="F48" s="62">
        <v>100</v>
      </c>
      <c r="G48" s="63" t="s">
        <v>615</v>
      </c>
      <c r="H48" s="64" t="s">
        <v>4584</v>
      </c>
      <c r="I48" s="64" t="s">
        <v>2713</v>
      </c>
      <c r="J48" s="63" t="s">
        <v>539</v>
      </c>
      <c r="K48" s="64" t="s">
        <v>6306</v>
      </c>
      <c r="L48" s="63" t="s">
        <v>673</v>
      </c>
      <c r="M48" s="63" t="s">
        <v>5781</v>
      </c>
      <c r="N48" s="65">
        <v>45991</v>
      </c>
    </row>
    <row r="49" spans="1:14" ht="14.45" customHeight="1" x14ac:dyDescent="0.2">
      <c r="A49" s="59" t="s">
        <v>6139</v>
      </c>
      <c r="B49" s="60" t="s">
        <v>4046</v>
      </c>
      <c r="C49" s="60" t="s">
        <v>6140</v>
      </c>
      <c r="D49" s="40">
        <v>45505</v>
      </c>
      <c r="E49" s="61">
        <v>125</v>
      </c>
      <c r="F49" s="62">
        <v>125</v>
      </c>
      <c r="G49" s="63" t="s">
        <v>615</v>
      </c>
      <c r="H49" s="64" t="s">
        <v>3154</v>
      </c>
      <c r="I49" s="64" t="s">
        <v>2713</v>
      </c>
      <c r="J49" s="63" t="s">
        <v>539</v>
      </c>
      <c r="K49" s="64" t="s">
        <v>6173</v>
      </c>
      <c r="L49" s="63" t="s">
        <v>1162</v>
      </c>
      <c r="M49" s="63" t="s">
        <v>5781</v>
      </c>
      <c r="N49" s="65">
        <v>45900</v>
      </c>
    </row>
    <row r="50" spans="1:14" ht="14.45" customHeight="1" x14ac:dyDescent="0.2">
      <c r="A50" s="59" t="s">
        <v>6958</v>
      </c>
      <c r="B50" s="60" t="s">
        <v>4293</v>
      </c>
      <c r="C50" s="60" t="s">
        <v>6959</v>
      </c>
      <c r="D50" s="40">
        <v>45505</v>
      </c>
      <c r="E50" s="61">
        <v>75</v>
      </c>
      <c r="F50" s="62">
        <v>75</v>
      </c>
      <c r="G50" s="63" t="s">
        <v>3505</v>
      </c>
      <c r="H50" s="64" t="s">
        <v>2728</v>
      </c>
      <c r="I50" s="64" t="s">
        <v>2713</v>
      </c>
      <c r="J50" s="63" t="s">
        <v>531</v>
      </c>
      <c r="K50" s="64" t="s">
        <v>6960</v>
      </c>
      <c r="L50" s="63" t="s">
        <v>157</v>
      </c>
      <c r="M50" s="63" t="s">
        <v>5781</v>
      </c>
      <c r="N50" s="65">
        <v>45930</v>
      </c>
    </row>
    <row r="51" spans="1:14" ht="14.45" customHeight="1" x14ac:dyDescent="0.2">
      <c r="A51" s="59" t="s">
        <v>6141</v>
      </c>
      <c r="B51" s="60" t="s">
        <v>4046</v>
      </c>
      <c r="C51" s="60" t="s">
        <v>6142</v>
      </c>
      <c r="D51" s="40">
        <v>45505</v>
      </c>
      <c r="E51" s="61">
        <v>125</v>
      </c>
      <c r="F51" s="62">
        <v>125</v>
      </c>
      <c r="G51" s="63" t="s">
        <v>615</v>
      </c>
      <c r="H51" s="64" t="s">
        <v>2716</v>
      </c>
      <c r="I51" s="64" t="s">
        <v>2713</v>
      </c>
      <c r="J51" s="63" t="s">
        <v>532</v>
      </c>
      <c r="K51" s="64" t="s">
        <v>7155</v>
      </c>
      <c r="L51" s="63" t="s">
        <v>87</v>
      </c>
      <c r="M51" s="63" t="s">
        <v>5781</v>
      </c>
      <c r="N51" s="65">
        <v>45991</v>
      </c>
    </row>
    <row r="52" spans="1:14" ht="14.45" customHeight="1" x14ac:dyDescent="0.2">
      <c r="A52" s="59" t="s">
        <v>6143</v>
      </c>
      <c r="B52" s="60" t="s">
        <v>5605</v>
      </c>
      <c r="C52" s="60" t="s">
        <v>6144</v>
      </c>
      <c r="D52" s="40">
        <v>45505</v>
      </c>
      <c r="E52" s="61">
        <v>260</v>
      </c>
      <c r="F52" s="62">
        <v>260</v>
      </c>
      <c r="G52" s="63" t="s">
        <v>615</v>
      </c>
      <c r="H52" s="64" t="s">
        <v>2716</v>
      </c>
      <c r="I52" s="64" t="s">
        <v>2713</v>
      </c>
      <c r="J52" s="63" t="s">
        <v>532</v>
      </c>
      <c r="K52" s="64" t="s">
        <v>6174</v>
      </c>
      <c r="L52" s="63" t="s">
        <v>87</v>
      </c>
      <c r="M52" s="63" t="s">
        <v>5781</v>
      </c>
      <c r="N52" s="65">
        <v>45657</v>
      </c>
    </row>
    <row r="53" spans="1:14" ht="14.45" customHeight="1" x14ac:dyDescent="0.2">
      <c r="A53" s="59" t="s">
        <v>6321</v>
      </c>
      <c r="B53" s="60" t="s">
        <v>6322</v>
      </c>
      <c r="C53" s="60" t="s">
        <v>6323</v>
      </c>
      <c r="D53" s="40">
        <v>45505</v>
      </c>
      <c r="E53" s="61">
        <v>77</v>
      </c>
      <c r="F53" s="62">
        <v>77</v>
      </c>
      <c r="G53" s="63" t="s">
        <v>615</v>
      </c>
      <c r="H53" s="64" t="s">
        <v>2716</v>
      </c>
      <c r="I53" s="64" t="s">
        <v>2713</v>
      </c>
      <c r="J53" s="63" t="s">
        <v>532</v>
      </c>
      <c r="K53" s="64" t="s">
        <v>6324</v>
      </c>
      <c r="L53" s="63" t="s">
        <v>87</v>
      </c>
      <c r="M53" s="63" t="s">
        <v>5781</v>
      </c>
      <c r="N53" s="65">
        <v>45657</v>
      </c>
    </row>
    <row r="54" spans="1:14" ht="14.45" customHeight="1" x14ac:dyDescent="0.2">
      <c r="A54" s="59" t="s">
        <v>6325</v>
      </c>
      <c r="B54" s="60" t="s">
        <v>4993</v>
      </c>
      <c r="C54" s="60" t="s">
        <v>3830</v>
      </c>
      <c r="D54" s="40">
        <v>45505</v>
      </c>
      <c r="E54" s="61">
        <v>168</v>
      </c>
      <c r="F54" s="62">
        <v>168</v>
      </c>
      <c r="G54" s="63" t="s">
        <v>615</v>
      </c>
      <c r="H54" s="64" t="s">
        <v>2716</v>
      </c>
      <c r="I54" s="64" t="s">
        <v>2713</v>
      </c>
      <c r="J54" s="63" t="s">
        <v>532</v>
      </c>
      <c r="K54" s="64" t="s">
        <v>4878</v>
      </c>
      <c r="L54" s="63" t="s">
        <v>87</v>
      </c>
      <c r="M54" s="63" t="s">
        <v>5781</v>
      </c>
      <c r="N54" s="65">
        <v>45657</v>
      </c>
    </row>
    <row r="55" spans="1:14" ht="14.45" customHeight="1" x14ac:dyDescent="0.2">
      <c r="A55" s="59" t="s">
        <v>6326</v>
      </c>
      <c r="B55" s="60" t="s">
        <v>6327</v>
      </c>
      <c r="C55" s="60" t="s">
        <v>6328</v>
      </c>
      <c r="D55" s="40">
        <v>45505</v>
      </c>
      <c r="E55" s="61">
        <v>125</v>
      </c>
      <c r="F55" s="62">
        <v>125</v>
      </c>
      <c r="G55" s="63" t="s">
        <v>615</v>
      </c>
      <c r="H55" s="64" t="s">
        <v>2716</v>
      </c>
      <c r="I55" s="64" t="s">
        <v>2713</v>
      </c>
      <c r="J55" s="63" t="s">
        <v>532</v>
      </c>
      <c r="K55" s="64" t="s">
        <v>7315</v>
      </c>
      <c r="L55" s="63" t="s">
        <v>87</v>
      </c>
      <c r="M55" s="63" t="s">
        <v>5781</v>
      </c>
      <c r="N55" s="65">
        <v>45930</v>
      </c>
    </row>
    <row r="56" spans="1:14" ht="14.45" customHeight="1" x14ac:dyDescent="0.2">
      <c r="A56" s="59" t="s">
        <v>6148</v>
      </c>
      <c r="B56" s="60" t="s">
        <v>6149</v>
      </c>
      <c r="C56" s="60" t="s">
        <v>5007</v>
      </c>
      <c r="D56" s="40">
        <v>45506</v>
      </c>
      <c r="E56" s="61">
        <v>50</v>
      </c>
      <c r="F56" s="62">
        <v>50</v>
      </c>
      <c r="G56" s="63" t="s">
        <v>615</v>
      </c>
      <c r="H56" s="64" t="s">
        <v>2742</v>
      </c>
      <c r="I56" s="64" t="s">
        <v>2713</v>
      </c>
      <c r="J56" s="63" t="s">
        <v>393</v>
      </c>
      <c r="K56" s="64" t="s">
        <v>6175</v>
      </c>
      <c r="L56" s="63" t="s">
        <v>157</v>
      </c>
      <c r="M56" s="63" t="s">
        <v>5781</v>
      </c>
      <c r="N56" s="65">
        <v>45808</v>
      </c>
    </row>
    <row r="57" spans="1:14" ht="14.45" customHeight="1" x14ac:dyDescent="0.2">
      <c r="A57" s="59" t="s">
        <v>6330</v>
      </c>
      <c r="B57" s="60" t="s">
        <v>6963</v>
      </c>
      <c r="C57" s="60" t="s">
        <v>6331</v>
      </c>
      <c r="D57" s="40">
        <v>45506</v>
      </c>
      <c r="E57" s="61">
        <v>275</v>
      </c>
      <c r="F57" s="62">
        <v>275</v>
      </c>
      <c r="G57" s="63" t="s">
        <v>615</v>
      </c>
      <c r="H57" s="64" t="s">
        <v>2746</v>
      </c>
      <c r="I57" s="64" t="s">
        <v>2713</v>
      </c>
      <c r="J57" s="63" t="s">
        <v>532</v>
      </c>
      <c r="K57" s="64" t="s">
        <v>6332</v>
      </c>
      <c r="L57" s="63" t="s">
        <v>87</v>
      </c>
      <c r="M57" s="63">
        <v>0</v>
      </c>
      <c r="N57" s="65">
        <v>45688</v>
      </c>
    </row>
    <row r="58" spans="1:14" ht="14.45" customHeight="1" x14ac:dyDescent="0.2">
      <c r="A58" s="59" t="s">
        <v>6333</v>
      </c>
      <c r="B58" s="60" t="s">
        <v>6334</v>
      </c>
      <c r="C58" s="60" t="s">
        <v>6335</v>
      </c>
      <c r="D58" s="40">
        <v>45509</v>
      </c>
      <c r="E58" s="61">
        <v>82.8</v>
      </c>
      <c r="F58" s="62">
        <v>82.8</v>
      </c>
      <c r="G58" s="63" t="s">
        <v>55</v>
      </c>
      <c r="H58" s="64" t="s">
        <v>2739</v>
      </c>
      <c r="I58" s="64" t="s">
        <v>2713</v>
      </c>
      <c r="J58" s="63" t="s">
        <v>540</v>
      </c>
      <c r="K58" s="64" t="s">
        <v>6964</v>
      </c>
      <c r="L58" s="63" t="s">
        <v>157</v>
      </c>
      <c r="M58" s="63" t="s">
        <v>5781</v>
      </c>
      <c r="N58" s="65">
        <v>45777</v>
      </c>
    </row>
    <row r="59" spans="1:14" ht="14.45" customHeight="1" x14ac:dyDescent="0.2">
      <c r="A59" s="59" t="s">
        <v>6965</v>
      </c>
      <c r="B59" s="60" t="s">
        <v>6966</v>
      </c>
      <c r="C59" s="60" t="s">
        <v>6967</v>
      </c>
      <c r="D59" s="40">
        <v>45510</v>
      </c>
      <c r="E59" s="61">
        <v>19.940000000000001</v>
      </c>
      <c r="F59" s="62">
        <v>19.940000000000001</v>
      </c>
      <c r="G59" s="63" t="s">
        <v>55</v>
      </c>
      <c r="H59" s="64" t="s">
        <v>2732</v>
      </c>
      <c r="I59" s="64" t="s">
        <v>2713</v>
      </c>
      <c r="J59" s="63" t="s">
        <v>393</v>
      </c>
      <c r="K59" s="64" t="s">
        <v>6968</v>
      </c>
      <c r="L59" s="63" t="s">
        <v>34</v>
      </c>
      <c r="M59" s="63" t="s">
        <v>5781</v>
      </c>
      <c r="N59" s="65">
        <v>45716</v>
      </c>
    </row>
    <row r="60" spans="1:14" ht="14.45" customHeight="1" x14ac:dyDescent="0.2">
      <c r="A60" s="59" t="s">
        <v>6969</v>
      </c>
      <c r="B60" s="60" t="s">
        <v>6966</v>
      </c>
      <c r="C60" s="60" t="s">
        <v>6970</v>
      </c>
      <c r="D60" s="40">
        <v>45511</v>
      </c>
      <c r="E60" s="61">
        <v>19.98</v>
      </c>
      <c r="F60" s="62">
        <v>19.98</v>
      </c>
      <c r="G60" s="63" t="s">
        <v>55</v>
      </c>
      <c r="H60" s="64" t="s">
        <v>2742</v>
      </c>
      <c r="I60" s="64" t="s">
        <v>2713</v>
      </c>
      <c r="J60" s="63" t="s">
        <v>393</v>
      </c>
      <c r="K60" s="64" t="s">
        <v>6971</v>
      </c>
      <c r="L60" s="63" t="s">
        <v>157</v>
      </c>
      <c r="M60" s="63" t="s">
        <v>5781</v>
      </c>
      <c r="N60" s="65">
        <v>45838</v>
      </c>
    </row>
    <row r="61" spans="1:14" ht="14.45" customHeight="1" x14ac:dyDescent="0.2">
      <c r="A61" s="59" t="s">
        <v>6336</v>
      </c>
      <c r="B61" s="60" t="s">
        <v>7360</v>
      </c>
      <c r="C61" s="60" t="s">
        <v>6337</v>
      </c>
      <c r="D61" s="40">
        <v>45512</v>
      </c>
      <c r="E61" s="61">
        <v>130</v>
      </c>
      <c r="F61" s="62">
        <v>130</v>
      </c>
      <c r="G61" s="63" t="s">
        <v>615</v>
      </c>
      <c r="H61" s="64" t="s">
        <v>2715</v>
      </c>
      <c r="I61" s="64" t="s">
        <v>2713</v>
      </c>
      <c r="J61" s="63" t="s">
        <v>533</v>
      </c>
      <c r="K61" s="64" t="s">
        <v>4606</v>
      </c>
      <c r="L61" s="63" t="s">
        <v>403</v>
      </c>
      <c r="M61" s="63" t="s">
        <v>5781</v>
      </c>
      <c r="N61" s="65">
        <v>45930</v>
      </c>
    </row>
    <row r="62" spans="1:14" ht="14.45" customHeight="1" x14ac:dyDescent="0.2">
      <c r="A62" s="59" t="s">
        <v>6052</v>
      </c>
      <c r="B62" s="60" t="s">
        <v>6053</v>
      </c>
      <c r="C62" s="60" t="s">
        <v>6054</v>
      </c>
      <c r="D62" s="40">
        <v>45513</v>
      </c>
      <c r="E62" s="61">
        <v>100</v>
      </c>
      <c r="F62" s="62">
        <v>100</v>
      </c>
      <c r="G62" s="63" t="s">
        <v>615</v>
      </c>
      <c r="H62" s="64" t="s">
        <v>2717</v>
      </c>
      <c r="I62" s="64" t="s">
        <v>2713</v>
      </c>
      <c r="J62" s="63"/>
      <c r="K62" s="64" t="s">
        <v>6055</v>
      </c>
      <c r="L62" s="63"/>
      <c r="M62" s="63" t="s">
        <v>5781</v>
      </c>
      <c r="N62" s="65"/>
    </row>
    <row r="63" spans="1:14" ht="14.45" customHeight="1" x14ac:dyDescent="0.2">
      <c r="A63" s="59" t="s">
        <v>6056</v>
      </c>
      <c r="B63" s="60" t="s">
        <v>6053</v>
      </c>
      <c r="C63" s="60" t="s">
        <v>6057</v>
      </c>
      <c r="D63" s="40">
        <v>45513</v>
      </c>
      <c r="E63" s="61">
        <v>150</v>
      </c>
      <c r="F63" s="62">
        <v>150</v>
      </c>
      <c r="G63" s="63" t="s">
        <v>615</v>
      </c>
      <c r="H63" s="64" t="s">
        <v>2717</v>
      </c>
      <c r="I63" s="64" t="s">
        <v>2713</v>
      </c>
      <c r="J63" s="63"/>
      <c r="K63" s="64" t="s">
        <v>6055</v>
      </c>
      <c r="L63" s="63"/>
      <c r="M63" s="63" t="s">
        <v>5781</v>
      </c>
      <c r="N63" s="65"/>
    </row>
    <row r="64" spans="1:14" ht="14.45" customHeight="1" x14ac:dyDescent="0.2">
      <c r="A64" s="59" t="s">
        <v>6058</v>
      </c>
      <c r="B64" s="60" t="s">
        <v>6053</v>
      </c>
      <c r="C64" s="60" t="s">
        <v>6059</v>
      </c>
      <c r="D64" s="40">
        <v>45513</v>
      </c>
      <c r="E64" s="61">
        <v>100</v>
      </c>
      <c r="F64" s="62">
        <v>100</v>
      </c>
      <c r="G64" s="63" t="s">
        <v>615</v>
      </c>
      <c r="H64" s="64" t="s">
        <v>2717</v>
      </c>
      <c r="I64" s="64" t="s">
        <v>2713</v>
      </c>
      <c r="J64" s="63"/>
      <c r="K64" s="64" t="s">
        <v>6060</v>
      </c>
      <c r="L64" s="63"/>
      <c r="M64" s="63" t="s">
        <v>5781</v>
      </c>
      <c r="N64" s="65"/>
    </row>
    <row r="65" spans="1:14" ht="14.45" customHeight="1" x14ac:dyDescent="0.2">
      <c r="A65" s="59" t="s">
        <v>6343</v>
      </c>
      <c r="B65" s="60" t="s">
        <v>4937</v>
      </c>
      <c r="C65" s="60" t="s">
        <v>6054</v>
      </c>
      <c r="D65" s="40">
        <v>45513</v>
      </c>
      <c r="E65" s="61">
        <v>100</v>
      </c>
      <c r="F65" s="62">
        <v>100</v>
      </c>
      <c r="G65" s="63" t="s">
        <v>615</v>
      </c>
      <c r="H65" s="64" t="s">
        <v>2717</v>
      </c>
      <c r="I65" s="64" t="s">
        <v>2713</v>
      </c>
      <c r="J65" s="63" t="s">
        <v>539</v>
      </c>
      <c r="K65" s="64" t="s">
        <v>5022</v>
      </c>
      <c r="L65" s="63" t="s">
        <v>673</v>
      </c>
      <c r="M65" s="63" t="s">
        <v>5781</v>
      </c>
      <c r="N65" s="65">
        <v>45961</v>
      </c>
    </row>
    <row r="66" spans="1:14" ht="14.45" customHeight="1" x14ac:dyDescent="0.2">
      <c r="A66" s="59" t="s">
        <v>6344</v>
      </c>
      <c r="B66" s="60" t="s">
        <v>4937</v>
      </c>
      <c r="C66" s="60" t="s">
        <v>6057</v>
      </c>
      <c r="D66" s="40">
        <v>45513</v>
      </c>
      <c r="E66" s="61">
        <v>150</v>
      </c>
      <c r="F66" s="62">
        <v>150</v>
      </c>
      <c r="G66" s="63" t="s">
        <v>615</v>
      </c>
      <c r="H66" s="64" t="s">
        <v>2717</v>
      </c>
      <c r="I66" s="64" t="s">
        <v>2713</v>
      </c>
      <c r="J66" s="63" t="s">
        <v>539</v>
      </c>
      <c r="K66" s="64" t="s">
        <v>5022</v>
      </c>
      <c r="L66" s="63" t="s">
        <v>673</v>
      </c>
      <c r="M66" s="63" t="s">
        <v>5781</v>
      </c>
      <c r="N66" s="65">
        <v>45961</v>
      </c>
    </row>
    <row r="67" spans="1:14" ht="14.45" customHeight="1" x14ac:dyDescent="0.2">
      <c r="A67" s="59" t="s">
        <v>6346</v>
      </c>
      <c r="B67" s="60" t="s">
        <v>5095</v>
      </c>
      <c r="C67" s="60" t="s">
        <v>5117</v>
      </c>
      <c r="D67" s="40">
        <v>45518</v>
      </c>
      <c r="E67" s="61">
        <v>500</v>
      </c>
      <c r="F67" s="62">
        <v>500</v>
      </c>
      <c r="G67" s="63" t="s">
        <v>615</v>
      </c>
      <c r="H67" s="64" t="s">
        <v>2720</v>
      </c>
      <c r="I67" s="64" t="s">
        <v>2713</v>
      </c>
      <c r="J67" s="63" t="s">
        <v>539</v>
      </c>
      <c r="K67" s="64" t="s">
        <v>6347</v>
      </c>
      <c r="L67" s="63" t="s">
        <v>403</v>
      </c>
      <c r="M67" s="63" t="s">
        <v>5781</v>
      </c>
      <c r="N67" s="65">
        <v>45716</v>
      </c>
    </row>
    <row r="68" spans="1:14" ht="14.45" customHeight="1" x14ac:dyDescent="0.2">
      <c r="A68" s="59" t="s">
        <v>6348</v>
      </c>
      <c r="B68" s="60" t="s">
        <v>6349</v>
      </c>
      <c r="C68" s="60" t="s">
        <v>6350</v>
      </c>
      <c r="D68" s="40">
        <v>45519</v>
      </c>
      <c r="E68" s="61">
        <v>22</v>
      </c>
      <c r="F68" s="62">
        <v>22</v>
      </c>
      <c r="G68" s="63" t="s">
        <v>3505</v>
      </c>
      <c r="H68" s="64" t="s">
        <v>2838</v>
      </c>
      <c r="I68" s="64" t="s">
        <v>2713</v>
      </c>
      <c r="J68" s="63" t="s">
        <v>531</v>
      </c>
      <c r="K68" s="64" t="s">
        <v>6351</v>
      </c>
      <c r="L68" s="63" t="s">
        <v>157</v>
      </c>
      <c r="M68" s="63" t="s">
        <v>5781</v>
      </c>
      <c r="N68" s="65">
        <v>45991</v>
      </c>
    </row>
    <row r="69" spans="1:14" ht="14.45" customHeight="1" x14ac:dyDescent="0.2">
      <c r="A69" s="59" t="s">
        <v>6352</v>
      </c>
      <c r="B69" s="60" t="s">
        <v>6353</v>
      </c>
      <c r="C69" s="60" t="s">
        <v>6353</v>
      </c>
      <c r="D69" s="40">
        <v>45523</v>
      </c>
      <c r="E69" s="61">
        <v>199.5</v>
      </c>
      <c r="F69" s="62">
        <v>199.5</v>
      </c>
      <c r="G69" s="63" t="s">
        <v>615</v>
      </c>
      <c r="H69" s="64" t="s">
        <v>2722</v>
      </c>
      <c r="I69" s="64" t="s">
        <v>2713</v>
      </c>
      <c r="J69" s="63" t="s">
        <v>531</v>
      </c>
      <c r="K69" s="64" t="s">
        <v>1687</v>
      </c>
      <c r="L69" s="63" t="s">
        <v>34</v>
      </c>
      <c r="M69" s="63" t="s">
        <v>5781</v>
      </c>
      <c r="N69" s="65">
        <v>45808</v>
      </c>
    </row>
    <row r="70" spans="1:14" ht="14.45" customHeight="1" x14ac:dyDescent="0.2">
      <c r="A70" s="59" t="s">
        <v>6354</v>
      </c>
      <c r="B70" s="60" t="s">
        <v>6355</v>
      </c>
      <c r="C70" s="60" t="s">
        <v>6356</v>
      </c>
      <c r="D70" s="40">
        <v>45524</v>
      </c>
      <c r="E70" s="61">
        <v>50</v>
      </c>
      <c r="F70" s="62">
        <v>50</v>
      </c>
      <c r="G70" s="63" t="s">
        <v>3505</v>
      </c>
      <c r="H70" s="64" t="s">
        <v>2838</v>
      </c>
      <c r="I70" s="64" t="s">
        <v>2713</v>
      </c>
      <c r="J70" s="63" t="s">
        <v>531</v>
      </c>
      <c r="K70" s="64" t="s">
        <v>6973</v>
      </c>
      <c r="L70" s="63" t="s">
        <v>157</v>
      </c>
      <c r="M70" s="63" t="s">
        <v>5781</v>
      </c>
      <c r="N70" s="65">
        <v>45991</v>
      </c>
    </row>
    <row r="71" spans="1:14" ht="14.45" customHeight="1" x14ac:dyDescent="0.2">
      <c r="A71" s="59" t="s">
        <v>6361</v>
      </c>
      <c r="B71" s="60" t="s">
        <v>6362</v>
      </c>
      <c r="C71" s="60" t="s">
        <v>6363</v>
      </c>
      <c r="D71" s="40">
        <v>45527</v>
      </c>
      <c r="E71" s="61">
        <v>40</v>
      </c>
      <c r="F71" s="62">
        <v>40</v>
      </c>
      <c r="G71" s="63" t="s">
        <v>3505</v>
      </c>
      <c r="H71" s="64" t="s">
        <v>2759</v>
      </c>
      <c r="I71" s="64" t="s">
        <v>2713</v>
      </c>
      <c r="J71" s="63" t="s">
        <v>539</v>
      </c>
      <c r="K71" s="64" t="s">
        <v>7316</v>
      </c>
      <c r="L71" s="63" t="s">
        <v>673</v>
      </c>
      <c r="M71" s="63" t="s">
        <v>5781</v>
      </c>
      <c r="N71" s="65">
        <v>45716</v>
      </c>
    </row>
    <row r="72" spans="1:14" ht="14.45" customHeight="1" x14ac:dyDescent="0.2">
      <c r="A72" s="59" t="s">
        <v>6974</v>
      </c>
      <c r="B72" s="60" t="s">
        <v>5678</v>
      </c>
      <c r="C72" s="60" t="s">
        <v>5617</v>
      </c>
      <c r="D72" s="40">
        <v>45527</v>
      </c>
      <c r="E72" s="61">
        <v>300</v>
      </c>
      <c r="F72" s="62">
        <v>300</v>
      </c>
      <c r="G72" s="63" t="s">
        <v>615</v>
      </c>
      <c r="H72" s="64" t="s">
        <v>2718</v>
      </c>
      <c r="I72" s="64" t="s">
        <v>2713</v>
      </c>
      <c r="J72" s="63" t="s">
        <v>530</v>
      </c>
      <c r="K72" s="64" t="s">
        <v>5623</v>
      </c>
      <c r="L72" s="63" t="s">
        <v>34</v>
      </c>
      <c r="M72" s="63">
        <v>0</v>
      </c>
      <c r="N72" s="65">
        <v>45688</v>
      </c>
    </row>
    <row r="73" spans="1:14" ht="14.45" customHeight="1" x14ac:dyDescent="0.2">
      <c r="A73" s="59" t="s">
        <v>6366</v>
      </c>
      <c r="B73" s="60" t="s">
        <v>5685</v>
      </c>
      <c r="C73" s="60" t="s">
        <v>5686</v>
      </c>
      <c r="D73" s="40">
        <v>45530</v>
      </c>
      <c r="E73" s="61">
        <v>20</v>
      </c>
      <c r="F73" s="62">
        <v>20</v>
      </c>
      <c r="G73" s="63" t="s">
        <v>3505</v>
      </c>
      <c r="H73" s="64" t="s">
        <v>2776</v>
      </c>
      <c r="I73" s="64" t="s">
        <v>2713</v>
      </c>
      <c r="J73" s="63" t="s">
        <v>471</v>
      </c>
      <c r="K73" s="64" t="s">
        <v>6367</v>
      </c>
      <c r="L73" s="63" t="s">
        <v>157</v>
      </c>
      <c r="M73" s="63" t="s">
        <v>5781</v>
      </c>
      <c r="N73" s="65">
        <v>45716</v>
      </c>
    </row>
    <row r="74" spans="1:14" ht="14.45" customHeight="1" x14ac:dyDescent="0.2">
      <c r="A74" s="59" t="s">
        <v>6728</v>
      </c>
      <c r="B74" s="60" t="s">
        <v>3861</v>
      </c>
      <c r="C74" s="60" t="s">
        <v>5005</v>
      </c>
      <c r="D74" s="40">
        <v>45530</v>
      </c>
      <c r="E74" s="61">
        <v>230</v>
      </c>
      <c r="F74" s="62">
        <v>230</v>
      </c>
      <c r="G74" s="63" t="s">
        <v>615</v>
      </c>
      <c r="H74" s="64" t="s">
        <v>2722</v>
      </c>
      <c r="I74" s="64" t="s">
        <v>2713</v>
      </c>
      <c r="J74" s="63" t="s">
        <v>531</v>
      </c>
      <c r="K74" s="64" t="s">
        <v>5026</v>
      </c>
      <c r="L74" s="63" t="s">
        <v>34</v>
      </c>
      <c r="M74" s="63" t="s">
        <v>5781</v>
      </c>
      <c r="N74" s="65">
        <v>45565</v>
      </c>
    </row>
    <row r="75" spans="1:14" ht="14.45" customHeight="1" x14ac:dyDescent="0.2">
      <c r="A75" s="59" t="s">
        <v>6368</v>
      </c>
      <c r="B75" s="60" t="s">
        <v>6369</v>
      </c>
      <c r="C75" s="60" t="s">
        <v>6370</v>
      </c>
      <c r="D75" s="40">
        <v>45530</v>
      </c>
      <c r="E75" s="61">
        <v>100</v>
      </c>
      <c r="F75" s="62">
        <v>100</v>
      </c>
      <c r="G75" s="63" t="s">
        <v>615</v>
      </c>
      <c r="H75" s="64" t="s">
        <v>6371</v>
      </c>
      <c r="I75" s="64" t="s">
        <v>2713</v>
      </c>
      <c r="J75" s="63" t="s">
        <v>393</v>
      </c>
      <c r="K75" s="64" t="s">
        <v>6372</v>
      </c>
      <c r="L75" s="63" t="s">
        <v>34</v>
      </c>
      <c r="M75" s="63" t="s">
        <v>5781</v>
      </c>
      <c r="N75" s="65">
        <v>45716</v>
      </c>
    </row>
    <row r="76" spans="1:14" ht="14.45" customHeight="1" x14ac:dyDescent="0.2">
      <c r="A76" s="59" t="s">
        <v>6374</v>
      </c>
      <c r="B76" s="60" t="s">
        <v>3218</v>
      </c>
      <c r="C76" s="60" t="s">
        <v>3219</v>
      </c>
      <c r="D76" s="40">
        <v>45531</v>
      </c>
      <c r="E76" s="61">
        <v>35</v>
      </c>
      <c r="F76" s="62">
        <v>35</v>
      </c>
      <c r="G76" s="63" t="s">
        <v>3505</v>
      </c>
      <c r="H76" s="64" t="s">
        <v>2721</v>
      </c>
      <c r="I76" s="64" t="s">
        <v>2713</v>
      </c>
      <c r="J76" s="63" t="s">
        <v>471</v>
      </c>
      <c r="K76" s="64" t="s">
        <v>6976</v>
      </c>
      <c r="L76" s="63" t="s">
        <v>157</v>
      </c>
      <c r="M76" s="63" t="s">
        <v>5781</v>
      </c>
      <c r="N76" s="65">
        <v>45716</v>
      </c>
    </row>
    <row r="77" spans="1:14" ht="14.45" customHeight="1" x14ac:dyDescent="0.2">
      <c r="A77" s="59" t="s">
        <v>6375</v>
      </c>
      <c r="B77" s="60" t="s">
        <v>6376</v>
      </c>
      <c r="C77" s="60" t="s">
        <v>6377</v>
      </c>
      <c r="D77" s="40">
        <v>45531</v>
      </c>
      <c r="E77" s="61">
        <v>185</v>
      </c>
      <c r="F77" s="62">
        <v>185</v>
      </c>
      <c r="G77" s="63" t="s">
        <v>3505</v>
      </c>
      <c r="H77" s="64" t="s">
        <v>2732</v>
      </c>
      <c r="I77" s="64" t="s">
        <v>2713</v>
      </c>
      <c r="J77" s="63" t="s">
        <v>393</v>
      </c>
      <c r="K77" s="64" t="s">
        <v>6378</v>
      </c>
      <c r="L77" s="63" t="s">
        <v>34</v>
      </c>
      <c r="M77" s="63" t="s">
        <v>5781</v>
      </c>
      <c r="N77" s="65">
        <v>45716</v>
      </c>
    </row>
    <row r="78" spans="1:14" ht="14.45" customHeight="1" x14ac:dyDescent="0.2">
      <c r="A78" s="59" t="s">
        <v>6381</v>
      </c>
      <c r="B78" s="60" t="s">
        <v>4683</v>
      </c>
      <c r="C78" s="60" t="s">
        <v>4684</v>
      </c>
      <c r="D78" s="40">
        <v>45532</v>
      </c>
      <c r="E78" s="61">
        <v>199</v>
      </c>
      <c r="F78" s="62">
        <v>199</v>
      </c>
      <c r="G78" s="63" t="s">
        <v>615</v>
      </c>
      <c r="H78" s="64" t="s">
        <v>2742</v>
      </c>
      <c r="I78" s="64" t="s">
        <v>2713</v>
      </c>
      <c r="J78" s="63" t="s">
        <v>393</v>
      </c>
      <c r="K78" s="64" t="s">
        <v>6382</v>
      </c>
      <c r="L78" s="63" t="s">
        <v>157</v>
      </c>
      <c r="M78" s="63" t="s">
        <v>5781</v>
      </c>
      <c r="N78" s="65">
        <v>45716</v>
      </c>
    </row>
    <row r="79" spans="1:14" ht="14.45" customHeight="1" x14ac:dyDescent="0.2">
      <c r="A79" s="59" t="s">
        <v>6383</v>
      </c>
      <c r="B79" s="60" t="s">
        <v>6384</v>
      </c>
      <c r="C79" s="60" t="s">
        <v>6385</v>
      </c>
      <c r="D79" s="40">
        <v>45532</v>
      </c>
      <c r="E79" s="61">
        <v>150</v>
      </c>
      <c r="F79" s="62">
        <v>150</v>
      </c>
      <c r="G79" s="63" t="s">
        <v>615</v>
      </c>
      <c r="H79" s="64" t="s">
        <v>590</v>
      </c>
      <c r="I79" s="64" t="s">
        <v>2713</v>
      </c>
      <c r="J79" s="63" t="s">
        <v>393</v>
      </c>
      <c r="K79" s="64" t="s">
        <v>6386</v>
      </c>
      <c r="L79" s="63" t="s">
        <v>157</v>
      </c>
      <c r="M79" s="63" t="s">
        <v>5781</v>
      </c>
      <c r="N79" s="65">
        <v>45808</v>
      </c>
    </row>
    <row r="80" spans="1:14" ht="14.45" customHeight="1" x14ac:dyDescent="0.2">
      <c r="A80" s="59" t="s">
        <v>6387</v>
      </c>
      <c r="B80" s="60" t="s">
        <v>6388</v>
      </c>
      <c r="C80" s="60" t="s">
        <v>4328</v>
      </c>
      <c r="D80" s="40">
        <v>45533</v>
      </c>
      <c r="E80" s="61">
        <v>200</v>
      </c>
      <c r="F80" s="62">
        <v>200</v>
      </c>
      <c r="G80" s="63" t="s">
        <v>55</v>
      </c>
      <c r="H80" s="64" t="s">
        <v>2800</v>
      </c>
      <c r="I80" s="64" t="s">
        <v>2713</v>
      </c>
      <c r="J80" s="63" t="s">
        <v>420</v>
      </c>
      <c r="K80" s="64" t="s">
        <v>6389</v>
      </c>
      <c r="L80" s="63" t="s">
        <v>41</v>
      </c>
      <c r="M80" s="63" t="s">
        <v>5781</v>
      </c>
      <c r="N80" s="65">
        <v>45688</v>
      </c>
    </row>
    <row r="81" spans="1:14" ht="14.45" customHeight="1" x14ac:dyDescent="0.2">
      <c r="A81" s="59" t="s">
        <v>6393</v>
      </c>
      <c r="B81" s="60" t="s">
        <v>6394</v>
      </c>
      <c r="C81" s="60" t="s">
        <v>6395</v>
      </c>
      <c r="D81" s="40">
        <v>45533</v>
      </c>
      <c r="E81" s="61">
        <v>100</v>
      </c>
      <c r="F81" s="62">
        <v>100</v>
      </c>
      <c r="G81" s="63" t="s">
        <v>615</v>
      </c>
      <c r="H81" s="64" t="s">
        <v>2769</v>
      </c>
      <c r="I81" s="64" t="s">
        <v>2713</v>
      </c>
      <c r="J81" s="63" t="s">
        <v>471</v>
      </c>
      <c r="K81" s="64" t="s">
        <v>6396</v>
      </c>
      <c r="L81" s="63" t="s">
        <v>34</v>
      </c>
      <c r="M81" s="63" t="s">
        <v>5781</v>
      </c>
      <c r="N81" s="65">
        <v>45961</v>
      </c>
    </row>
    <row r="82" spans="1:14" ht="14.45" customHeight="1" x14ac:dyDescent="0.2">
      <c r="A82" s="59" t="s">
        <v>6398</v>
      </c>
      <c r="B82" s="60" t="s">
        <v>4851</v>
      </c>
      <c r="C82" s="60" t="s">
        <v>3545</v>
      </c>
      <c r="D82" s="40">
        <v>45533</v>
      </c>
      <c r="E82" s="61">
        <v>250</v>
      </c>
      <c r="F82" s="62">
        <v>250</v>
      </c>
      <c r="G82" s="63" t="s">
        <v>55</v>
      </c>
      <c r="H82" s="64" t="s">
        <v>2738</v>
      </c>
      <c r="I82" s="64" t="s">
        <v>2713</v>
      </c>
      <c r="J82" s="63" t="s">
        <v>420</v>
      </c>
      <c r="K82" s="64" t="s">
        <v>6399</v>
      </c>
      <c r="L82" s="63" t="s">
        <v>41</v>
      </c>
      <c r="M82" s="63" t="s">
        <v>5781</v>
      </c>
      <c r="N82" s="65">
        <v>45688</v>
      </c>
    </row>
    <row r="83" spans="1:14" ht="13.5" customHeight="1" x14ac:dyDescent="0.2">
      <c r="A83" s="59" t="s">
        <v>6401</v>
      </c>
      <c r="B83" s="60" t="s">
        <v>6388</v>
      </c>
      <c r="C83" s="60" t="s">
        <v>3537</v>
      </c>
      <c r="D83" s="40">
        <v>45533</v>
      </c>
      <c r="E83" s="61">
        <v>60</v>
      </c>
      <c r="F83" s="62">
        <v>60</v>
      </c>
      <c r="G83" s="63" t="s">
        <v>55</v>
      </c>
      <c r="H83" s="64" t="s">
        <v>2737</v>
      </c>
      <c r="I83" s="64" t="s">
        <v>2713</v>
      </c>
      <c r="J83" s="63" t="s">
        <v>530</v>
      </c>
      <c r="K83" s="64" t="s">
        <v>6402</v>
      </c>
      <c r="L83" s="63" t="s">
        <v>157</v>
      </c>
      <c r="M83" s="63" t="s">
        <v>5781</v>
      </c>
      <c r="N83" s="65">
        <v>45716</v>
      </c>
    </row>
    <row r="84" spans="1:14" ht="13.5" customHeight="1" x14ac:dyDescent="0.2">
      <c r="A84" s="59" t="s">
        <v>6403</v>
      </c>
      <c r="B84" s="60" t="s">
        <v>4712</v>
      </c>
      <c r="C84" s="60" t="s">
        <v>3542</v>
      </c>
      <c r="D84" s="40">
        <v>45533</v>
      </c>
      <c r="E84" s="61">
        <v>130</v>
      </c>
      <c r="F84" s="62">
        <v>130</v>
      </c>
      <c r="G84" s="63" t="s">
        <v>55</v>
      </c>
      <c r="H84" s="64" t="s">
        <v>2788</v>
      </c>
      <c r="I84" s="64" t="s">
        <v>2713</v>
      </c>
      <c r="J84" s="63" t="s">
        <v>530</v>
      </c>
      <c r="K84" s="64" t="s">
        <v>6404</v>
      </c>
      <c r="L84" s="63" t="s">
        <v>157</v>
      </c>
      <c r="M84" s="63" t="s">
        <v>5781</v>
      </c>
      <c r="N84" s="65">
        <v>45716</v>
      </c>
    </row>
    <row r="85" spans="1:14" ht="14.45" customHeight="1" x14ac:dyDescent="0.2">
      <c r="A85" s="59" t="s">
        <v>6405</v>
      </c>
      <c r="B85" s="60" t="s">
        <v>4713</v>
      </c>
      <c r="C85" s="60" t="s">
        <v>3544</v>
      </c>
      <c r="D85" s="40">
        <v>45533</v>
      </c>
      <c r="E85" s="61">
        <v>40</v>
      </c>
      <c r="F85" s="62">
        <v>40</v>
      </c>
      <c r="G85" s="63" t="s">
        <v>55</v>
      </c>
      <c r="H85" s="64" t="s">
        <v>2699</v>
      </c>
      <c r="I85" s="64" t="s">
        <v>2713</v>
      </c>
      <c r="J85" s="63" t="s">
        <v>471</v>
      </c>
      <c r="K85" s="64" t="s">
        <v>6406</v>
      </c>
      <c r="L85" s="63" t="s">
        <v>157</v>
      </c>
      <c r="M85" s="63" t="s">
        <v>5781</v>
      </c>
      <c r="N85" s="65">
        <v>45657</v>
      </c>
    </row>
    <row r="86" spans="1:14" ht="14.45" customHeight="1" x14ac:dyDescent="0.2">
      <c r="A86" s="59" t="s">
        <v>6407</v>
      </c>
      <c r="B86" s="60" t="s">
        <v>4957</v>
      </c>
      <c r="C86" s="60" t="s">
        <v>6408</v>
      </c>
      <c r="D86" s="40">
        <v>45534</v>
      </c>
      <c r="E86" s="61">
        <v>150</v>
      </c>
      <c r="F86" s="62">
        <v>150</v>
      </c>
      <c r="G86" s="63" t="s">
        <v>3505</v>
      </c>
      <c r="H86" s="64" t="s">
        <v>2728</v>
      </c>
      <c r="I86" s="64" t="s">
        <v>2713</v>
      </c>
      <c r="J86" s="63" t="s">
        <v>531</v>
      </c>
      <c r="K86" s="64" t="s">
        <v>6409</v>
      </c>
      <c r="L86" s="63" t="s">
        <v>157</v>
      </c>
      <c r="M86" s="63" t="s">
        <v>5781</v>
      </c>
      <c r="N86" s="65">
        <v>45961</v>
      </c>
    </row>
    <row r="87" spans="1:14" ht="14.45" customHeight="1" x14ac:dyDescent="0.2">
      <c r="A87" s="59" t="s">
        <v>6410</v>
      </c>
      <c r="B87" s="60" t="s">
        <v>4948</v>
      </c>
      <c r="C87" s="60" t="s">
        <v>4956</v>
      </c>
      <c r="D87" s="40">
        <v>45534</v>
      </c>
      <c r="E87" s="61">
        <v>130</v>
      </c>
      <c r="F87" s="62">
        <v>130</v>
      </c>
      <c r="G87" s="63" t="s">
        <v>3505</v>
      </c>
      <c r="H87" s="64" t="s">
        <v>2727</v>
      </c>
      <c r="I87" s="64" t="s">
        <v>2713</v>
      </c>
      <c r="J87" s="63" t="s">
        <v>393</v>
      </c>
      <c r="K87" s="64" t="s">
        <v>6411</v>
      </c>
      <c r="L87" s="63" t="s">
        <v>34</v>
      </c>
      <c r="M87" s="63" t="s">
        <v>5781</v>
      </c>
      <c r="N87" s="65">
        <v>45596</v>
      </c>
    </row>
    <row r="88" spans="1:14" ht="13.5" customHeight="1" x14ac:dyDescent="0.2">
      <c r="A88" s="59" t="s">
        <v>6729</v>
      </c>
      <c r="B88" s="60" t="s">
        <v>3861</v>
      </c>
      <c r="C88" s="60" t="s">
        <v>6730</v>
      </c>
      <c r="D88" s="40">
        <v>45534</v>
      </c>
      <c r="E88" s="61">
        <v>240</v>
      </c>
      <c r="F88" s="62">
        <v>240</v>
      </c>
      <c r="G88" s="63" t="s">
        <v>6781</v>
      </c>
      <c r="H88" s="64" t="s">
        <v>2718</v>
      </c>
      <c r="I88" s="64" t="s">
        <v>2713</v>
      </c>
      <c r="J88" s="63" t="s">
        <v>530</v>
      </c>
      <c r="K88" s="64" t="s">
        <v>6430</v>
      </c>
      <c r="L88" s="63" t="s">
        <v>41</v>
      </c>
      <c r="M88" s="63" t="s">
        <v>5781</v>
      </c>
      <c r="N88" s="65">
        <v>45565</v>
      </c>
    </row>
    <row r="89" spans="1:14" ht="14.45" customHeight="1" x14ac:dyDescent="0.2">
      <c r="A89" s="59" t="s">
        <v>6412</v>
      </c>
      <c r="B89" s="60" t="s">
        <v>3295</v>
      </c>
      <c r="C89" s="60" t="s">
        <v>3296</v>
      </c>
      <c r="D89" s="40">
        <v>45534</v>
      </c>
      <c r="E89" s="61">
        <v>75</v>
      </c>
      <c r="F89" s="62">
        <v>75</v>
      </c>
      <c r="G89" s="63" t="s">
        <v>55</v>
      </c>
      <c r="H89" s="64" t="s">
        <v>6413</v>
      </c>
      <c r="I89" s="64" t="s">
        <v>2713</v>
      </c>
      <c r="J89" s="63" t="s">
        <v>530</v>
      </c>
      <c r="K89" s="64" t="s">
        <v>6414</v>
      </c>
      <c r="L89" s="63" t="s">
        <v>157</v>
      </c>
      <c r="M89" s="63" t="s">
        <v>5781</v>
      </c>
      <c r="N89" s="65">
        <v>45900</v>
      </c>
    </row>
    <row r="90" spans="1:14" ht="14.45" customHeight="1" x14ac:dyDescent="0.2">
      <c r="A90" s="59" t="s">
        <v>6731</v>
      </c>
      <c r="B90" s="60" t="s">
        <v>4994</v>
      </c>
      <c r="C90" s="60" t="s">
        <v>4858</v>
      </c>
      <c r="D90" s="40">
        <v>45537</v>
      </c>
      <c r="E90" s="61">
        <v>1200</v>
      </c>
      <c r="F90" s="62">
        <v>1200</v>
      </c>
      <c r="G90" s="63" t="s">
        <v>615</v>
      </c>
      <c r="H90" s="64" t="s">
        <v>2780</v>
      </c>
      <c r="I90" s="64" t="s">
        <v>2781</v>
      </c>
      <c r="J90" s="63" t="s">
        <v>533</v>
      </c>
      <c r="K90" s="64" t="s">
        <v>6732</v>
      </c>
      <c r="L90" s="63" t="s">
        <v>403</v>
      </c>
      <c r="M90" s="63" t="s">
        <v>5781</v>
      </c>
      <c r="N90" s="65"/>
    </row>
    <row r="91" spans="1:14" ht="14.45" customHeight="1" x14ac:dyDescent="0.2">
      <c r="A91" s="59" t="s">
        <v>6415</v>
      </c>
      <c r="B91" s="60" t="s">
        <v>6416</v>
      </c>
      <c r="C91" s="60" t="s">
        <v>6417</v>
      </c>
      <c r="D91" s="40">
        <v>45538</v>
      </c>
      <c r="E91" s="61">
        <v>300</v>
      </c>
      <c r="F91" s="62">
        <v>300</v>
      </c>
      <c r="G91" s="63" t="s">
        <v>3505</v>
      </c>
      <c r="H91" s="64" t="s">
        <v>2788</v>
      </c>
      <c r="I91" s="64" t="s">
        <v>2713</v>
      </c>
      <c r="J91" s="63" t="s">
        <v>530</v>
      </c>
      <c r="K91" s="64" t="s">
        <v>6418</v>
      </c>
      <c r="L91" s="63" t="s">
        <v>157</v>
      </c>
      <c r="M91" s="63" t="s">
        <v>5781</v>
      </c>
      <c r="N91" s="65">
        <v>45961</v>
      </c>
    </row>
    <row r="92" spans="1:14" ht="14.45" customHeight="1" x14ac:dyDescent="0.2">
      <c r="A92" s="59" t="s">
        <v>6419</v>
      </c>
      <c r="B92" s="60" t="s">
        <v>6420</v>
      </c>
      <c r="C92" s="60" t="s">
        <v>6421</v>
      </c>
      <c r="D92" s="40">
        <v>45538</v>
      </c>
      <c r="E92" s="61">
        <v>195</v>
      </c>
      <c r="F92" s="62">
        <v>195</v>
      </c>
      <c r="G92" s="63" t="s">
        <v>3505</v>
      </c>
      <c r="H92" s="64" t="s">
        <v>2740</v>
      </c>
      <c r="I92" s="64" t="s">
        <v>2713</v>
      </c>
      <c r="J92" s="63" t="s">
        <v>530</v>
      </c>
      <c r="K92" s="64" t="s">
        <v>6952</v>
      </c>
      <c r="L92" s="63" t="s">
        <v>157</v>
      </c>
      <c r="M92" s="63" t="s">
        <v>5781</v>
      </c>
      <c r="N92" s="65">
        <v>45961</v>
      </c>
    </row>
    <row r="93" spans="1:14" ht="14.45" customHeight="1" x14ac:dyDescent="0.2">
      <c r="A93" s="59" t="s">
        <v>7226</v>
      </c>
      <c r="B93" s="60" t="s">
        <v>6422</v>
      </c>
      <c r="C93" s="60" t="s">
        <v>6423</v>
      </c>
      <c r="D93" s="40">
        <v>45539</v>
      </c>
      <c r="E93" s="61">
        <v>190</v>
      </c>
      <c r="F93" s="62">
        <v>190</v>
      </c>
      <c r="G93" s="63" t="s">
        <v>615</v>
      </c>
      <c r="H93" s="64" t="s">
        <v>2759</v>
      </c>
      <c r="I93" s="64" t="s">
        <v>2713</v>
      </c>
      <c r="J93" s="63" t="s">
        <v>530</v>
      </c>
      <c r="K93" s="64" t="s">
        <v>7227</v>
      </c>
      <c r="L93" s="63" t="s">
        <v>157</v>
      </c>
      <c r="M93" s="63" t="s">
        <v>5781</v>
      </c>
      <c r="N93" s="65">
        <v>45716</v>
      </c>
    </row>
    <row r="94" spans="1:14" ht="14.45" customHeight="1" x14ac:dyDescent="0.2">
      <c r="A94" s="59" t="s">
        <v>6424</v>
      </c>
      <c r="B94" s="60" t="s">
        <v>5678</v>
      </c>
      <c r="C94" s="60" t="s">
        <v>4583</v>
      </c>
      <c r="D94" s="40">
        <v>45540</v>
      </c>
      <c r="E94" s="61">
        <v>100</v>
      </c>
      <c r="F94" s="62">
        <v>100</v>
      </c>
      <c r="G94" s="63" t="s">
        <v>615</v>
      </c>
      <c r="H94" s="64" t="s">
        <v>2806</v>
      </c>
      <c r="I94" s="64" t="s">
        <v>2713</v>
      </c>
      <c r="J94" s="63" t="s">
        <v>539</v>
      </c>
      <c r="K94" s="64" t="s">
        <v>6425</v>
      </c>
      <c r="L94" s="63" t="s">
        <v>673</v>
      </c>
      <c r="M94" s="63">
        <v>0</v>
      </c>
      <c r="N94" s="65">
        <v>45688</v>
      </c>
    </row>
    <row r="95" spans="1:14" ht="14.45" customHeight="1" x14ac:dyDescent="0.2">
      <c r="A95" s="59" t="s">
        <v>6426</v>
      </c>
      <c r="B95" s="60" t="s">
        <v>6422</v>
      </c>
      <c r="C95" s="60" t="s">
        <v>6427</v>
      </c>
      <c r="D95" s="40">
        <v>45540</v>
      </c>
      <c r="E95" s="61">
        <v>100</v>
      </c>
      <c r="F95" s="62">
        <v>100</v>
      </c>
      <c r="G95" s="63" t="s">
        <v>615</v>
      </c>
      <c r="H95" s="64" t="s">
        <v>2728</v>
      </c>
      <c r="I95" s="64" t="s">
        <v>2713</v>
      </c>
      <c r="J95" s="63" t="s">
        <v>531</v>
      </c>
      <c r="K95" s="64" t="s">
        <v>6977</v>
      </c>
      <c r="L95" s="63" t="s">
        <v>157</v>
      </c>
      <c r="M95" s="63" t="s">
        <v>5781</v>
      </c>
      <c r="N95" s="65">
        <v>45716</v>
      </c>
    </row>
    <row r="96" spans="1:14" ht="14.45" customHeight="1" x14ac:dyDescent="0.2">
      <c r="A96" s="59" t="s">
        <v>6431</v>
      </c>
      <c r="B96" s="60" t="s">
        <v>6422</v>
      </c>
      <c r="C96" s="60" t="s">
        <v>6432</v>
      </c>
      <c r="D96" s="40">
        <v>45540</v>
      </c>
      <c r="E96" s="61">
        <v>150</v>
      </c>
      <c r="F96" s="62">
        <v>150</v>
      </c>
      <c r="G96" s="63" t="s">
        <v>615</v>
      </c>
      <c r="H96" s="64" t="s">
        <v>2744</v>
      </c>
      <c r="I96" s="64" t="s">
        <v>2713</v>
      </c>
      <c r="J96" s="63" t="s">
        <v>530</v>
      </c>
      <c r="K96" s="64" t="s">
        <v>6433</v>
      </c>
      <c r="L96" s="63" t="s">
        <v>157</v>
      </c>
      <c r="M96" s="63" t="s">
        <v>5781</v>
      </c>
      <c r="N96" s="65">
        <v>45716</v>
      </c>
    </row>
    <row r="97" spans="1:14" ht="14.45" customHeight="1" x14ac:dyDescent="0.2">
      <c r="A97" s="59" t="s">
        <v>6434</v>
      </c>
      <c r="B97" s="60" t="s">
        <v>6422</v>
      </c>
      <c r="C97" s="60" t="s">
        <v>6435</v>
      </c>
      <c r="D97" s="40">
        <v>45540</v>
      </c>
      <c r="E97" s="61">
        <v>75</v>
      </c>
      <c r="F97" s="62">
        <v>75</v>
      </c>
      <c r="G97" s="63" t="s">
        <v>615</v>
      </c>
      <c r="H97" s="64" t="s">
        <v>2728</v>
      </c>
      <c r="I97" s="64" t="s">
        <v>2713</v>
      </c>
      <c r="J97" s="63" t="s">
        <v>531</v>
      </c>
      <c r="K97" s="64" t="s">
        <v>6978</v>
      </c>
      <c r="L97" s="63" t="s">
        <v>157</v>
      </c>
      <c r="M97" s="63" t="s">
        <v>5781</v>
      </c>
      <c r="N97" s="65">
        <v>45930</v>
      </c>
    </row>
    <row r="98" spans="1:14" ht="14.45" customHeight="1" x14ac:dyDescent="0.2">
      <c r="A98" s="59" t="s">
        <v>6436</v>
      </c>
      <c r="B98" s="60" t="s">
        <v>4346</v>
      </c>
      <c r="C98" s="60" t="s">
        <v>4347</v>
      </c>
      <c r="D98" s="40">
        <v>45540</v>
      </c>
      <c r="E98" s="61">
        <v>120</v>
      </c>
      <c r="F98" s="62">
        <v>120</v>
      </c>
      <c r="G98" s="63" t="s">
        <v>55</v>
      </c>
      <c r="H98" s="64" t="s">
        <v>4348</v>
      </c>
      <c r="I98" s="64" t="s">
        <v>2749</v>
      </c>
      <c r="J98" s="63" t="s">
        <v>393</v>
      </c>
      <c r="K98" s="64" t="s">
        <v>6437</v>
      </c>
      <c r="L98" s="63" t="s">
        <v>34</v>
      </c>
      <c r="M98" s="63" t="s">
        <v>5781</v>
      </c>
      <c r="N98" s="65">
        <v>45716</v>
      </c>
    </row>
    <row r="99" spans="1:14" ht="14.45" customHeight="1" x14ac:dyDescent="0.2">
      <c r="A99" s="59" t="s">
        <v>6446</v>
      </c>
      <c r="B99" s="60" t="s">
        <v>6155</v>
      </c>
      <c r="C99" s="60" t="s">
        <v>6156</v>
      </c>
      <c r="D99" s="40">
        <v>45541</v>
      </c>
      <c r="E99" s="61">
        <v>130</v>
      </c>
      <c r="F99" s="62">
        <v>130</v>
      </c>
      <c r="G99" s="63" t="s">
        <v>615</v>
      </c>
      <c r="H99" s="64" t="s">
        <v>2811</v>
      </c>
      <c r="I99" s="64" t="s">
        <v>2713</v>
      </c>
      <c r="J99" s="63" t="s">
        <v>1596</v>
      </c>
      <c r="K99" s="64" t="s">
        <v>6447</v>
      </c>
      <c r="L99" s="63" t="s">
        <v>403</v>
      </c>
      <c r="M99" s="63" t="s">
        <v>5781</v>
      </c>
      <c r="N99" s="65">
        <v>45777</v>
      </c>
    </row>
    <row r="100" spans="1:14" ht="14.45" customHeight="1" x14ac:dyDescent="0.2">
      <c r="A100" s="59" t="s">
        <v>6448</v>
      </c>
      <c r="B100" s="60" t="s">
        <v>6369</v>
      </c>
      <c r="C100" s="60" t="s">
        <v>6449</v>
      </c>
      <c r="D100" s="40">
        <v>45541</v>
      </c>
      <c r="E100" s="61">
        <v>100</v>
      </c>
      <c r="F100" s="62">
        <v>100</v>
      </c>
      <c r="G100" s="63" t="s">
        <v>615</v>
      </c>
      <c r="H100" s="64" t="s">
        <v>2758</v>
      </c>
      <c r="I100" s="64" t="s">
        <v>2713</v>
      </c>
      <c r="J100" s="63" t="s">
        <v>540</v>
      </c>
      <c r="K100" s="64" t="s">
        <v>6450</v>
      </c>
      <c r="L100" s="63" t="s">
        <v>191</v>
      </c>
      <c r="M100" s="63">
        <v>0</v>
      </c>
      <c r="N100" s="65">
        <v>45626</v>
      </c>
    </row>
    <row r="101" spans="1:14" ht="14.45" customHeight="1" x14ac:dyDescent="0.2">
      <c r="A101" s="59" t="s">
        <v>6451</v>
      </c>
      <c r="B101" s="60" t="s">
        <v>6369</v>
      </c>
      <c r="C101" s="60" t="s">
        <v>6452</v>
      </c>
      <c r="D101" s="40">
        <v>45541</v>
      </c>
      <c r="E101" s="61">
        <v>247.5</v>
      </c>
      <c r="F101" s="62">
        <v>247.5</v>
      </c>
      <c r="G101" s="63" t="s">
        <v>615</v>
      </c>
      <c r="H101" s="64" t="s">
        <v>2775</v>
      </c>
      <c r="I101" s="64" t="s">
        <v>2713</v>
      </c>
      <c r="J101" s="63" t="s">
        <v>531</v>
      </c>
      <c r="K101" s="64" t="s">
        <v>6453</v>
      </c>
      <c r="L101" s="63" t="s">
        <v>157</v>
      </c>
      <c r="M101" s="63" t="s">
        <v>5781</v>
      </c>
      <c r="N101" s="65">
        <v>45716</v>
      </c>
    </row>
    <row r="102" spans="1:14" ht="14.45" customHeight="1" x14ac:dyDescent="0.2">
      <c r="A102" s="59" t="s">
        <v>6456</v>
      </c>
      <c r="B102" s="60" t="s">
        <v>4527</v>
      </c>
      <c r="C102" s="60" t="s">
        <v>5118</v>
      </c>
      <c r="D102" s="40">
        <v>45541</v>
      </c>
      <c r="E102" s="61">
        <v>160</v>
      </c>
      <c r="F102" s="62">
        <v>160</v>
      </c>
      <c r="G102" s="63" t="s">
        <v>615</v>
      </c>
      <c r="H102" s="64" t="s">
        <v>2735</v>
      </c>
      <c r="I102" s="64" t="s">
        <v>2713</v>
      </c>
      <c r="J102" s="63" t="s">
        <v>420</v>
      </c>
      <c r="K102" s="64" t="s">
        <v>6457</v>
      </c>
      <c r="L102" s="63" t="s">
        <v>41</v>
      </c>
      <c r="M102" s="63" t="s">
        <v>5781</v>
      </c>
      <c r="N102" s="65">
        <v>45930</v>
      </c>
    </row>
    <row r="103" spans="1:14" ht="14.45" customHeight="1" x14ac:dyDescent="0.2">
      <c r="A103" s="59" t="s">
        <v>6458</v>
      </c>
      <c r="B103" s="60" t="s">
        <v>3844</v>
      </c>
      <c r="C103" s="60" t="s">
        <v>6459</v>
      </c>
      <c r="D103" s="40">
        <v>45541</v>
      </c>
      <c r="E103" s="61">
        <v>60</v>
      </c>
      <c r="F103" s="62">
        <v>60</v>
      </c>
      <c r="G103" s="63" t="s">
        <v>55</v>
      </c>
      <c r="H103" s="64" t="s">
        <v>2742</v>
      </c>
      <c r="I103" s="64" t="s">
        <v>2713</v>
      </c>
      <c r="J103" s="63" t="s">
        <v>393</v>
      </c>
      <c r="K103" s="64" t="s">
        <v>5057</v>
      </c>
      <c r="L103" s="63" t="s">
        <v>157</v>
      </c>
      <c r="M103" s="63" t="s">
        <v>5781</v>
      </c>
      <c r="N103" s="65">
        <v>45838</v>
      </c>
    </row>
    <row r="104" spans="1:14" ht="14.45" customHeight="1" x14ac:dyDescent="0.2">
      <c r="A104" s="59" t="s">
        <v>6466</v>
      </c>
      <c r="B104" s="60" t="s">
        <v>4527</v>
      </c>
      <c r="C104" s="60" t="s">
        <v>5668</v>
      </c>
      <c r="D104" s="40">
        <v>45544</v>
      </c>
      <c r="E104" s="61">
        <v>40</v>
      </c>
      <c r="F104" s="62">
        <v>40</v>
      </c>
      <c r="G104" s="63" t="s">
        <v>615</v>
      </c>
      <c r="H104" s="64" t="s">
        <v>2735</v>
      </c>
      <c r="I104" s="64" t="s">
        <v>2713</v>
      </c>
      <c r="J104" s="63" t="s">
        <v>420</v>
      </c>
      <c r="K104" s="64" t="s">
        <v>6467</v>
      </c>
      <c r="L104" s="63" t="s">
        <v>34</v>
      </c>
      <c r="M104" s="63">
        <v>0</v>
      </c>
      <c r="N104" s="65">
        <v>45688</v>
      </c>
    </row>
    <row r="105" spans="1:14" ht="14.45" customHeight="1" x14ac:dyDescent="0.2">
      <c r="A105" s="59" t="s">
        <v>7124</v>
      </c>
      <c r="B105" s="60" t="s">
        <v>4356</v>
      </c>
      <c r="C105" s="60" t="s">
        <v>4356</v>
      </c>
      <c r="D105" s="40">
        <v>45544</v>
      </c>
      <c r="E105" s="61">
        <v>46</v>
      </c>
      <c r="F105" s="62">
        <v>46</v>
      </c>
      <c r="G105" s="63" t="s">
        <v>3505</v>
      </c>
      <c r="H105" s="64" t="s">
        <v>2098</v>
      </c>
      <c r="I105" s="64" t="s">
        <v>2713</v>
      </c>
      <c r="J105" s="63" t="s">
        <v>540</v>
      </c>
      <c r="K105" s="64" t="s">
        <v>7125</v>
      </c>
      <c r="L105" s="63" t="s">
        <v>4751</v>
      </c>
      <c r="M105" s="63" t="s">
        <v>5781</v>
      </c>
      <c r="N105" s="65">
        <v>45565</v>
      </c>
    </row>
    <row r="106" spans="1:14" ht="14.45" customHeight="1" x14ac:dyDescent="0.2">
      <c r="A106" s="59" t="s">
        <v>6733</v>
      </c>
      <c r="B106" s="60" t="s">
        <v>3608</v>
      </c>
      <c r="C106" s="60" t="s">
        <v>6734</v>
      </c>
      <c r="D106" s="40">
        <v>45544</v>
      </c>
      <c r="E106" s="61">
        <v>12</v>
      </c>
      <c r="F106" s="62">
        <v>12</v>
      </c>
      <c r="G106" s="63" t="s">
        <v>615</v>
      </c>
      <c r="H106" s="64" t="s">
        <v>2806</v>
      </c>
      <c r="I106" s="64" t="s">
        <v>2713</v>
      </c>
      <c r="J106" s="63" t="s">
        <v>539</v>
      </c>
      <c r="K106" s="64" t="s">
        <v>6735</v>
      </c>
      <c r="L106" s="63"/>
      <c r="M106" s="63" t="s">
        <v>5781</v>
      </c>
      <c r="N106" s="65">
        <v>45596</v>
      </c>
    </row>
    <row r="107" spans="1:14" ht="14.45" customHeight="1" x14ac:dyDescent="0.2">
      <c r="A107" s="59" t="s">
        <v>7238</v>
      </c>
      <c r="B107" s="60" t="s">
        <v>5926</v>
      </c>
      <c r="C107" s="60" t="s">
        <v>5926</v>
      </c>
      <c r="D107" s="40">
        <v>45544</v>
      </c>
      <c r="E107" s="61">
        <v>70</v>
      </c>
      <c r="F107" s="62">
        <v>70</v>
      </c>
      <c r="G107" s="63" t="s">
        <v>3505</v>
      </c>
      <c r="H107" s="64" t="s">
        <v>2098</v>
      </c>
      <c r="I107" s="64" t="s">
        <v>2713</v>
      </c>
      <c r="J107" s="63" t="s">
        <v>540</v>
      </c>
      <c r="K107" s="64" t="s">
        <v>7239</v>
      </c>
      <c r="L107" s="63" t="s">
        <v>4751</v>
      </c>
      <c r="M107" s="63" t="s">
        <v>5781</v>
      </c>
      <c r="N107" s="65">
        <v>45596</v>
      </c>
    </row>
    <row r="108" spans="1:14" ht="14.45" customHeight="1" x14ac:dyDescent="0.2">
      <c r="A108" s="59" t="s">
        <v>6468</v>
      </c>
      <c r="B108" s="60" t="s">
        <v>1264</v>
      </c>
      <c r="C108" s="60" t="s">
        <v>6469</v>
      </c>
      <c r="D108" s="40">
        <v>45544</v>
      </c>
      <c r="E108" s="61">
        <v>70</v>
      </c>
      <c r="F108" s="62">
        <v>70</v>
      </c>
      <c r="G108" s="63" t="s">
        <v>55</v>
      </c>
      <c r="H108" s="64" t="s">
        <v>6470</v>
      </c>
      <c r="I108" s="64" t="s">
        <v>2713</v>
      </c>
      <c r="J108" s="63" t="s">
        <v>530</v>
      </c>
      <c r="K108" s="64" t="s">
        <v>6471</v>
      </c>
      <c r="L108" s="63" t="s">
        <v>157</v>
      </c>
      <c r="M108" s="63" t="s">
        <v>5781</v>
      </c>
      <c r="N108" s="65">
        <v>45657</v>
      </c>
    </row>
    <row r="109" spans="1:14" ht="14.45" customHeight="1" x14ac:dyDescent="0.2">
      <c r="A109" s="59" t="s">
        <v>6472</v>
      </c>
      <c r="B109" s="60" t="s">
        <v>5678</v>
      </c>
      <c r="C109" s="60" t="s">
        <v>5048</v>
      </c>
      <c r="D109" s="40">
        <v>45545</v>
      </c>
      <c r="E109" s="61">
        <v>200</v>
      </c>
      <c r="F109" s="62">
        <v>200</v>
      </c>
      <c r="G109" s="63" t="s">
        <v>615</v>
      </c>
      <c r="H109" s="64" t="s">
        <v>2716</v>
      </c>
      <c r="I109" s="64" t="s">
        <v>2713</v>
      </c>
      <c r="J109" s="63" t="s">
        <v>532</v>
      </c>
      <c r="K109" s="64" t="s">
        <v>6473</v>
      </c>
      <c r="L109" s="63" t="s">
        <v>87</v>
      </c>
      <c r="M109" s="63">
        <v>0</v>
      </c>
      <c r="N109" s="65">
        <v>45747</v>
      </c>
    </row>
    <row r="110" spans="1:14" ht="14.45" customHeight="1" x14ac:dyDescent="0.2">
      <c r="A110" s="59" t="s">
        <v>6736</v>
      </c>
      <c r="B110" s="60" t="s">
        <v>6422</v>
      </c>
      <c r="C110" s="60" t="s">
        <v>6737</v>
      </c>
      <c r="D110" s="40">
        <v>45545</v>
      </c>
      <c r="E110" s="61">
        <v>100</v>
      </c>
      <c r="F110" s="62">
        <v>100</v>
      </c>
      <c r="G110" s="63" t="s">
        <v>615</v>
      </c>
      <c r="H110" s="64" t="s">
        <v>2736</v>
      </c>
      <c r="I110" s="64" t="s">
        <v>2713</v>
      </c>
      <c r="J110" s="63" t="s">
        <v>471</v>
      </c>
      <c r="K110" s="64" t="s">
        <v>6738</v>
      </c>
      <c r="L110" s="63" t="s">
        <v>157</v>
      </c>
      <c r="M110" s="63" t="s">
        <v>5781</v>
      </c>
      <c r="N110" s="65">
        <v>45565</v>
      </c>
    </row>
    <row r="111" spans="1:14" ht="14.45" customHeight="1" x14ac:dyDescent="0.2">
      <c r="A111" s="59" t="s">
        <v>6474</v>
      </c>
      <c r="B111" s="60" t="s">
        <v>4527</v>
      </c>
      <c r="C111" s="60" t="s">
        <v>5611</v>
      </c>
      <c r="D111" s="40">
        <v>45545</v>
      </c>
      <c r="E111" s="61" t="s">
        <v>7346</v>
      </c>
      <c r="F111" s="62" t="s">
        <v>7346</v>
      </c>
      <c r="G111" s="63" t="s">
        <v>615</v>
      </c>
      <c r="H111" s="63" t="s">
        <v>2800</v>
      </c>
      <c r="I111" s="64" t="s">
        <v>2713</v>
      </c>
      <c r="J111" s="63" t="s">
        <v>530</v>
      </c>
      <c r="K111" s="64" t="s">
        <v>6475</v>
      </c>
      <c r="L111" s="65" t="s">
        <v>157</v>
      </c>
      <c r="M111" s="63">
        <v>0</v>
      </c>
      <c r="N111" s="65">
        <v>45808</v>
      </c>
    </row>
    <row r="112" spans="1:14" ht="14.45" customHeight="1" x14ac:dyDescent="0.2">
      <c r="A112" s="59" t="s">
        <v>6479</v>
      </c>
      <c r="B112" s="60" t="s">
        <v>6480</v>
      </c>
      <c r="C112" s="60" t="s">
        <v>1446</v>
      </c>
      <c r="D112" s="40">
        <v>45546</v>
      </c>
      <c r="E112" s="61">
        <v>20</v>
      </c>
      <c r="F112" s="62">
        <v>20</v>
      </c>
      <c r="G112" s="63" t="s">
        <v>55</v>
      </c>
      <c r="H112" s="64" t="s">
        <v>2640</v>
      </c>
      <c r="I112" s="64" t="s">
        <v>2713</v>
      </c>
      <c r="J112" s="63" t="s">
        <v>393</v>
      </c>
      <c r="K112" s="64" t="s">
        <v>6979</v>
      </c>
      <c r="L112" s="63" t="s">
        <v>157</v>
      </c>
      <c r="M112" s="63" t="s">
        <v>5781</v>
      </c>
      <c r="N112" s="65">
        <v>45961</v>
      </c>
    </row>
    <row r="113" spans="1:14" ht="14.45" customHeight="1" x14ac:dyDescent="0.2">
      <c r="A113" s="59" t="s">
        <v>6481</v>
      </c>
      <c r="B113" s="60" t="s">
        <v>6482</v>
      </c>
      <c r="C113" s="60" t="s">
        <v>3338</v>
      </c>
      <c r="D113" s="40">
        <v>45546</v>
      </c>
      <c r="E113" s="61">
        <v>20</v>
      </c>
      <c r="F113" s="62">
        <v>20</v>
      </c>
      <c r="G113" s="63" t="s">
        <v>55</v>
      </c>
      <c r="H113" s="64" t="s">
        <v>2728</v>
      </c>
      <c r="I113" s="64" t="s">
        <v>2713</v>
      </c>
      <c r="J113" s="63" t="s">
        <v>531</v>
      </c>
      <c r="K113" s="64" t="s">
        <v>6483</v>
      </c>
      <c r="L113" s="63" t="s">
        <v>157</v>
      </c>
      <c r="M113" s="63" t="s">
        <v>5781</v>
      </c>
      <c r="N113" s="65">
        <v>45961</v>
      </c>
    </row>
    <row r="114" spans="1:14" ht="14.45" customHeight="1" x14ac:dyDescent="0.2">
      <c r="A114" s="59" t="s">
        <v>6980</v>
      </c>
      <c r="B114" s="60" t="s">
        <v>3844</v>
      </c>
      <c r="C114" s="60" t="s">
        <v>6981</v>
      </c>
      <c r="D114" s="40">
        <v>45546</v>
      </c>
      <c r="E114" s="61">
        <v>100</v>
      </c>
      <c r="F114" s="62">
        <v>100</v>
      </c>
      <c r="G114" s="63" t="s">
        <v>615</v>
      </c>
      <c r="H114" s="64" t="s">
        <v>6982</v>
      </c>
      <c r="I114" s="64" t="s">
        <v>2713</v>
      </c>
      <c r="J114" s="63" t="s">
        <v>530</v>
      </c>
      <c r="K114" s="64" t="s">
        <v>6983</v>
      </c>
      <c r="L114" s="63" t="s">
        <v>157</v>
      </c>
      <c r="M114" s="63">
        <v>0</v>
      </c>
      <c r="N114" s="65">
        <v>45688</v>
      </c>
    </row>
    <row r="115" spans="1:14" ht="14.45" customHeight="1" x14ac:dyDescent="0.2">
      <c r="A115" s="59" t="s">
        <v>6788</v>
      </c>
      <c r="B115" s="60" t="s">
        <v>7411</v>
      </c>
      <c r="C115" s="60" t="s">
        <v>5677</v>
      </c>
      <c r="D115" s="40">
        <v>45546</v>
      </c>
      <c r="E115" s="61">
        <v>500</v>
      </c>
      <c r="F115" s="62">
        <v>500</v>
      </c>
      <c r="G115" s="63" t="s">
        <v>615</v>
      </c>
      <c r="H115" s="64" t="s">
        <v>6239</v>
      </c>
      <c r="I115" s="64" t="s">
        <v>2713</v>
      </c>
      <c r="J115" s="63" t="s">
        <v>530</v>
      </c>
      <c r="K115" s="64" t="s">
        <v>5694</v>
      </c>
      <c r="L115" s="63" t="s">
        <v>41</v>
      </c>
      <c r="M115" s="63" t="s">
        <v>5781</v>
      </c>
      <c r="N115" s="65">
        <v>45930</v>
      </c>
    </row>
    <row r="116" spans="1:14" ht="14.45" customHeight="1" x14ac:dyDescent="0.2">
      <c r="A116" s="59" t="s">
        <v>6484</v>
      </c>
      <c r="B116" s="60" t="s">
        <v>5676</v>
      </c>
      <c r="C116" s="60" t="s">
        <v>5680</v>
      </c>
      <c r="D116" s="40">
        <v>45546</v>
      </c>
      <c r="E116" s="61">
        <v>500</v>
      </c>
      <c r="F116" s="62">
        <v>500</v>
      </c>
      <c r="G116" s="63" t="s">
        <v>615</v>
      </c>
      <c r="H116" s="64" t="s">
        <v>2744</v>
      </c>
      <c r="I116" s="64" t="s">
        <v>2713</v>
      </c>
      <c r="J116" s="63" t="s">
        <v>530</v>
      </c>
      <c r="K116" s="64" t="s">
        <v>7200</v>
      </c>
      <c r="L116" s="63" t="s">
        <v>157</v>
      </c>
      <c r="M116" s="63">
        <v>0</v>
      </c>
      <c r="N116" s="65">
        <v>45747</v>
      </c>
    </row>
    <row r="117" spans="1:14" ht="14.45" customHeight="1" x14ac:dyDescent="0.2">
      <c r="A117" s="59" t="s">
        <v>6487</v>
      </c>
      <c r="B117" s="60" t="s">
        <v>6488</v>
      </c>
      <c r="C117" s="60" t="s">
        <v>6488</v>
      </c>
      <c r="D117" s="40">
        <v>45547</v>
      </c>
      <c r="E117" s="61">
        <v>100</v>
      </c>
      <c r="F117" s="62">
        <v>100</v>
      </c>
      <c r="G117" s="63" t="s">
        <v>615</v>
      </c>
      <c r="H117" s="64" t="s">
        <v>2728</v>
      </c>
      <c r="I117" s="64" t="s">
        <v>2713</v>
      </c>
      <c r="J117" s="63" t="s">
        <v>531</v>
      </c>
      <c r="K117" s="64" t="s">
        <v>6489</v>
      </c>
      <c r="L117" s="63" t="s">
        <v>157</v>
      </c>
      <c r="M117" s="63" t="s">
        <v>5781</v>
      </c>
      <c r="N117" s="65">
        <v>45869</v>
      </c>
    </row>
    <row r="118" spans="1:14" ht="14.45" customHeight="1" x14ac:dyDescent="0.2">
      <c r="A118" s="59" t="s">
        <v>6490</v>
      </c>
      <c r="B118" s="60" t="s">
        <v>1264</v>
      </c>
      <c r="C118" s="60" t="s">
        <v>4286</v>
      </c>
      <c r="D118" s="40">
        <v>45547</v>
      </c>
      <c r="E118" s="61">
        <v>80</v>
      </c>
      <c r="F118" s="62">
        <v>80</v>
      </c>
      <c r="G118" s="63" t="s">
        <v>55</v>
      </c>
      <c r="H118" s="64" t="s">
        <v>4345</v>
      </c>
      <c r="I118" s="64" t="s">
        <v>2713</v>
      </c>
      <c r="J118" s="63" t="s">
        <v>530</v>
      </c>
      <c r="K118" s="64" t="s">
        <v>7202</v>
      </c>
      <c r="L118" s="63" t="s">
        <v>157</v>
      </c>
      <c r="M118" s="63" t="s">
        <v>5781</v>
      </c>
      <c r="N118" s="65">
        <v>45991</v>
      </c>
    </row>
    <row r="119" spans="1:14" ht="14.45" customHeight="1" x14ac:dyDescent="0.2">
      <c r="A119" s="59" t="s">
        <v>6491</v>
      </c>
      <c r="B119" s="60" t="s">
        <v>1264</v>
      </c>
      <c r="C119" s="60" t="s">
        <v>3393</v>
      </c>
      <c r="D119" s="40">
        <v>45547</v>
      </c>
      <c r="E119" s="61">
        <v>20</v>
      </c>
      <c r="F119" s="62">
        <v>20</v>
      </c>
      <c r="G119" s="63" t="s">
        <v>615</v>
      </c>
      <c r="H119" s="64" t="s">
        <v>2717</v>
      </c>
      <c r="I119" s="64" t="s">
        <v>2713</v>
      </c>
      <c r="J119" s="63" t="s">
        <v>539</v>
      </c>
      <c r="K119" s="64" t="s">
        <v>6492</v>
      </c>
      <c r="L119" s="63" t="s">
        <v>673</v>
      </c>
      <c r="M119" s="63">
        <v>0</v>
      </c>
      <c r="N119" s="65">
        <v>45777</v>
      </c>
    </row>
    <row r="120" spans="1:14" ht="14.45" customHeight="1" x14ac:dyDescent="0.2">
      <c r="A120" s="59" t="s">
        <v>6493</v>
      </c>
      <c r="B120" s="60" t="s">
        <v>3195</v>
      </c>
      <c r="C120" s="60" t="s">
        <v>3194</v>
      </c>
      <c r="D120" s="40">
        <v>45547</v>
      </c>
      <c r="E120" s="61">
        <v>50</v>
      </c>
      <c r="F120" s="62">
        <v>50</v>
      </c>
      <c r="G120" s="63" t="s">
        <v>615</v>
      </c>
      <c r="H120" s="64" t="s">
        <v>2716</v>
      </c>
      <c r="I120" s="64" t="s">
        <v>2713</v>
      </c>
      <c r="J120" s="63" t="s">
        <v>532</v>
      </c>
      <c r="K120" s="64" t="s">
        <v>6789</v>
      </c>
      <c r="L120" s="63" t="s">
        <v>87</v>
      </c>
      <c r="M120" s="63" t="s">
        <v>5781</v>
      </c>
      <c r="N120" s="65">
        <v>45716</v>
      </c>
    </row>
    <row r="121" spans="1:14" ht="14.45" customHeight="1" x14ac:dyDescent="0.2">
      <c r="A121" s="59" t="s">
        <v>6494</v>
      </c>
      <c r="B121" s="60" t="s">
        <v>6495</v>
      </c>
      <c r="C121" s="60" t="s">
        <v>6496</v>
      </c>
      <c r="D121" s="40">
        <v>45547</v>
      </c>
      <c r="E121" s="61">
        <v>100</v>
      </c>
      <c r="F121" s="62">
        <v>100</v>
      </c>
      <c r="G121" s="63" t="s">
        <v>615</v>
      </c>
      <c r="H121" s="64" t="s">
        <v>4568</v>
      </c>
      <c r="I121" s="64" t="s">
        <v>2713</v>
      </c>
      <c r="J121" s="63" t="s">
        <v>532</v>
      </c>
      <c r="K121" s="64" t="s">
        <v>4877</v>
      </c>
      <c r="L121" s="63" t="s">
        <v>87</v>
      </c>
      <c r="M121" s="63" t="s">
        <v>5781</v>
      </c>
      <c r="N121" s="65">
        <v>45869</v>
      </c>
    </row>
    <row r="122" spans="1:14" ht="14.45" customHeight="1" x14ac:dyDescent="0.2">
      <c r="A122" s="59" t="s">
        <v>6497</v>
      </c>
      <c r="B122" s="60" t="s">
        <v>6495</v>
      </c>
      <c r="C122" s="60" t="s">
        <v>6498</v>
      </c>
      <c r="D122" s="40">
        <v>45547</v>
      </c>
      <c r="E122" s="61">
        <v>95</v>
      </c>
      <c r="F122" s="62">
        <v>95</v>
      </c>
      <c r="G122" s="63" t="s">
        <v>615</v>
      </c>
      <c r="H122" s="64" t="s">
        <v>3154</v>
      </c>
      <c r="I122" s="64" t="s">
        <v>2713</v>
      </c>
      <c r="J122" s="63" t="s">
        <v>539</v>
      </c>
      <c r="K122" s="64" t="s">
        <v>6499</v>
      </c>
      <c r="L122" s="63" t="s">
        <v>1162</v>
      </c>
      <c r="M122" s="63" t="s">
        <v>5781</v>
      </c>
      <c r="N122" s="65">
        <v>45900</v>
      </c>
    </row>
    <row r="123" spans="1:14" ht="14.45" customHeight="1" x14ac:dyDescent="0.2">
      <c r="A123" s="59" t="s">
        <v>6739</v>
      </c>
      <c r="B123" s="60" t="s">
        <v>4527</v>
      </c>
      <c r="C123" s="60" t="s">
        <v>6740</v>
      </c>
      <c r="D123" s="40">
        <v>45548</v>
      </c>
      <c r="E123" s="61">
        <v>300</v>
      </c>
      <c r="F123" s="62">
        <v>300</v>
      </c>
      <c r="G123" s="63" t="s">
        <v>615</v>
      </c>
      <c r="H123" s="64" t="s">
        <v>2800</v>
      </c>
      <c r="I123" s="64" t="s">
        <v>2713</v>
      </c>
      <c r="J123" s="63" t="s">
        <v>530</v>
      </c>
      <c r="K123" s="64" t="s">
        <v>6741</v>
      </c>
      <c r="L123" s="63" t="s">
        <v>41</v>
      </c>
      <c r="M123" s="63" t="s">
        <v>5781</v>
      </c>
      <c r="N123" s="65">
        <v>45596</v>
      </c>
    </row>
    <row r="124" spans="1:14" ht="14.45" customHeight="1" x14ac:dyDescent="0.2">
      <c r="A124" s="59" t="s">
        <v>6504</v>
      </c>
      <c r="B124" s="60" t="s">
        <v>3301</v>
      </c>
      <c r="C124" s="60" t="s">
        <v>3302</v>
      </c>
      <c r="D124" s="40">
        <v>45551</v>
      </c>
      <c r="E124" s="61">
        <v>45</v>
      </c>
      <c r="F124" s="62">
        <v>45</v>
      </c>
      <c r="G124" s="63" t="s">
        <v>615</v>
      </c>
      <c r="H124" s="64" t="s">
        <v>2716</v>
      </c>
      <c r="I124" s="64" t="s">
        <v>2713</v>
      </c>
      <c r="J124" s="63" t="s">
        <v>532</v>
      </c>
      <c r="K124" s="64" t="s">
        <v>6505</v>
      </c>
      <c r="L124" s="63" t="s">
        <v>87</v>
      </c>
      <c r="M124" s="63" t="s">
        <v>5781</v>
      </c>
      <c r="N124" s="65">
        <v>45716</v>
      </c>
    </row>
    <row r="125" spans="1:14" ht="14.45" customHeight="1" x14ac:dyDescent="0.2">
      <c r="A125" s="59" t="s">
        <v>6742</v>
      </c>
      <c r="B125" s="60" t="s">
        <v>6743</v>
      </c>
      <c r="C125" s="60" t="s">
        <v>6744</v>
      </c>
      <c r="D125" s="40">
        <v>45551</v>
      </c>
      <c r="E125" s="61">
        <v>100</v>
      </c>
      <c r="F125" s="62">
        <v>100</v>
      </c>
      <c r="G125" s="63" t="s">
        <v>615</v>
      </c>
      <c r="H125" s="64" t="s">
        <v>2716</v>
      </c>
      <c r="I125" s="64" t="s">
        <v>2713</v>
      </c>
      <c r="J125" s="63" t="s">
        <v>532</v>
      </c>
      <c r="K125" s="64" t="s">
        <v>6380</v>
      </c>
      <c r="L125" s="63" t="s">
        <v>87</v>
      </c>
      <c r="M125" s="63" t="s">
        <v>5781</v>
      </c>
      <c r="N125" s="65">
        <v>45596</v>
      </c>
    </row>
    <row r="126" spans="1:14" ht="14.45" customHeight="1" x14ac:dyDescent="0.2">
      <c r="A126" s="59" t="s">
        <v>6511</v>
      </c>
      <c r="B126" s="60" t="s">
        <v>6267</v>
      </c>
      <c r="C126" s="60" t="s">
        <v>6512</v>
      </c>
      <c r="D126" s="40">
        <v>45552</v>
      </c>
      <c r="E126" s="61">
        <v>250</v>
      </c>
      <c r="F126" s="62">
        <v>250</v>
      </c>
      <c r="G126" s="63" t="s">
        <v>615</v>
      </c>
      <c r="H126" s="64" t="s">
        <v>2728</v>
      </c>
      <c r="I126" s="64" t="s">
        <v>2713</v>
      </c>
      <c r="J126" s="63" t="s">
        <v>531</v>
      </c>
      <c r="K126" s="64" t="s">
        <v>6513</v>
      </c>
      <c r="L126" s="63" t="s">
        <v>157</v>
      </c>
      <c r="M126" s="63" t="s">
        <v>5781</v>
      </c>
      <c r="N126" s="65">
        <v>45716</v>
      </c>
    </row>
    <row r="127" spans="1:14" ht="14.45" customHeight="1" x14ac:dyDescent="0.2">
      <c r="A127" s="59" t="s">
        <v>6514</v>
      </c>
      <c r="B127" s="60" t="s">
        <v>6515</v>
      </c>
      <c r="C127" s="60" t="s">
        <v>6516</v>
      </c>
      <c r="D127" s="40">
        <v>45552</v>
      </c>
      <c r="E127" s="61">
        <v>75</v>
      </c>
      <c r="F127" s="62">
        <v>75</v>
      </c>
      <c r="G127" s="63" t="s">
        <v>615</v>
      </c>
      <c r="H127" s="64" t="s">
        <v>2746</v>
      </c>
      <c r="I127" s="64" t="s">
        <v>2713</v>
      </c>
      <c r="J127" s="63" t="s">
        <v>532</v>
      </c>
      <c r="K127" s="64" t="s">
        <v>6791</v>
      </c>
      <c r="L127" s="63" t="s">
        <v>87</v>
      </c>
      <c r="M127" s="63" t="s">
        <v>5781</v>
      </c>
      <c r="N127" s="65">
        <v>45930</v>
      </c>
    </row>
    <row r="128" spans="1:14" ht="14.45" customHeight="1" x14ac:dyDescent="0.2">
      <c r="A128" s="59" t="s">
        <v>6517</v>
      </c>
      <c r="B128" s="60" t="s">
        <v>6518</v>
      </c>
      <c r="C128" s="60" t="s">
        <v>6519</v>
      </c>
      <c r="D128" s="40">
        <v>45552</v>
      </c>
      <c r="E128" s="61">
        <v>165</v>
      </c>
      <c r="F128" s="62">
        <v>165</v>
      </c>
      <c r="G128" s="63" t="s">
        <v>615</v>
      </c>
      <c r="H128" s="64" t="s">
        <v>2742</v>
      </c>
      <c r="I128" s="64" t="s">
        <v>2713</v>
      </c>
      <c r="J128" s="63" t="s">
        <v>393</v>
      </c>
      <c r="K128" s="64" t="s">
        <v>6985</v>
      </c>
      <c r="L128" s="63" t="s">
        <v>157</v>
      </c>
      <c r="M128" s="63" t="s">
        <v>5781</v>
      </c>
      <c r="N128" s="65">
        <v>45688</v>
      </c>
    </row>
    <row r="129" spans="1:14" ht="14.45" customHeight="1" x14ac:dyDescent="0.2">
      <c r="A129" s="59" t="s">
        <v>6520</v>
      </c>
      <c r="B129" s="60" t="s">
        <v>6521</v>
      </c>
      <c r="C129" s="60" t="s">
        <v>6522</v>
      </c>
      <c r="D129" s="40">
        <v>45552</v>
      </c>
      <c r="E129" s="61">
        <v>150</v>
      </c>
      <c r="F129" s="62">
        <v>150</v>
      </c>
      <c r="G129" s="63" t="s">
        <v>615</v>
      </c>
      <c r="H129" s="64" t="s">
        <v>2773</v>
      </c>
      <c r="I129" s="64" t="s">
        <v>2713</v>
      </c>
      <c r="J129" s="63" t="s">
        <v>539</v>
      </c>
      <c r="K129" s="64" t="s">
        <v>6523</v>
      </c>
      <c r="L129" s="63" t="s">
        <v>673</v>
      </c>
      <c r="M129" s="63" t="s">
        <v>5781</v>
      </c>
      <c r="N129" s="65">
        <v>45716</v>
      </c>
    </row>
    <row r="130" spans="1:14" ht="14.45" customHeight="1" x14ac:dyDescent="0.2">
      <c r="A130" s="59" t="s">
        <v>6524</v>
      </c>
      <c r="B130" s="60" t="s">
        <v>6525</v>
      </c>
      <c r="C130" s="60" t="s">
        <v>6526</v>
      </c>
      <c r="D130" s="40">
        <v>45552</v>
      </c>
      <c r="E130" s="61">
        <v>59.2</v>
      </c>
      <c r="F130" s="62">
        <v>59.2</v>
      </c>
      <c r="G130" s="63" t="s">
        <v>3505</v>
      </c>
      <c r="H130" s="64" t="s">
        <v>2806</v>
      </c>
      <c r="I130" s="64" t="s">
        <v>2713</v>
      </c>
      <c r="J130" s="63" t="s">
        <v>539</v>
      </c>
      <c r="K130" s="64" t="s">
        <v>6527</v>
      </c>
      <c r="L130" s="63" t="s">
        <v>673</v>
      </c>
      <c r="M130" s="63">
        <v>0</v>
      </c>
      <c r="N130" s="65">
        <v>45747</v>
      </c>
    </row>
    <row r="131" spans="1:14" ht="14.45" customHeight="1" x14ac:dyDescent="0.2">
      <c r="A131" s="59" t="s">
        <v>6528</v>
      </c>
      <c r="B131" s="60" t="s">
        <v>2901</v>
      </c>
      <c r="C131" s="60" t="s">
        <v>6529</v>
      </c>
      <c r="D131" s="40">
        <v>45552</v>
      </c>
      <c r="E131" s="61">
        <v>1310</v>
      </c>
      <c r="F131" s="62">
        <v>1310</v>
      </c>
      <c r="G131" s="63" t="s">
        <v>124</v>
      </c>
      <c r="H131" s="64" t="s">
        <v>2716</v>
      </c>
      <c r="I131" s="64" t="s">
        <v>2713</v>
      </c>
      <c r="J131" s="63" t="s">
        <v>532</v>
      </c>
      <c r="K131" s="64" t="s">
        <v>6530</v>
      </c>
      <c r="L131" s="63" t="s">
        <v>41</v>
      </c>
      <c r="M131" s="63" t="s">
        <v>5781</v>
      </c>
      <c r="N131" s="65">
        <v>45747</v>
      </c>
    </row>
    <row r="132" spans="1:14" ht="14.45" customHeight="1" x14ac:dyDescent="0.2">
      <c r="A132" s="59" t="s">
        <v>6536</v>
      </c>
      <c r="B132" s="60" t="s">
        <v>6537</v>
      </c>
      <c r="C132" s="60" t="s">
        <v>6538</v>
      </c>
      <c r="D132" s="40">
        <v>45552</v>
      </c>
      <c r="E132" s="61">
        <v>35</v>
      </c>
      <c r="F132" s="62">
        <v>35</v>
      </c>
      <c r="G132" s="63" t="s">
        <v>615</v>
      </c>
      <c r="H132" s="64" t="s">
        <v>2716</v>
      </c>
      <c r="I132" s="64" t="s">
        <v>2713</v>
      </c>
      <c r="J132" s="63" t="s">
        <v>532</v>
      </c>
      <c r="K132" s="64" t="s">
        <v>6539</v>
      </c>
      <c r="L132" s="63" t="s">
        <v>87</v>
      </c>
      <c r="M132" s="63" t="s">
        <v>5781</v>
      </c>
      <c r="N132" s="65">
        <v>45991</v>
      </c>
    </row>
    <row r="133" spans="1:14" ht="14.45" customHeight="1" x14ac:dyDescent="0.2">
      <c r="A133" s="59" t="s">
        <v>6794</v>
      </c>
      <c r="B133" s="60" t="s">
        <v>4781</v>
      </c>
      <c r="C133" s="60" t="s">
        <v>4789</v>
      </c>
      <c r="D133" s="40">
        <v>45552</v>
      </c>
      <c r="E133" s="61">
        <v>150</v>
      </c>
      <c r="F133" s="62">
        <v>150</v>
      </c>
      <c r="G133" s="63" t="s">
        <v>3505</v>
      </c>
      <c r="H133" s="64" t="s">
        <v>3145</v>
      </c>
      <c r="I133" s="64" t="s">
        <v>2713</v>
      </c>
      <c r="J133" s="63" t="s">
        <v>393</v>
      </c>
      <c r="K133" s="64" t="s">
        <v>6795</v>
      </c>
      <c r="L133" s="63" t="s">
        <v>34</v>
      </c>
      <c r="M133" s="63" t="s">
        <v>5781</v>
      </c>
      <c r="N133" s="65">
        <v>45869</v>
      </c>
    </row>
    <row r="134" spans="1:14" ht="14.45" customHeight="1" x14ac:dyDescent="0.2">
      <c r="A134" s="59" t="s">
        <v>6796</v>
      </c>
      <c r="B134" s="60" t="s">
        <v>6548</v>
      </c>
      <c r="C134" s="60" t="s">
        <v>6797</v>
      </c>
      <c r="D134" s="40">
        <v>45552</v>
      </c>
      <c r="E134" s="61">
        <v>125</v>
      </c>
      <c r="F134" s="62">
        <v>125</v>
      </c>
      <c r="G134" s="63" t="s">
        <v>615</v>
      </c>
      <c r="H134" s="64" t="s">
        <v>2716</v>
      </c>
      <c r="I134" s="64" t="s">
        <v>2713</v>
      </c>
      <c r="J134" s="63" t="s">
        <v>532</v>
      </c>
      <c r="K134" s="64" t="s">
        <v>6798</v>
      </c>
      <c r="L134" s="63" t="s">
        <v>87</v>
      </c>
      <c r="M134" s="63" t="s">
        <v>5781</v>
      </c>
      <c r="N134" s="65">
        <v>45626</v>
      </c>
    </row>
    <row r="135" spans="1:14" ht="14.45" customHeight="1" x14ac:dyDescent="0.2">
      <c r="A135" s="59" t="s">
        <v>6542</v>
      </c>
      <c r="B135" s="60" t="s">
        <v>6543</v>
      </c>
      <c r="C135" s="60" t="s">
        <v>6544</v>
      </c>
      <c r="D135" s="40">
        <v>45552</v>
      </c>
      <c r="E135" s="61">
        <v>65.3</v>
      </c>
      <c r="F135" s="62">
        <v>65.3</v>
      </c>
      <c r="G135" s="63" t="s">
        <v>615</v>
      </c>
      <c r="H135" s="64" t="s">
        <v>6545</v>
      </c>
      <c r="I135" s="64" t="s">
        <v>2713</v>
      </c>
      <c r="J135" s="63" t="s">
        <v>532</v>
      </c>
      <c r="K135" s="64" t="s">
        <v>6546</v>
      </c>
      <c r="L135" s="63" t="s">
        <v>87</v>
      </c>
      <c r="M135" s="63">
        <v>0</v>
      </c>
      <c r="N135" s="65">
        <v>45747</v>
      </c>
    </row>
    <row r="136" spans="1:14" ht="14.45" customHeight="1" x14ac:dyDescent="0.2">
      <c r="A136" s="59" t="s">
        <v>6801</v>
      </c>
      <c r="B136" s="60" t="s">
        <v>6802</v>
      </c>
      <c r="C136" s="60" t="s">
        <v>1693</v>
      </c>
      <c r="D136" s="40">
        <v>45553</v>
      </c>
      <c r="E136" s="61">
        <v>80</v>
      </c>
      <c r="F136" s="62">
        <v>80</v>
      </c>
      <c r="G136" s="63" t="s">
        <v>55</v>
      </c>
      <c r="H136" s="64" t="s">
        <v>6803</v>
      </c>
      <c r="I136" s="64" t="s">
        <v>2713</v>
      </c>
      <c r="J136" s="63" t="s">
        <v>471</v>
      </c>
      <c r="K136" s="64" t="s">
        <v>6986</v>
      </c>
      <c r="L136" s="63" t="s">
        <v>157</v>
      </c>
      <c r="M136" s="63" t="s">
        <v>5781</v>
      </c>
      <c r="N136" s="65">
        <v>45930</v>
      </c>
    </row>
    <row r="137" spans="1:14" ht="14.45" customHeight="1" x14ac:dyDescent="0.2">
      <c r="A137" s="59" t="s">
        <v>6745</v>
      </c>
      <c r="B137" s="60" t="s">
        <v>6746</v>
      </c>
      <c r="C137" s="60" t="s">
        <v>3334</v>
      </c>
      <c r="D137" s="40">
        <v>45553</v>
      </c>
      <c r="E137" s="61">
        <v>200</v>
      </c>
      <c r="F137" s="62">
        <v>200</v>
      </c>
      <c r="G137" s="63" t="s">
        <v>55</v>
      </c>
      <c r="H137" s="64" t="s">
        <v>2736</v>
      </c>
      <c r="I137" s="64" t="s">
        <v>2713</v>
      </c>
      <c r="J137" s="63" t="s">
        <v>471</v>
      </c>
      <c r="K137" s="64" t="s">
        <v>4808</v>
      </c>
      <c r="L137" s="63" t="s">
        <v>41</v>
      </c>
      <c r="M137" s="63" t="s">
        <v>5781</v>
      </c>
      <c r="N137" s="65">
        <v>45596</v>
      </c>
    </row>
    <row r="138" spans="1:14" ht="14.45" customHeight="1" x14ac:dyDescent="0.2">
      <c r="A138" s="59" t="s">
        <v>6987</v>
      </c>
      <c r="B138" s="60" t="s">
        <v>6988</v>
      </c>
      <c r="C138" s="60" t="s">
        <v>6989</v>
      </c>
      <c r="D138" s="40">
        <v>45553</v>
      </c>
      <c r="E138" s="61">
        <v>36.6</v>
      </c>
      <c r="F138" s="62">
        <v>36.6</v>
      </c>
      <c r="G138" s="63" t="s">
        <v>55</v>
      </c>
      <c r="H138" s="64" t="s">
        <v>5777</v>
      </c>
      <c r="I138" s="64" t="s">
        <v>2713</v>
      </c>
      <c r="J138" s="63" t="s">
        <v>471</v>
      </c>
      <c r="K138" s="64" t="s">
        <v>6990</v>
      </c>
      <c r="L138" s="63" t="s">
        <v>3533</v>
      </c>
      <c r="M138" s="63" t="s">
        <v>5781</v>
      </c>
      <c r="N138" s="65">
        <v>45991</v>
      </c>
    </row>
    <row r="139" spans="1:14" ht="14.45" customHeight="1" x14ac:dyDescent="0.2">
      <c r="A139" s="59" t="s">
        <v>6747</v>
      </c>
      <c r="B139" s="60" t="s">
        <v>6746</v>
      </c>
      <c r="C139" s="60" t="s">
        <v>6748</v>
      </c>
      <c r="D139" s="40">
        <v>45553</v>
      </c>
      <c r="E139" s="61">
        <v>100</v>
      </c>
      <c r="F139" s="62">
        <v>100</v>
      </c>
      <c r="G139" s="63" t="s">
        <v>55</v>
      </c>
      <c r="H139" s="64" t="s">
        <v>2736</v>
      </c>
      <c r="I139" s="64" t="s">
        <v>2713</v>
      </c>
      <c r="J139" s="63" t="s">
        <v>471</v>
      </c>
      <c r="K139" s="64" t="s">
        <v>6749</v>
      </c>
      <c r="L139" s="63" t="s">
        <v>41</v>
      </c>
      <c r="M139" s="63" t="s">
        <v>5781</v>
      </c>
      <c r="N139" s="65">
        <v>45596</v>
      </c>
    </row>
    <row r="140" spans="1:14" ht="14.45" customHeight="1" x14ac:dyDescent="0.2">
      <c r="A140" s="59" t="s">
        <v>6991</v>
      </c>
      <c r="B140" s="60" t="s">
        <v>6992</v>
      </c>
      <c r="C140" s="60" t="s">
        <v>6993</v>
      </c>
      <c r="D140" s="40">
        <v>45553</v>
      </c>
      <c r="E140" s="61">
        <v>350</v>
      </c>
      <c r="F140" s="62">
        <v>350</v>
      </c>
      <c r="G140" s="63" t="s">
        <v>3505</v>
      </c>
      <c r="H140" s="64" t="s">
        <v>6994</v>
      </c>
      <c r="I140" s="64" t="s">
        <v>2713</v>
      </c>
      <c r="J140" s="63" t="s">
        <v>471</v>
      </c>
      <c r="K140" s="64" t="s">
        <v>7404</v>
      </c>
      <c r="L140" s="63" t="s">
        <v>41</v>
      </c>
      <c r="M140" s="63" t="s">
        <v>5781</v>
      </c>
      <c r="N140" s="65">
        <v>45716</v>
      </c>
    </row>
    <row r="141" spans="1:14" ht="14.45" customHeight="1" x14ac:dyDescent="0.2">
      <c r="A141" s="59" t="s">
        <v>6554</v>
      </c>
      <c r="B141" s="60" t="s">
        <v>6555</v>
      </c>
      <c r="C141" s="60" t="s">
        <v>6555</v>
      </c>
      <c r="D141" s="40">
        <v>45554</v>
      </c>
      <c r="E141" s="61">
        <v>100</v>
      </c>
      <c r="F141" s="62">
        <v>100</v>
      </c>
      <c r="G141" s="63" t="s">
        <v>615</v>
      </c>
      <c r="H141" s="64" t="s">
        <v>2721</v>
      </c>
      <c r="I141" s="64" t="s">
        <v>2713</v>
      </c>
      <c r="J141" s="63" t="s">
        <v>471</v>
      </c>
      <c r="K141" s="64" t="s">
        <v>6556</v>
      </c>
      <c r="L141" s="63" t="s">
        <v>157</v>
      </c>
      <c r="M141" s="63" t="s">
        <v>5781</v>
      </c>
      <c r="N141" s="65">
        <v>45869</v>
      </c>
    </row>
    <row r="142" spans="1:14" ht="14.45" customHeight="1" x14ac:dyDescent="0.2">
      <c r="A142" s="59" t="s">
        <v>6557</v>
      </c>
      <c r="B142" s="60" t="s">
        <v>5108</v>
      </c>
      <c r="C142" s="60" t="s">
        <v>6558</v>
      </c>
      <c r="D142" s="40">
        <v>45554</v>
      </c>
      <c r="E142" s="61">
        <v>200</v>
      </c>
      <c r="F142" s="62">
        <v>200</v>
      </c>
      <c r="G142" s="63" t="s">
        <v>55</v>
      </c>
      <c r="H142" s="64" t="s">
        <v>2736</v>
      </c>
      <c r="I142" s="64" t="s">
        <v>2713</v>
      </c>
      <c r="J142" s="63" t="s">
        <v>530</v>
      </c>
      <c r="K142" s="64" t="s">
        <v>6997</v>
      </c>
      <c r="L142" s="63" t="s">
        <v>157</v>
      </c>
      <c r="M142" s="63" t="s">
        <v>5781</v>
      </c>
      <c r="N142" s="65">
        <v>45657</v>
      </c>
    </row>
    <row r="143" spans="1:14" ht="14.45" customHeight="1" x14ac:dyDescent="0.2">
      <c r="A143" s="59" t="s">
        <v>6805</v>
      </c>
      <c r="B143" s="60" t="s">
        <v>3550</v>
      </c>
      <c r="C143" s="60" t="s">
        <v>6806</v>
      </c>
      <c r="D143" s="40">
        <v>45554</v>
      </c>
      <c r="E143" s="61">
        <v>90</v>
      </c>
      <c r="F143" s="62">
        <v>90</v>
      </c>
      <c r="G143" s="63" t="s">
        <v>55</v>
      </c>
      <c r="H143" s="64" t="s">
        <v>401</v>
      </c>
      <c r="I143" s="64" t="s">
        <v>2713</v>
      </c>
      <c r="J143" s="63" t="s">
        <v>393</v>
      </c>
      <c r="K143" s="64" t="s">
        <v>6807</v>
      </c>
      <c r="L143" s="63" t="s">
        <v>157</v>
      </c>
      <c r="M143" s="63" t="s">
        <v>5781</v>
      </c>
      <c r="N143" s="65">
        <v>45657</v>
      </c>
    </row>
    <row r="144" spans="1:14" ht="14.45" customHeight="1" x14ac:dyDescent="0.2">
      <c r="A144" s="59" t="s">
        <v>6560</v>
      </c>
      <c r="B144" s="60" t="s">
        <v>6561</v>
      </c>
      <c r="C144" s="60" t="s">
        <v>6562</v>
      </c>
      <c r="D144" s="40">
        <v>45554</v>
      </c>
      <c r="E144" s="61">
        <v>120</v>
      </c>
      <c r="F144" s="62">
        <v>120</v>
      </c>
      <c r="G144" s="63" t="s">
        <v>55</v>
      </c>
      <c r="H144" s="64" t="s">
        <v>2838</v>
      </c>
      <c r="I144" s="64" t="s">
        <v>2713</v>
      </c>
      <c r="J144" s="63" t="s">
        <v>531</v>
      </c>
      <c r="K144" s="64" t="s">
        <v>6998</v>
      </c>
      <c r="L144" s="63" t="s">
        <v>157</v>
      </c>
      <c r="M144" s="63" t="s">
        <v>5781</v>
      </c>
      <c r="N144" s="65">
        <v>45657</v>
      </c>
    </row>
    <row r="145" spans="1:14" ht="14.45" customHeight="1" x14ac:dyDescent="0.2">
      <c r="A145" s="59" t="s">
        <v>6563</v>
      </c>
      <c r="B145" s="60" t="s">
        <v>6564</v>
      </c>
      <c r="C145" s="60" t="s">
        <v>4672</v>
      </c>
      <c r="D145" s="40">
        <v>45554</v>
      </c>
      <c r="E145" s="61">
        <v>100</v>
      </c>
      <c r="F145" s="62">
        <v>100</v>
      </c>
      <c r="G145" s="63" t="s">
        <v>55</v>
      </c>
      <c r="H145" s="64" t="s">
        <v>2739</v>
      </c>
      <c r="I145" s="64" t="s">
        <v>2713</v>
      </c>
      <c r="J145" s="63" t="s">
        <v>540</v>
      </c>
      <c r="K145" s="64" t="s">
        <v>6565</v>
      </c>
      <c r="L145" s="63" t="s">
        <v>41</v>
      </c>
      <c r="M145" s="63" t="s">
        <v>5781</v>
      </c>
      <c r="N145" s="65">
        <v>45657</v>
      </c>
    </row>
    <row r="146" spans="1:14" ht="14.45" customHeight="1" x14ac:dyDescent="0.2">
      <c r="A146" s="59" t="s">
        <v>6566</v>
      </c>
      <c r="B146" s="60" t="s">
        <v>6567</v>
      </c>
      <c r="C146" s="60" t="s">
        <v>6568</v>
      </c>
      <c r="D146" s="40">
        <v>45554</v>
      </c>
      <c r="E146" s="61">
        <v>90</v>
      </c>
      <c r="F146" s="62">
        <v>90</v>
      </c>
      <c r="G146" s="63" t="s">
        <v>55</v>
      </c>
      <c r="H146" s="64" t="s">
        <v>6569</v>
      </c>
      <c r="I146" s="64" t="s">
        <v>2713</v>
      </c>
      <c r="J146" s="63" t="s">
        <v>471</v>
      </c>
      <c r="K146" s="64" t="s">
        <v>6999</v>
      </c>
      <c r="L146" s="63" t="s">
        <v>157</v>
      </c>
      <c r="M146" s="63" t="s">
        <v>5781</v>
      </c>
      <c r="N146" s="65">
        <v>45657</v>
      </c>
    </row>
    <row r="147" spans="1:14" ht="14.45" customHeight="1" x14ac:dyDescent="0.2">
      <c r="A147" s="59" t="s">
        <v>6570</v>
      </c>
      <c r="B147" s="60" t="s">
        <v>6564</v>
      </c>
      <c r="C147" s="60" t="s">
        <v>4674</v>
      </c>
      <c r="D147" s="40">
        <v>45554</v>
      </c>
      <c r="E147" s="61">
        <v>200</v>
      </c>
      <c r="F147" s="62">
        <v>200</v>
      </c>
      <c r="G147" s="63" t="s">
        <v>615</v>
      </c>
      <c r="H147" s="64" t="s">
        <v>2739</v>
      </c>
      <c r="I147" s="64" t="s">
        <v>2713</v>
      </c>
      <c r="J147" s="63" t="s">
        <v>540</v>
      </c>
      <c r="K147" s="64" t="s">
        <v>4673</v>
      </c>
      <c r="L147" s="63" t="s">
        <v>41</v>
      </c>
      <c r="M147" s="63" t="s">
        <v>5781</v>
      </c>
      <c r="N147" s="65">
        <v>45657</v>
      </c>
    </row>
    <row r="148" spans="1:14" ht="14.45" customHeight="1" x14ac:dyDescent="0.2">
      <c r="A148" s="59" t="s">
        <v>6808</v>
      </c>
      <c r="B148" s="60" t="s">
        <v>5108</v>
      </c>
      <c r="C148" s="60" t="s">
        <v>6809</v>
      </c>
      <c r="D148" s="40">
        <v>45554</v>
      </c>
      <c r="E148" s="61">
        <v>200</v>
      </c>
      <c r="F148" s="62">
        <v>200</v>
      </c>
      <c r="G148" s="63" t="s">
        <v>615</v>
      </c>
      <c r="H148" s="64" t="s">
        <v>2736</v>
      </c>
      <c r="I148" s="64" t="s">
        <v>2713</v>
      </c>
      <c r="J148" s="63" t="s">
        <v>530</v>
      </c>
      <c r="K148" s="64" t="s">
        <v>6559</v>
      </c>
      <c r="L148" s="63" t="s">
        <v>157</v>
      </c>
      <c r="M148" s="63" t="s">
        <v>5781</v>
      </c>
      <c r="N148" s="65">
        <v>45626</v>
      </c>
    </row>
    <row r="149" spans="1:14" ht="14.45" customHeight="1" x14ac:dyDescent="0.2">
      <c r="A149" s="59" t="s">
        <v>7240</v>
      </c>
      <c r="B149" s="60" t="s">
        <v>5108</v>
      </c>
      <c r="C149" s="60" t="s">
        <v>7241</v>
      </c>
      <c r="D149" s="40">
        <v>45554</v>
      </c>
      <c r="E149" s="61">
        <v>200</v>
      </c>
      <c r="F149" s="62">
        <v>200</v>
      </c>
      <c r="G149" s="63" t="s">
        <v>615</v>
      </c>
      <c r="H149" s="64" t="s">
        <v>2736</v>
      </c>
      <c r="I149" s="64" t="s">
        <v>2713</v>
      </c>
      <c r="J149" s="63" t="s">
        <v>530</v>
      </c>
      <c r="K149" s="64" t="s">
        <v>7242</v>
      </c>
      <c r="L149" s="63" t="s">
        <v>157</v>
      </c>
      <c r="M149" s="63" t="s">
        <v>5781</v>
      </c>
      <c r="N149" s="65">
        <v>45626</v>
      </c>
    </row>
    <row r="150" spans="1:14" ht="14.45" customHeight="1" x14ac:dyDescent="0.2">
      <c r="A150" s="59" t="s">
        <v>6571</v>
      </c>
      <c r="B150" s="60" t="s">
        <v>6422</v>
      </c>
      <c r="C150" s="60" t="s">
        <v>6572</v>
      </c>
      <c r="D150" s="40">
        <v>45554</v>
      </c>
      <c r="E150" s="61">
        <v>100</v>
      </c>
      <c r="F150" s="62">
        <v>100</v>
      </c>
      <c r="G150" s="63" t="s">
        <v>615</v>
      </c>
      <c r="H150" s="64" t="s">
        <v>2736</v>
      </c>
      <c r="I150" s="64" t="s">
        <v>2713</v>
      </c>
      <c r="J150" s="63" t="s">
        <v>471</v>
      </c>
      <c r="K150" s="64" t="s">
        <v>7000</v>
      </c>
      <c r="L150" s="63" t="s">
        <v>157</v>
      </c>
      <c r="M150" s="63">
        <v>0</v>
      </c>
      <c r="N150" s="65">
        <v>45657</v>
      </c>
    </row>
    <row r="151" spans="1:14" ht="14.45" customHeight="1" x14ac:dyDescent="0.2">
      <c r="A151" s="59" t="s">
        <v>7243</v>
      </c>
      <c r="B151" s="60" t="s">
        <v>4706</v>
      </c>
      <c r="C151" s="60" t="s">
        <v>3144</v>
      </c>
      <c r="D151" s="40">
        <v>45554</v>
      </c>
      <c r="E151" s="61">
        <v>160</v>
      </c>
      <c r="F151" s="62">
        <v>160</v>
      </c>
      <c r="G151" s="63" t="s">
        <v>55</v>
      </c>
      <c r="H151" s="64" t="s">
        <v>3145</v>
      </c>
      <c r="I151" s="64" t="s">
        <v>2713</v>
      </c>
      <c r="J151" s="63" t="s">
        <v>393</v>
      </c>
      <c r="K151" s="64" t="s">
        <v>7244</v>
      </c>
      <c r="L151" s="63" t="s">
        <v>34</v>
      </c>
      <c r="M151" s="63" t="s">
        <v>5781</v>
      </c>
      <c r="N151" s="65">
        <v>45657</v>
      </c>
    </row>
    <row r="152" spans="1:14" ht="14.45" customHeight="1" x14ac:dyDescent="0.2">
      <c r="A152" s="59" t="s">
        <v>6810</v>
      </c>
      <c r="B152" s="60" t="s">
        <v>6811</v>
      </c>
      <c r="C152" s="60" t="s">
        <v>6812</v>
      </c>
      <c r="D152" s="40">
        <v>45554</v>
      </c>
      <c r="E152" s="61">
        <v>260</v>
      </c>
      <c r="F152" s="62">
        <v>260</v>
      </c>
      <c r="G152" s="63" t="s">
        <v>615</v>
      </c>
      <c r="H152" s="64" t="s">
        <v>2742</v>
      </c>
      <c r="I152" s="64" t="s">
        <v>2713</v>
      </c>
      <c r="J152" s="63" t="s">
        <v>393</v>
      </c>
      <c r="K152" s="64" t="s">
        <v>6813</v>
      </c>
      <c r="L152" s="63" t="s">
        <v>157</v>
      </c>
      <c r="M152" s="63">
        <v>0</v>
      </c>
      <c r="N152" s="65">
        <v>45716</v>
      </c>
    </row>
    <row r="153" spans="1:14" ht="14.45" customHeight="1" x14ac:dyDescent="0.2">
      <c r="A153" s="59" t="s">
        <v>7005</v>
      </c>
      <c r="B153" s="60" t="s">
        <v>3243</v>
      </c>
      <c r="C153" s="60" t="s">
        <v>3244</v>
      </c>
      <c r="D153" s="40">
        <v>45554</v>
      </c>
      <c r="E153" s="61">
        <v>550</v>
      </c>
      <c r="F153" s="62">
        <v>550</v>
      </c>
      <c r="G153" s="63" t="s">
        <v>3505</v>
      </c>
      <c r="H153" s="64" t="s">
        <v>401</v>
      </c>
      <c r="I153" s="64" t="s">
        <v>2713</v>
      </c>
      <c r="J153" s="63" t="s">
        <v>540</v>
      </c>
      <c r="K153" s="64" t="s">
        <v>7203</v>
      </c>
      <c r="L153" s="63" t="s">
        <v>41</v>
      </c>
      <c r="M153" s="63" t="s">
        <v>5781</v>
      </c>
      <c r="N153" s="65">
        <v>45869</v>
      </c>
    </row>
    <row r="154" spans="1:14" ht="14.45" customHeight="1" x14ac:dyDescent="0.2">
      <c r="A154" s="59" t="s">
        <v>6937</v>
      </c>
      <c r="B154" s="60" t="s">
        <v>3472</v>
      </c>
      <c r="C154" s="60" t="s">
        <v>3472</v>
      </c>
      <c r="D154" s="40">
        <v>45554</v>
      </c>
      <c r="E154" s="61">
        <v>90</v>
      </c>
      <c r="F154" s="62">
        <v>90</v>
      </c>
      <c r="G154" s="63" t="s">
        <v>55</v>
      </c>
      <c r="H154" s="64" t="s">
        <v>2728</v>
      </c>
      <c r="I154" s="64" t="s">
        <v>2713</v>
      </c>
      <c r="J154" s="63" t="s">
        <v>531</v>
      </c>
      <c r="K154" s="64" t="s">
        <v>4985</v>
      </c>
      <c r="L154" s="63" t="s">
        <v>157</v>
      </c>
      <c r="M154" s="63" t="s">
        <v>5781</v>
      </c>
      <c r="N154" s="65">
        <v>45596</v>
      </c>
    </row>
    <row r="155" spans="1:14" ht="14.45" customHeight="1" x14ac:dyDescent="0.2">
      <c r="A155" s="59" t="s">
        <v>6573</v>
      </c>
      <c r="B155" s="60" t="s">
        <v>5615</v>
      </c>
      <c r="C155" s="60" t="s">
        <v>5616</v>
      </c>
      <c r="D155" s="40">
        <v>45554</v>
      </c>
      <c r="E155" s="61">
        <v>200</v>
      </c>
      <c r="F155" s="62">
        <v>200</v>
      </c>
      <c r="G155" s="63" t="s">
        <v>615</v>
      </c>
      <c r="H155" s="64" t="s">
        <v>590</v>
      </c>
      <c r="I155" s="64" t="s">
        <v>2713</v>
      </c>
      <c r="J155" s="63" t="s">
        <v>393</v>
      </c>
      <c r="K155" s="64" t="s">
        <v>6574</v>
      </c>
      <c r="L155" s="63" t="s">
        <v>157</v>
      </c>
      <c r="M155" s="63" t="s">
        <v>5781</v>
      </c>
      <c r="N155" s="65">
        <v>45716</v>
      </c>
    </row>
    <row r="156" spans="1:14" ht="14.45" customHeight="1" x14ac:dyDescent="0.2">
      <c r="A156" s="59" t="s">
        <v>6575</v>
      </c>
      <c r="B156" s="60" t="s">
        <v>6576</v>
      </c>
      <c r="C156" s="60" t="s">
        <v>6577</v>
      </c>
      <c r="D156" s="40">
        <v>45555</v>
      </c>
      <c r="E156" s="61">
        <v>50</v>
      </c>
      <c r="F156" s="62">
        <v>50</v>
      </c>
      <c r="G156" s="63" t="s">
        <v>55</v>
      </c>
      <c r="H156" s="64" t="s">
        <v>2748</v>
      </c>
      <c r="I156" s="64" t="s">
        <v>2713</v>
      </c>
      <c r="J156" s="63" t="s">
        <v>393</v>
      </c>
      <c r="K156" s="64" t="s">
        <v>6578</v>
      </c>
      <c r="L156" s="63" t="s">
        <v>34</v>
      </c>
      <c r="M156" s="63" t="s">
        <v>5781</v>
      </c>
      <c r="N156" s="65">
        <v>45716</v>
      </c>
    </row>
    <row r="157" spans="1:14" ht="14.45" customHeight="1" x14ac:dyDescent="0.2">
      <c r="A157" s="59" t="s">
        <v>6750</v>
      </c>
      <c r="B157" s="60" t="s">
        <v>6580</v>
      </c>
      <c r="C157" s="60" t="s">
        <v>6751</v>
      </c>
      <c r="D157" s="40">
        <v>45555</v>
      </c>
      <c r="E157" s="61">
        <v>120</v>
      </c>
      <c r="F157" s="62">
        <v>120</v>
      </c>
      <c r="G157" s="63" t="s">
        <v>615</v>
      </c>
      <c r="H157" s="64" t="s">
        <v>2788</v>
      </c>
      <c r="I157" s="64" t="s">
        <v>2713</v>
      </c>
      <c r="J157" s="63" t="s">
        <v>530</v>
      </c>
      <c r="K157" s="64" t="s">
        <v>6752</v>
      </c>
      <c r="L157" s="63" t="s">
        <v>41</v>
      </c>
      <c r="M157" s="63" t="s">
        <v>5781</v>
      </c>
      <c r="N157" s="65">
        <v>45596</v>
      </c>
    </row>
    <row r="158" spans="1:14" ht="14.45" customHeight="1" x14ac:dyDescent="0.2">
      <c r="A158" s="59" t="s">
        <v>6579</v>
      </c>
      <c r="B158" s="60" t="s">
        <v>6580</v>
      </c>
      <c r="C158" s="60" t="s">
        <v>6581</v>
      </c>
      <c r="D158" s="40">
        <v>45555</v>
      </c>
      <c r="E158" s="61">
        <v>195</v>
      </c>
      <c r="F158" s="62">
        <v>195</v>
      </c>
      <c r="G158" s="63" t="s">
        <v>615</v>
      </c>
      <c r="H158" s="64" t="s">
        <v>2788</v>
      </c>
      <c r="I158" s="64" t="s">
        <v>2713</v>
      </c>
      <c r="J158" s="63" t="s">
        <v>530</v>
      </c>
      <c r="K158" s="64" t="s">
        <v>6582</v>
      </c>
      <c r="L158" s="63" t="s">
        <v>157</v>
      </c>
      <c r="M158" s="63" t="s">
        <v>5781</v>
      </c>
      <c r="N158" s="65">
        <v>45869</v>
      </c>
    </row>
    <row r="159" spans="1:14" ht="14.45" customHeight="1" x14ac:dyDescent="0.2">
      <c r="A159" s="59" t="s">
        <v>6753</v>
      </c>
      <c r="B159" s="60" t="s">
        <v>6580</v>
      </c>
      <c r="C159" s="60" t="s">
        <v>6754</v>
      </c>
      <c r="D159" s="40">
        <v>45555</v>
      </c>
      <c r="E159" s="61">
        <v>435</v>
      </c>
      <c r="F159" s="62">
        <v>435</v>
      </c>
      <c r="G159" s="63" t="s">
        <v>615</v>
      </c>
      <c r="H159" s="64" t="s">
        <v>2788</v>
      </c>
      <c r="I159" s="64" t="s">
        <v>2713</v>
      </c>
      <c r="J159" s="63" t="s">
        <v>530</v>
      </c>
      <c r="K159" s="64" t="s">
        <v>6755</v>
      </c>
      <c r="L159" s="63" t="s">
        <v>41</v>
      </c>
      <c r="M159" s="63" t="s">
        <v>5781</v>
      </c>
      <c r="N159" s="65">
        <v>45596</v>
      </c>
    </row>
    <row r="160" spans="1:14" ht="14.45" customHeight="1" x14ac:dyDescent="0.2">
      <c r="A160" s="59" t="s">
        <v>7014</v>
      </c>
      <c r="B160" s="60" t="s">
        <v>7015</v>
      </c>
      <c r="C160" s="60" t="s">
        <v>7015</v>
      </c>
      <c r="D160" s="40">
        <v>45555</v>
      </c>
      <c r="E160" s="61">
        <v>100</v>
      </c>
      <c r="F160" s="62">
        <v>100</v>
      </c>
      <c r="G160" s="63" t="s">
        <v>615</v>
      </c>
      <c r="H160" s="64" t="s">
        <v>2775</v>
      </c>
      <c r="I160" s="64" t="s">
        <v>2713</v>
      </c>
      <c r="J160" s="63" t="s">
        <v>531</v>
      </c>
      <c r="K160" s="64" t="s">
        <v>7016</v>
      </c>
      <c r="L160" s="63" t="s">
        <v>34</v>
      </c>
      <c r="M160" s="63" t="s">
        <v>5781</v>
      </c>
      <c r="N160" s="65">
        <v>45869</v>
      </c>
    </row>
    <row r="161" spans="1:14" ht="14.45" customHeight="1" x14ac:dyDescent="0.2">
      <c r="A161" s="59" t="s">
        <v>6583</v>
      </c>
      <c r="B161" s="60" t="s">
        <v>4726</v>
      </c>
      <c r="C161" s="60" t="s">
        <v>4041</v>
      </c>
      <c r="D161" s="40">
        <v>45555</v>
      </c>
      <c r="E161" s="61">
        <v>130</v>
      </c>
      <c r="F161" s="62">
        <v>130</v>
      </c>
      <c r="G161" s="63" t="s">
        <v>615</v>
      </c>
      <c r="H161" s="64" t="s">
        <v>6584</v>
      </c>
      <c r="I161" s="64" t="s">
        <v>2713</v>
      </c>
      <c r="J161" s="63" t="s">
        <v>471</v>
      </c>
      <c r="K161" s="64" t="s">
        <v>6585</v>
      </c>
      <c r="L161" s="63" t="s">
        <v>157</v>
      </c>
      <c r="M161" s="63" t="s">
        <v>5781</v>
      </c>
      <c r="N161" s="65">
        <v>45808</v>
      </c>
    </row>
    <row r="162" spans="1:14" ht="14.45" customHeight="1" x14ac:dyDescent="0.2">
      <c r="A162" s="59" t="s">
        <v>6586</v>
      </c>
      <c r="B162" s="60" t="s">
        <v>4577</v>
      </c>
      <c r="C162" s="60" t="s">
        <v>6587</v>
      </c>
      <c r="D162" s="40">
        <v>45555</v>
      </c>
      <c r="E162" s="61">
        <v>50</v>
      </c>
      <c r="F162" s="62">
        <v>50</v>
      </c>
      <c r="G162" s="63" t="s">
        <v>615</v>
      </c>
      <c r="H162" s="64" t="s">
        <v>3154</v>
      </c>
      <c r="I162" s="64" t="s">
        <v>2713</v>
      </c>
      <c r="J162" s="63" t="s">
        <v>539</v>
      </c>
      <c r="K162" s="64" t="s">
        <v>6588</v>
      </c>
      <c r="L162" s="63" t="s">
        <v>1162</v>
      </c>
      <c r="M162" s="63" t="s">
        <v>5781</v>
      </c>
      <c r="N162" s="65">
        <v>45930</v>
      </c>
    </row>
    <row r="163" spans="1:14" ht="14.45" customHeight="1" x14ac:dyDescent="0.2">
      <c r="A163" s="59" t="s">
        <v>7157</v>
      </c>
      <c r="B163" s="60" t="s">
        <v>7158</v>
      </c>
      <c r="C163" s="60" t="s">
        <v>7158</v>
      </c>
      <c r="D163" s="40">
        <v>45555</v>
      </c>
      <c r="E163" s="61">
        <v>100</v>
      </c>
      <c r="F163" s="62">
        <v>100</v>
      </c>
      <c r="G163" s="63" t="s">
        <v>615</v>
      </c>
      <c r="H163" s="64" t="s">
        <v>2728</v>
      </c>
      <c r="I163" s="64" t="s">
        <v>2713</v>
      </c>
      <c r="J163" s="63" t="s">
        <v>531</v>
      </c>
      <c r="K163" s="64" t="s">
        <v>7023</v>
      </c>
      <c r="L163" s="63" t="s">
        <v>157</v>
      </c>
      <c r="M163" s="63" t="s">
        <v>5781</v>
      </c>
      <c r="N163" s="65">
        <v>45838</v>
      </c>
    </row>
    <row r="164" spans="1:14" ht="14.45" customHeight="1" x14ac:dyDescent="0.2">
      <c r="A164" s="59" t="s">
        <v>6589</v>
      </c>
      <c r="B164" s="60" t="s">
        <v>6590</v>
      </c>
      <c r="C164" s="60" t="s">
        <v>4055</v>
      </c>
      <c r="D164" s="40">
        <v>45555</v>
      </c>
      <c r="E164" s="61">
        <v>60</v>
      </c>
      <c r="F164" s="62">
        <v>60</v>
      </c>
      <c r="G164" s="63" t="s">
        <v>615</v>
      </c>
      <c r="H164" s="64" t="s">
        <v>2716</v>
      </c>
      <c r="I164" s="64" t="s">
        <v>2713</v>
      </c>
      <c r="J164" s="63" t="s">
        <v>532</v>
      </c>
      <c r="K164" s="64" t="s">
        <v>6505</v>
      </c>
      <c r="L164" s="63" t="s">
        <v>87</v>
      </c>
      <c r="M164" s="63" t="s">
        <v>5781</v>
      </c>
      <c r="N164" s="65">
        <v>45991</v>
      </c>
    </row>
    <row r="165" spans="1:14" ht="14.45" customHeight="1" x14ac:dyDescent="0.2">
      <c r="A165" s="59" t="s">
        <v>6591</v>
      </c>
      <c r="B165" s="60" t="s">
        <v>3844</v>
      </c>
      <c r="C165" s="60" t="s">
        <v>6592</v>
      </c>
      <c r="D165" s="40">
        <v>45555</v>
      </c>
      <c r="E165" s="61">
        <v>150</v>
      </c>
      <c r="F165" s="62">
        <v>150</v>
      </c>
      <c r="G165" s="63" t="s">
        <v>55</v>
      </c>
      <c r="H165" s="64" t="s">
        <v>2758</v>
      </c>
      <c r="I165" s="64" t="s">
        <v>2713</v>
      </c>
      <c r="J165" s="63" t="s">
        <v>540</v>
      </c>
      <c r="K165" s="64" t="s">
        <v>6159</v>
      </c>
      <c r="L165" s="63" t="s">
        <v>191</v>
      </c>
      <c r="M165" s="63">
        <v>0</v>
      </c>
      <c r="N165" s="65">
        <v>45688</v>
      </c>
    </row>
    <row r="166" spans="1:14" ht="14.45" customHeight="1" x14ac:dyDescent="0.2">
      <c r="A166" s="59" t="s">
        <v>6593</v>
      </c>
      <c r="B166" s="60" t="s">
        <v>3844</v>
      </c>
      <c r="C166" s="60" t="s">
        <v>6594</v>
      </c>
      <c r="D166" s="40">
        <v>45555</v>
      </c>
      <c r="E166" s="61">
        <v>100</v>
      </c>
      <c r="F166" s="62">
        <v>100</v>
      </c>
      <c r="G166" s="63" t="s">
        <v>615</v>
      </c>
      <c r="H166" s="64" t="s">
        <v>2806</v>
      </c>
      <c r="I166" s="64" t="s">
        <v>2713</v>
      </c>
      <c r="J166" s="63" t="s">
        <v>539</v>
      </c>
      <c r="K166" s="64" t="s">
        <v>6595</v>
      </c>
      <c r="L166" s="63" t="s">
        <v>673</v>
      </c>
      <c r="M166" s="63">
        <v>0</v>
      </c>
      <c r="N166" s="65">
        <v>45626</v>
      </c>
    </row>
    <row r="167" spans="1:14" ht="14.45" customHeight="1" x14ac:dyDescent="0.2">
      <c r="A167" s="59" t="s">
        <v>7228</v>
      </c>
      <c r="B167" s="60" t="s">
        <v>6596</v>
      </c>
      <c r="C167" s="60" t="s">
        <v>6597</v>
      </c>
      <c r="D167" s="40">
        <v>45555</v>
      </c>
      <c r="E167" s="61">
        <v>350</v>
      </c>
      <c r="F167" s="62">
        <v>350</v>
      </c>
      <c r="G167" s="63" t="s">
        <v>3610</v>
      </c>
      <c r="H167" s="64" t="s">
        <v>2788</v>
      </c>
      <c r="I167" s="64" t="s">
        <v>2713</v>
      </c>
      <c r="J167" s="63" t="s">
        <v>530</v>
      </c>
      <c r="K167" s="64" t="s">
        <v>766</v>
      </c>
      <c r="L167" s="63" t="s">
        <v>41</v>
      </c>
      <c r="M167" s="63">
        <v>0</v>
      </c>
      <c r="N167" s="65">
        <v>45716</v>
      </c>
    </row>
    <row r="168" spans="1:14" ht="14.45" customHeight="1" x14ac:dyDescent="0.2">
      <c r="A168" s="59" t="s">
        <v>6817</v>
      </c>
      <c r="B168" s="60" t="s">
        <v>6818</v>
      </c>
      <c r="C168" s="60" t="s">
        <v>6819</v>
      </c>
      <c r="D168" s="40">
        <v>45555</v>
      </c>
      <c r="E168" s="61">
        <v>300</v>
      </c>
      <c r="F168" s="62">
        <v>300</v>
      </c>
      <c r="G168" s="63" t="s">
        <v>615</v>
      </c>
      <c r="H168" s="64" t="s">
        <v>6820</v>
      </c>
      <c r="I168" s="64" t="s">
        <v>2713</v>
      </c>
      <c r="J168" s="63" t="s">
        <v>471</v>
      </c>
      <c r="K168" s="64" t="s">
        <v>6821</v>
      </c>
      <c r="L168" s="63" t="s">
        <v>3533</v>
      </c>
      <c r="M168" s="63" t="s">
        <v>5781</v>
      </c>
      <c r="N168" s="65">
        <v>45961</v>
      </c>
    </row>
    <row r="169" spans="1:14" ht="14.45" customHeight="1" x14ac:dyDescent="0.2">
      <c r="A169" s="59" t="s">
        <v>7018</v>
      </c>
      <c r="B169" s="60" t="s">
        <v>6844</v>
      </c>
      <c r="C169" s="60" t="s">
        <v>7019</v>
      </c>
      <c r="D169" s="40">
        <v>45555</v>
      </c>
      <c r="E169" s="61">
        <v>140</v>
      </c>
      <c r="F169" s="62">
        <v>140</v>
      </c>
      <c r="G169" s="63" t="s">
        <v>615</v>
      </c>
      <c r="H169" s="64" t="s">
        <v>3145</v>
      </c>
      <c r="I169" s="64" t="s">
        <v>2713</v>
      </c>
      <c r="J169" s="63" t="s">
        <v>393</v>
      </c>
      <c r="K169" s="64" t="s">
        <v>7020</v>
      </c>
      <c r="L169" s="63" t="s">
        <v>34</v>
      </c>
      <c r="M169" s="63" t="s">
        <v>5781</v>
      </c>
      <c r="N169" s="65">
        <v>45961</v>
      </c>
    </row>
    <row r="170" spans="1:14" ht="14.45" customHeight="1" x14ac:dyDescent="0.2">
      <c r="A170" s="59" t="s">
        <v>6601</v>
      </c>
      <c r="B170" s="60" t="s">
        <v>6602</v>
      </c>
      <c r="C170" s="60" t="s">
        <v>6603</v>
      </c>
      <c r="D170" s="40">
        <v>45555</v>
      </c>
      <c r="E170" s="61">
        <v>175</v>
      </c>
      <c r="F170" s="62">
        <v>175</v>
      </c>
      <c r="G170" s="63" t="s">
        <v>615</v>
      </c>
      <c r="H170" s="64" t="s">
        <v>2728</v>
      </c>
      <c r="I170" s="64" t="s">
        <v>2713</v>
      </c>
      <c r="J170" s="63" t="s">
        <v>531</v>
      </c>
      <c r="K170" s="64" t="s">
        <v>6604</v>
      </c>
      <c r="L170" s="63" t="s">
        <v>157</v>
      </c>
      <c r="M170" s="63">
        <v>0</v>
      </c>
      <c r="N170" s="65">
        <v>45747</v>
      </c>
    </row>
    <row r="171" spans="1:14" ht="14.45" customHeight="1" x14ac:dyDescent="0.2">
      <c r="A171" s="59" t="s">
        <v>6605</v>
      </c>
      <c r="B171" s="60" t="s">
        <v>6602</v>
      </c>
      <c r="C171" s="60" t="s">
        <v>6606</v>
      </c>
      <c r="D171" s="40">
        <v>45555</v>
      </c>
      <c r="E171" s="61">
        <v>125</v>
      </c>
      <c r="F171" s="62">
        <v>125</v>
      </c>
      <c r="G171" s="63" t="s">
        <v>615</v>
      </c>
      <c r="H171" s="64" t="s">
        <v>2728</v>
      </c>
      <c r="I171" s="64" t="s">
        <v>2713</v>
      </c>
      <c r="J171" s="63" t="s">
        <v>531</v>
      </c>
      <c r="K171" s="64" t="s">
        <v>7022</v>
      </c>
      <c r="L171" s="63" t="s">
        <v>157</v>
      </c>
      <c r="M171" s="63" t="s">
        <v>5781</v>
      </c>
      <c r="N171" s="65">
        <v>45869</v>
      </c>
    </row>
    <row r="172" spans="1:14" ht="14.45" customHeight="1" x14ac:dyDescent="0.2">
      <c r="A172" s="59" t="s">
        <v>6756</v>
      </c>
      <c r="B172" s="60" t="s">
        <v>6757</v>
      </c>
      <c r="C172" s="60" t="s">
        <v>6758</v>
      </c>
      <c r="D172" s="40">
        <v>45556</v>
      </c>
      <c r="E172" s="61">
        <v>100</v>
      </c>
      <c r="F172" s="62">
        <v>100</v>
      </c>
      <c r="G172" s="63" t="s">
        <v>124</v>
      </c>
      <c r="H172" s="64" t="s">
        <v>2751</v>
      </c>
      <c r="I172" s="64" t="s">
        <v>2749</v>
      </c>
      <c r="J172" s="63" t="s">
        <v>393</v>
      </c>
      <c r="K172" s="64" t="s">
        <v>6759</v>
      </c>
      <c r="L172" s="63" t="s">
        <v>34</v>
      </c>
      <c r="M172" s="63" t="s">
        <v>5781</v>
      </c>
      <c r="N172" s="65">
        <v>45596</v>
      </c>
    </row>
    <row r="173" spans="1:14" ht="14.45" customHeight="1" x14ac:dyDescent="0.2">
      <c r="A173" s="59" t="s">
        <v>6607</v>
      </c>
      <c r="B173" s="60" t="s">
        <v>6608</v>
      </c>
      <c r="C173" s="60" t="s">
        <v>6609</v>
      </c>
      <c r="D173" s="40">
        <v>45556</v>
      </c>
      <c r="E173" s="61">
        <v>49.9</v>
      </c>
      <c r="F173" s="62">
        <v>49.9</v>
      </c>
      <c r="G173" s="64" t="s">
        <v>124</v>
      </c>
      <c r="H173" s="64" t="s">
        <v>2728</v>
      </c>
      <c r="I173" s="63" t="s">
        <v>2713</v>
      </c>
      <c r="J173" s="63" t="s">
        <v>531</v>
      </c>
      <c r="K173" s="64" t="s">
        <v>7023</v>
      </c>
      <c r="L173" s="63" t="s">
        <v>157</v>
      </c>
      <c r="M173" s="63">
        <v>0</v>
      </c>
      <c r="N173" s="65">
        <v>45716</v>
      </c>
    </row>
    <row r="174" spans="1:14" ht="14.45" customHeight="1" x14ac:dyDescent="0.2">
      <c r="A174" s="59" t="s">
        <v>6760</v>
      </c>
      <c r="B174" s="60" t="s">
        <v>6761</v>
      </c>
      <c r="C174" s="60" t="s">
        <v>6762</v>
      </c>
      <c r="D174" s="40">
        <v>45556</v>
      </c>
      <c r="E174" s="61">
        <v>50</v>
      </c>
      <c r="F174" s="62">
        <v>50</v>
      </c>
      <c r="G174" s="63" t="s">
        <v>124</v>
      </c>
      <c r="H174" s="64" t="s">
        <v>2799</v>
      </c>
      <c r="I174" s="64" t="s">
        <v>2713</v>
      </c>
      <c r="J174" s="63" t="s">
        <v>393</v>
      </c>
      <c r="K174" s="64" t="s">
        <v>6763</v>
      </c>
      <c r="L174" s="63" t="s">
        <v>34</v>
      </c>
      <c r="M174" s="63" t="s">
        <v>5781</v>
      </c>
      <c r="N174" s="65">
        <v>45596</v>
      </c>
    </row>
    <row r="175" spans="1:14" ht="14.45" customHeight="1" x14ac:dyDescent="0.2">
      <c r="A175" s="59" t="s">
        <v>6764</v>
      </c>
      <c r="B175" s="60" t="s">
        <v>6761</v>
      </c>
      <c r="C175" s="60" t="s">
        <v>6765</v>
      </c>
      <c r="D175" s="40">
        <v>45556</v>
      </c>
      <c r="E175" s="61">
        <v>50</v>
      </c>
      <c r="F175" s="62">
        <v>50</v>
      </c>
      <c r="G175" s="63" t="s">
        <v>124</v>
      </c>
      <c r="H175" s="64" t="s">
        <v>2799</v>
      </c>
      <c r="I175" s="64" t="s">
        <v>2713</v>
      </c>
      <c r="J175" s="63" t="s">
        <v>393</v>
      </c>
      <c r="K175" s="64" t="s">
        <v>6766</v>
      </c>
      <c r="L175" s="63" t="s">
        <v>34</v>
      </c>
      <c r="M175" s="63" t="s">
        <v>5781</v>
      </c>
      <c r="N175" s="65">
        <v>45596</v>
      </c>
    </row>
    <row r="176" spans="1:14" ht="14.45" customHeight="1" x14ac:dyDescent="0.2">
      <c r="A176" s="59" t="s">
        <v>6613</v>
      </c>
      <c r="B176" s="60" t="s">
        <v>3861</v>
      </c>
      <c r="C176" s="60" t="s">
        <v>4675</v>
      </c>
      <c r="D176" s="40">
        <v>45557</v>
      </c>
      <c r="E176" s="61">
        <v>70</v>
      </c>
      <c r="F176" s="62">
        <v>70</v>
      </c>
      <c r="G176" s="63" t="s">
        <v>615</v>
      </c>
      <c r="H176" s="64" t="s">
        <v>2717</v>
      </c>
      <c r="I176" s="64" t="s">
        <v>2713</v>
      </c>
      <c r="J176" s="63" t="s">
        <v>539</v>
      </c>
      <c r="K176" s="64" t="s">
        <v>6614</v>
      </c>
      <c r="L176" s="63" t="s">
        <v>673</v>
      </c>
      <c r="M176" s="63" t="s">
        <v>5781</v>
      </c>
      <c r="N176" s="65">
        <v>45930</v>
      </c>
    </row>
    <row r="177" spans="1:14" ht="14.45" customHeight="1" x14ac:dyDescent="0.2">
      <c r="A177" s="59" t="s">
        <v>6615</v>
      </c>
      <c r="B177" s="60" t="s">
        <v>5848</v>
      </c>
      <c r="C177" s="60" t="s">
        <v>6616</v>
      </c>
      <c r="D177" s="40">
        <v>45557</v>
      </c>
      <c r="E177" s="61">
        <v>30</v>
      </c>
      <c r="F177" s="62">
        <v>30</v>
      </c>
      <c r="G177" s="63" t="s">
        <v>55</v>
      </c>
      <c r="H177" s="64" t="s">
        <v>2808</v>
      </c>
      <c r="I177" s="64" t="s">
        <v>2713</v>
      </c>
      <c r="J177" s="63" t="s">
        <v>471</v>
      </c>
      <c r="K177" s="64" t="s">
        <v>7027</v>
      </c>
      <c r="L177" s="63" t="s">
        <v>157</v>
      </c>
      <c r="M177" s="63" t="s">
        <v>5781</v>
      </c>
      <c r="N177" s="65">
        <v>45930</v>
      </c>
    </row>
    <row r="178" spans="1:14" ht="14.45" customHeight="1" x14ac:dyDescent="0.2">
      <c r="A178" s="59" t="s">
        <v>6617</v>
      </c>
      <c r="B178" s="60" t="s">
        <v>5848</v>
      </c>
      <c r="C178" s="60" t="s">
        <v>1452</v>
      </c>
      <c r="D178" s="40">
        <v>45557</v>
      </c>
      <c r="E178" s="61">
        <v>90</v>
      </c>
      <c r="F178" s="62">
        <v>90</v>
      </c>
      <c r="G178" s="63" t="s">
        <v>55</v>
      </c>
      <c r="H178" s="64" t="s">
        <v>2808</v>
      </c>
      <c r="I178" s="64" t="s">
        <v>2713</v>
      </c>
      <c r="J178" s="63" t="s">
        <v>471</v>
      </c>
      <c r="K178" s="64" t="s">
        <v>7027</v>
      </c>
      <c r="L178" s="63" t="s">
        <v>157</v>
      </c>
      <c r="M178" s="63" t="s">
        <v>5781</v>
      </c>
      <c r="N178" s="65">
        <v>45930</v>
      </c>
    </row>
    <row r="179" spans="1:14" ht="14.45" customHeight="1" x14ac:dyDescent="0.2">
      <c r="A179" s="59" t="s">
        <v>6824</v>
      </c>
      <c r="B179" s="60" t="s">
        <v>6825</v>
      </c>
      <c r="C179" s="60" t="s">
        <v>6825</v>
      </c>
      <c r="D179" s="40">
        <v>45558</v>
      </c>
      <c r="E179" s="61">
        <v>160</v>
      </c>
      <c r="F179" s="62">
        <v>160</v>
      </c>
      <c r="G179" s="63" t="s">
        <v>615</v>
      </c>
      <c r="H179" s="64" t="s">
        <v>4350</v>
      </c>
      <c r="I179" s="64" t="s">
        <v>2713</v>
      </c>
      <c r="J179" s="63" t="s">
        <v>533</v>
      </c>
      <c r="K179" s="64" t="s">
        <v>7204</v>
      </c>
      <c r="L179" s="63" t="s">
        <v>403</v>
      </c>
      <c r="M179" s="63" t="s">
        <v>5781</v>
      </c>
      <c r="N179" s="65">
        <v>45991</v>
      </c>
    </row>
    <row r="180" spans="1:14" ht="14.45" customHeight="1" x14ac:dyDescent="0.2">
      <c r="A180" s="59" t="s">
        <v>7028</v>
      </c>
      <c r="B180" s="60" t="s">
        <v>6827</v>
      </c>
      <c r="C180" s="60" t="s">
        <v>7029</v>
      </c>
      <c r="D180" s="40">
        <v>45558</v>
      </c>
      <c r="E180" s="61">
        <v>100</v>
      </c>
      <c r="F180" s="62">
        <v>100</v>
      </c>
      <c r="G180" s="63" t="s">
        <v>615</v>
      </c>
      <c r="H180" s="64" t="s">
        <v>2838</v>
      </c>
      <c r="I180" s="64" t="s">
        <v>2713</v>
      </c>
      <c r="J180" s="63" t="s">
        <v>531</v>
      </c>
      <c r="K180" s="64" t="s">
        <v>7030</v>
      </c>
      <c r="L180" s="63" t="s">
        <v>157</v>
      </c>
      <c r="M180" s="63" t="s">
        <v>5781</v>
      </c>
      <c r="N180" s="65">
        <v>45808</v>
      </c>
    </row>
    <row r="181" spans="1:14" ht="14.45" customHeight="1" x14ac:dyDescent="0.2">
      <c r="A181" s="59" t="s">
        <v>6830</v>
      </c>
      <c r="B181" s="60" t="s">
        <v>6576</v>
      </c>
      <c r="C181" s="60" t="s">
        <v>6831</v>
      </c>
      <c r="D181" s="40">
        <v>45558</v>
      </c>
      <c r="E181" s="61">
        <v>100</v>
      </c>
      <c r="F181" s="62">
        <v>100</v>
      </c>
      <c r="G181" s="63" t="s">
        <v>55</v>
      </c>
      <c r="H181" s="64" t="s">
        <v>2699</v>
      </c>
      <c r="I181" s="64" t="s">
        <v>2713</v>
      </c>
      <c r="J181" s="63" t="s">
        <v>471</v>
      </c>
      <c r="K181" s="64" t="s">
        <v>7031</v>
      </c>
      <c r="L181" s="63" t="s">
        <v>157</v>
      </c>
      <c r="M181" s="63">
        <v>0</v>
      </c>
      <c r="N181" s="65">
        <v>45626</v>
      </c>
    </row>
    <row r="182" spans="1:14" ht="14.45" customHeight="1" x14ac:dyDescent="0.2">
      <c r="A182" s="59" t="s">
        <v>7245</v>
      </c>
      <c r="B182" s="60" t="s">
        <v>6939</v>
      </c>
      <c r="C182" s="60" t="s">
        <v>7246</v>
      </c>
      <c r="D182" s="40">
        <v>45558</v>
      </c>
      <c r="E182" s="61">
        <v>20</v>
      </c>
      <c r="F182" s="62">
        <v>20</v>
      </c>
      <c r="G182" s="63" t="s">
        <v>55</v>
      </c>
      <c r="H182" s="64" t="s">
        <v>2098</v>
      </c>
      <c r="I182" s="64" t="s">
        <v>2713</v>
      </c>
      <c r="J182" s="63" t="s">
        <v>393</v>
      </c>
      <c r="K182" s="64" t="s">
        <v>7247</v>
      </c>
      <c r="L182" s="63" t="s">
        <v>34</v>
      </c>
      <c r="M182" s="63" t="s">
        <v>5781</v>
      </c>
      <c r="N182" s="65">
        <v>45596</v>
      </c>
    </row>
    <row r="183" spans="1:14" ht="14.45" customHeight="1" x14ac:dyDescent="0.2">
      <c r="A183" s="59" t="s">
        <v>7248</v>
      </c>
      <c r="B183" s="60" t="s">
        <v>6939</v>
      </c>
      <c r="C183" s="60" t="s">
        <v>5767</v>
      </c>
      <c r="D183" s="40">
        <v>45558</v>
      </c>
      <c r="E183" s="61">
        <v>20</v>
      </c>
      <c r="F183" s="62">
        <v>20</v>
      </c>
      <c r="G183" s="63" t="s">
        <v>55</v>
      </c>
      <c r="H183" s="64" t="s">
        <v>2772</v>
      </c>
      <c r="I183" s="64" t="s">
        <v>2713</v>
      </c>
      <c r="J183" s="63" t="s">
        <v>393</v>
      </c>
      <c r="K183" s="64" t="s">
        <v>7249</v>
      </c>
      <c r="L183" s="63" t="s">
        <v>34</v>
      </c>
      <c r="M183" s="63" t="s">
        <v>5781</v>
      </c>
      <c r="N183" s="65">
        <v>45626</v>
      </c>
    </row>
    <row r="184" spans="1:14" ht="14.45" customHeight="1" x14ac:dyDescent="0.2">
      <c r="A184" s="59" t="s">
        <v>6938</v>
      </c>
      <c r="B184" s="60" t="s">
        <v>6939</v>
      </c>
      <c r="C184" s="60" t="s">
        <v>3647</v>
      </c>
      <c r="D184" s="40">
        <v>45558</v>
      </c>
      <c r="E184" s="61">
        <v>128</v>
      </c>
      <c r="F184" s="62">
        <v>128</v>
      </c>
      <c r="G184" s="63" t="s">
        <v>55</v>
      </c>
      <c r="H184" s="64" t="s">
        <v>401</v>
      </c>
      <c r="I184" s="64" t="s">
        <v>2713</v>
      </c>
      <c r="J184" s="63" t="s">
        <v>393</v>
      </c>
      <c r="K184" s="64" t="s">
        <v>6940</v>
      </c>
      <c r="L184" s="63" t="s">
        <v>157</v>
      </c>
      <c r="M184" s="63" t="s">
        <v>5781</v>
      </c>
      <c r="N184" s="65">
        <v>45596</v>
      </c>
    </row>
    <row r="185" spans="1:14" ht="14.45" customHeight="1" x14ac:dyDescent="0.2">
      <c r="A185" s="59" t="s">
        <v>6618</v>
      </c>
      <c r="B185" s="60" t="s">
        <v>7318</v>
      </c>
      <c r="C185" s="60" t="s">
        <v>6619</v>
      </c>
      <c r="D185" s="40">
        <v>45558</v>
      </c>
      <c r="E185" s="61">
        <v>20</v>
      </c>
      <c r="F185" s="62">
        <v>20</v>
      </c>
      <c r="G185" s="63" t="s">
        <v>55</v>
      </c>
      <c r="H185" s="64" t="s">
        <v>2788</v>
      </c>
      <c r="I185" s="64" t="s">
        <v>2713</v>
      </c>
      <c r="J185" s="63" t="s">
        <v>530</v>
      </c>
      <c r="K185" s="64" t="s">
        <v>7032</v>
      </c>
      <c r="L185" s="63" t="s">
        <v>157</v>
      </c>
      <c r="M185" s="63" t="s">
        <v>5781</v>
      </c>
      <c r="N185" s="65">
        <v>45961</v>
      </c>
    </row>
    <row r="186" spans="1:14" ht="14.45" customHeight="1" x14ac:dyDescent="0.2">
      <c r="A186" s="59" t="s">
        <v>7033</v>
      </c>
      <c r="B186" s="60" t="s">
        <v>7034</v>
      </c>
      <c r="C186" s="60" t="s">
        <v>7034</v>
      </c>
      <c r="D186" s="40">
        <v>45558</v>
      </c>
      <c r="E186" s="61">
        <v>400</v>
      </c>
      <c r="F186" s="62">
        <v>400</v>
      </c>
      <c r="G186" s="63" t="s">
        <v>55</v>
      </c>
      <c r="H186" s="64" t="s">
        <v>2740</v>
      </c>
      <c r="I186" s="64" t="s">
        <v>2749</v>
      </c>
      <c r="J186" s="63" t="s">
        <v>531</v>
      </c>
      <c r="K186" s="64" t="s">
        <v>7035</v>
      </c>
      <c r="L186" s="63" t="s">
        <v>34</v>
      </c>
      <c r="M186" s="63" t="s">
        <v>5781</v>
      </c>
      <c r="N186" s="65">
        <v>45777</v>
      </c>
    </row>
    <row r="187" spans="1:14" ht="14.45" customHeight="1" x14ac:dyDescent="0.2">
      <c r="A187" s="59" t="s">
        <v>6832</v>
      </c>
      <c r="B187" s="60" t="s">
        <v>6576</v>
      </c>
      <c r="C187" s="60" t="s">
        <v>6833</v>
      </c>
      <c r="D187" s="40">
        <v>45558</v>
      </c>
      <c r="E187" s="61">
        <v>85</v>
      </c>
      <c r="F187" s="62">
        <v>85</v>
      </c>
      <c r="G187" s="63" t="s">
        <v>55</v>
      </c>
      <c r="H187" s="64" t="s">
        <v>2728</v>
      </c>
      <c r="I187" s="64" t="s">
        <v>2713</v>
      </c>
      <c r="J187" s="63" t="s">
        <v>531</v>
      </c>
      <c r="K187" s="64" t="s">
        <v>7036</v>
      </c>
      <c r="L187" s="63" t="s">
        <v>157</v>
      </c>
      <c r="M187" s="63">
        <v>0</v>
      </c>
      <c r="N187" s="65">
        <v>45716</v>
      </c>
    </row>
    <row r="188" spans="1:14" ht="14.45" customHeight="1" x14ac:dyDescent="0.2">
      <c r="A188" s="59" t="s">
        <v>6620</v>
      </c>
      <c r="B188" s="60" t="s">
        <v>6196</v>
      </c>
      <c r="C188" s="60" t="s">
        <v>6621</v>
      </c>
      <c r="D188" s="40">
        <v>45558</v>
      </c>
      <c r="E188" s="61">
        <v>34.9</v>
      </c>
      <c r="F188" s="62">
        <v>34.9</v>
      </c>
      <c r="G188" s="63" t="s">
        <v>615</v>
      </c>
      <c r="H188" s="64" t="s">
        <v>3145</v>
      </c>
      <c r="I188" s="64" t="s">
        <v>2713</v>
      </c>
      <c r="J188" s="63" t="s">
        <v>393</v>
      </c>
      <c r="K188" s="64" t="s">
        <v>7408</v>
      </c>
      <c r="L188" s="63" t="s">
        <v>34</v>
      </c>
      <c r="M188" s="63" t="s">
        <v>5781</v>
      </c>
      <c r="N188" s="65">
        <v>45716</v>
      </c>
    </row>
    <row r="189" spans="1:14" ht="14.45" customHeight="1" x14ac:dyDescent="0.2">
      <c r="A189" s="59" t="s">
        <v>7037</v>
      </c>
      <c r="B189" s="60" t="s">
        <v>7038</v>
      </c>
      <c r="C189" s="60" t="s">
        <v>7038</v>
      </c>
      <c r="D189" s="40">
        <v>45558</v>
      </c>
      <c r="E189" s="61">
        <v>79.900000000000006</v>
      </c>
      <c r="F189" s="62">
        <v>79.900000000000006</v>
      </c>
      <c r="G189" s="63" t="s">
        <v>615</v>
      </c>
      <c r="H189" s="64" t="s">
        <v>2736</v>
      </c>
      <c r="I189" s="64" t="s">
        <v>2713</v>
      </c>
      <c r="J189" s="63" t="s">
        <v>471</v>
      </c>
      <c r="K189" s="64" t="s">
        <v>7205</v>
      </c>
      <c r="L189" s="63" t="s">
        <v>157</v>
      </c>
      <c r="M189" s="63" t="s">
        <v>5781</v>
      </c>
      <c r="N189" s="65">
        <v>45716</v>
      </c>
    </row>
    <row r="190" spans="1:14" ht="14.45" customHeight="1" x14ac:dyDescent="0.2">
      <c r="A190" s="59" t="s">
        <v>6834</v>
      </c>
      <c r="B190" s="60" t="s">
        <v>6835</v>
      </c>
      <c r="C190" s="60" t="s">
        <v>6836</v>
      </c>
      <c r="D190" s="40">
        <v>45558</v>
      </c>
      <c r="E190" s="61">
        <v>60</v>
      </c>
      <c r="F190" s="62">
        <v>60</v>
      </c>
      <c r="G190" s="63" t="s">
        <v>55</v>
      </c>
      <c r="H190" s="64" t="s">
        <v>6837</v>
      </c>
      <c r="I190" s="64" t="s">
        <v>2713</v>
      </c>
      <c r="J190" s="63" t="s">
        <v>531</v>
      </c>
      <c r="K190" s="64" t="s">
        <v>7039</v>
      </c>
      <c r="L190" s="63" t="s">
        <v>157</v>
      </c>
      <c r="M190" s="63" t="s">
        <v>5781</v>
      </c>
      <c r="N190" s="65">
        <v>45716</v>
      </c>
    </row>
    <row r="191" spans="1:14" ht="14.45" customHeight="1" x14ac:dyDescent="0.2">
      <c r="A191" s="59" t="s">
        <v>6622</v>
      </c>
      <c r="B191" s="60" t="s">
        <v>3442</v>
      </c>
      <c r="C191" s="60" t="s">
        <v>3290</v>
      </c>
      <c r="D191" s="40">
        <v>45558</v>
      </c>
      <c r="E191" s="61">
        <v>100</v>
      </c>
      <c r="F191" s="62">
        <v>100</v>
      </c>
      <c r="G191" s="63" t="s">
        <v>55</v>
      </c>
      <c r="H191" s="64" t="s">
        <v>2740</v>
      </c>
      <c r="I191" s="64" t="s">
        <v>2713</v>
      </c>
      <c r="J191" s="63" t="s">
        <v>530</v>
      </c>
      <c r="K191" s="64" t="s">
        <v>6623</v>
      </c>
      <c r="L191" s="63" t="s">
        <v>157</v>
      </c>
      <c r="M191" s="63" t="s">
        <v>5781</v>
      </c>
      <c r="N191" s="65">
        <v>45716</v>
      </c>
    </row>
    <row r="192" spans="1:14" ht="14.45" customHeight="1" x14ac:dyDescent="0.2">
      <c r="A192" s="59" t="s">
        <v>7159</v>
      </c>
      <c r="B192" s="60" t="s">
        <v>7160</v>
      </c>
      <c r="C192" s="60" t="s">
        <v>7161</v>
      </c>
      <c r="D192" s="40">
        <v>45558</v>
      </c>
      <c r="E192" s="61">
        <v>100</v>
      </c>
      <c r="F192" s="62">
        <v>100</v>
      </c>
      <c r="G192" s="63" t="s">
        <v>615</v>
      </c>
      <c r="H192" s="64" t="s">
        <v>2806</v>
      </c>
      <c r="I192" s="64" t="s">
        <v>2713</v>
      </c>
      <c r="J192" s="63" t="s">
        <v>539</v>
      </c>
      <c r="K192" s="64" t="s">
        <v>7162</v>
      </c>
      <c r="L192" s="63" t="s">
        <v>673</v>
      </c>
      <c r="M192" s="63" t="s">
        <v>5781</v>
      </c>
      <c r="N192" s="65">
        <v>45930</v>
      </c>
    </row>
    <row r="193" spans="1:14" ht="14.45" customHeight="1" x14ac:dyDescent="0.2">
      <c r="A193" s="59" t="s">
        <v>6624</v>
      </c>
      <c r="B193" s="60" t="s">
        <v>6196</v>
      </c>
      <c r="C193" s="60" t="s">
        <v>6625</v>
      </c>
      <c r="D193" s="40">
        <v>45558</v>
      </c>
      <c r="E193" s="61">
        <v>79</v>
      </c>
      <c r="F193" s="62">
        <v>79</v>
      </c>
      <c r="G193" s="63" t="s">
        <v>615</v>
      </c>
      <c r="H193" s="64" t="s">
        <v>2732</v>
      </c>
      <c r="I193" s="64" t="s">
        <v>2713</v>
      </c>
      <c r="J193" s="63" t="s">
        <v>393</v>
      </c>
      <c r="K193" s="64" t="s">
        <v>6626</v>
      </c>
      <c r="L193" s="63" t="s">
        <v>34</v>
      </c>
      <c r="M193" s="63" t="s">
        <v>5781</v>
      </c>
      <c r="N193" s="65">
        <v>45747</v>
      </c>
    </row>
    <row r="194" spans="1:14" ht="14.45" customHeight="1" x14ac:dyDescent="0.2">
      <c r="A194" s="59" t="s">
        <v>6163</v>
      </c>
      <c r="B194" s="60" t="s">
        <v>6164</v>
      </c>
      <c r="C194" s="60" t="s">
        <v>6165</v>
      </c>
      <c r="D194" s="40">
        <v>45558</v>
      </c>
      <c r="E194" s="61">
        <v>300</v>
      </c>
      <c r="F194" s="62">
        <v>300</v>
      </c>
      <c r="G194" s="63" t="s">
        <v>615</v>
      </c>
      <c r="H194" s="64" t="s">
        <v>6166</v>
      </c>
      <c r="I194" s="64" t="s">
        <v>2713</v>
      </c>
      <c r="J194" s="63" t="s">
        <v>540</v>
      </c>
      <c r="K194" s="64" t="s">
        <v>6167</v>
      </c>
      <c r="L194" s="63" t="s">
        <v>41</v>
      </c>
      <c r="M194" s="63" t="s">
        <v>5781</v>
      </c>
      <c r="N194" s="65">
        <v>45657</v>
      </c>
    </row>
    <row r="195" spans="1:14" ht="14.45" customHeight="1" x14ac:dyDescent="0.2">
      <c r="A195" s="59" t="s">
        <v>7040</v>
      </c>
      <c r="B195" s="60" t="s">
        <v>7041</v>
      </c>
      <c r="C195" s="60" t="s">
        <v>7042</v>
      </c>
      <c r="D195" s="40">
        <v>45558</v>
      </c>
      <c r="E195" s="61">
        <v>50</v>
      </c>
      <c r="F195" s="62">
        <v>50</v>
      </c>
      <c r="G195" s="63" t="s">
        <v>615</v>
      </c>
      <c r="H195" s="64" t="s">
        <v>2746</v>
      </c>
      <c r="I195" s="64" t="s">
        <v>2713</v>
      </c>
      <c r="J195" s="63" t="s">
        <v>532</v>
      </c>
      <c r="K195" s="64" t="s">
        <v>7043</v>
      </c>
      <c r="L195" s="63" t="s">
        <v>87</v>
      </c>
      <c r="M195" s="63" t="s">
        <v>5781</v>
      </c>
      <c r="N195" s="65">
        <v>45747</v>
      </c>
    </row>
    <row r="196" spans="1:14" ht="14.45" customHeight="1" x14ac:dyDescent="0.2">
      <c r="A196" s="59" t="s">
        <v>7044</v>
      </c>
      <c r="B196" s="60" t="s">
        <v>7045</v>
      </c>
      <c r="C196" s="60" t="s">
        <v>7045</v>
      </c>
      <c r="D196" s="40">
        <v>45558</v>
      </c>
      <c r="E196" s="61">
        <v>79.900000000000006</v>
      </c>
      <c r="F196" s="62">
        <v>79.900000000000006</v>
      </c>
      <c r="G196" s="63" t="s">
        <v>615</v>
      </c>
      <c r="H196" s="64" t="s">
        <v>2808</v>
      </c>
      <c r="I196" s="64" t="s">
        <v>2713</v>
      </c>
      <c r="J196" s="63" t="s">
        <v>471</v>
      </c>
      <c r="K196" s="64" t="s">
        <v>7046</v>
      </c>
      <c r="L196" s="63" t="s">
        <v>157</v>
      </c>
      <c r="M196" s="63" t="s">
        <v>5781</v>
      </c>
      <c r="N196" s="65">
        <v>45716</v>
      </c>
    </row>
    <row r="197" spans="1:14" ht="14.45" customHeight="1" x14ac:dyDescent="0.2">
      <c r="A197" s="59" t="s">
        <v>7047</v>
      </c>
      <c r="B197" s="60" t="s">
        <v>7048</v>
      </c>
      <c r="C197" s="60" t="s">
        <v>7049</v>
      </c>
      <c r="D197" s="40">
        <v>45558</v>
      </c>
      <c r="E197" s="61">
        <v>200</v>
      </c>
      <c r="F197" s="62">
        <v>200</v>
      </c>
      <c r="G197" s="63" t="s">
        <v>615</v>
      </c>
      <c r="H197" s="64" t="s">
        <v>7050</v>
      </c>
      <c r="I197" s="64" t="s">
        <v>2713</v>
      </c>
      <c r="J197" s="63" t="s">
        <v>531</v>
      </c>
      <c r="K197" s="64" t="s">
        <v>7051</v>
      </c>
      <c r="L197" s="63" t="s">
        <v>157</v>
      </c>
      <c r="M197" s="63" t="s">
        <v>5781</v>
      </c>
      <c r="N197" s="65">
        <v>45747</v>
      </c>
    </row>
    <row r="198" spans="1:14" ht="14.45" customHeight="1" x14ac:dyDescent="0.2">
      <c r="A198" s="59" t="s">
        <v>6168</v>
      </c>
      <c r="B198" s="60" t="s">
        <v>6164</v>
      </c>
      <c r="C198" s="60" t="s">
        <v>6165</v>
      </c>
      <c r="D198" s="40">
        <v>45558</v>
      </c>
      <c r="E198" s="61">
        <v>300</v>
      </c>
      <c r="F198" s="62">
        <v>300</v>
      </c>
      <c r="G198" s="63" t="s">
        <v>615</v>
      </c>
      <c r="H198" s="64" t="s">
        <v>6166</v>
      </c>
      <c r="I198" s="64" t="s">
        <v>2713</v>
      </c>
      <c r="J198" s="63" t="s">
        <v>540</v>
      </c>
      <c r="K198" s="64" t="s">
        <v>6169</v>
      </c>
      <c r="L198" s="63" t="s">
        <v>41</v>
      </c>
      <c r="M198" s="63" t="s">
        <v>5781</v>
      </c>
      <c r="N198" s="65">
        <v>45657</v>
      </c>
    </row>
    <row r="199" spans="1:14" ht="14.45" customHeight="1" x14ac:dyDescent="0.2">
      <c r="A199" s="59" t="s">
        <v>6627</v>
      </c>
      <c r="B199" s="60" t="s">
        <v>6196</v>
      </c>
      <c r="C199" s="60" t="s">
        <v>6628</v>
      </c>
      <c r="D199" s="40">
        <v>45558</v>
      </c>
      <c r="E199" s="61">
        <v>25</v>
      </c>
      <c r="F199" s="62">
        <v>25</v>
      </c>
      <c r="G199" s="63" t="s">
        <v>3505</v>
      </c>
      <c r="H199" s="64" t="s">
        <v>2799</v>
      </c>
      <c r="I199" s="64" t="s">
        <v>2713</v>
      </c>
      <c r="J199" s="63" t="s">
        <v>393</v>
      </c>
      <c r="K199" s="64" t="s">
        <v>6629</v>
      </c>
      <c r="L199" s="63" t="s">
        <v>34</v>
      </c>
      <c r="M199" s="63" t="s">
        <v>5781</v>
      </c>
      <c r="N199" s="65">
        <v>45716</v>
      </c>
    </row>
    <row r="200" spans="1:14" ht="14.45" customHeight="1" x14ac:dyDescent="0.2">
      <c r="A200" s="59" t="s">
        <v>7052</v>
      </c>
      <c r="B200" s="60" t="s">
        <v>3844</v>
      </c>
      <c r="C200" s="60" t="s">
        <v>5679</v>
      </c>
      <c r="D200" s="40">
        <v>45558</v>
      </c>
      <c r="E200" s="61">
        <v>350</v>
      </c>
      <c r="F200" s="62">
        <v>350</v>
      </c>
      <c r="G200" s="63" t="s">
        <v>55</v>
      </c>
      <c r="H200" s="64" t="s">
        <v>2745</v>
      </c>
      <c r="I200" s="64" t="s">
        <v>2713</v>
      </c>
      <c r="J200" s="63" t="s">
        <v>530</v>
      </c>
      <c r="K200" s="64" t="s">
        <v>7053</v>
      </c>
      <c r="L200" s="63" t="s">
        <v>41</v>
      </c>
      <c r="M200" s="63">
        <v>0</v>
      </c>
      <c r="N200" s="65">
        <v>45626</v>
      </c>
    </row>
    <row r="201" spans="1:14" ht="14.45" customHeight="1" x14ac:dyDescent="0.2">
      <c r="A201" s="59" t="s">
        <v>7054</v>
      </c>
      <c r="B201" s="60" t="s">
        <v>3460</v>
      </c>
      <c r="C201" s="60" t="s">
        <v>3175</v>
      </c>
      <c r="D201" s="40">
        <v>45558</v>
      </c>
      <c r="E201" s="61">
        <v>1300</v>
      </c>
      <c r="F201" s="62">
        <v>1300</v>
      </c>
      <c r="G201" s="63" t="s">
        <v>124</v>
      </c>
      <c r="H201" s="64" t="s">
        <v>2719</v>
      </c>
      <c r="I201" s="64" t="s">
        <v>2713</v>
      </c>
      <c r="J201" s="63" t="s">
        <v>533</v>
      </c>
      <c r="K201" s="64" t="s">
        <v>7055</v>
      </c>
      <c r="L201" s="63" t="s">
        <v>403</v>
      </c>
      <c r="M201" s="63">
        <v>0</v>
      </c>
      <c r="N201" s="65">
        <v>45716</v>
      </c>
    </row>
    <row r="202" spans="1:14" ht="14.45" customHeight="1" x14ac:dyDescent="0.2">
      <c r="A202" s="59" t="s">
        <v>6941</v>
      </c>
      <c r="B202" s="60" t="s">
        <v>6942</v>
      </c>
      <c r="C202" s="60" t="s">
        <v>3587</v>
      </c>
      <c r="D202" s="40">
        <v>45558</v>
      </c>
      <c r="E202" s="61">
        <v>1600</v>
      </c>
      <c r="F202" s="62">
        <v>1600</v>
      </c>
      <c r="G202" s="63" t="s">
        <v>124</v>
      </c>
      <c r="H202" s="64" t="s">
        <v>2719</v>
      </c>
      <c r="I202" s="64" t="s">
        <v>2713</v>
      </c>
      <c r="J202" s="63" t="s">
        <v>533</v>
      </c>
      <c r="K202" s="64" t="s">
        <v>6943</v>
      </c>
      <c r="L202" s="63" t="s">
        <v>403</v>
      </c>
      <c r="M202" s="63" t="s">
        <v>5781</v>
      </c>
      <c r="N202" s="65">
        <v>45596</v>
      </c>
    </row>
    <row r="203" spans="1:14" ht="14.45" customHeight="1" x14ac:dyDescent="0.2">
      <c r="A203" s="59" t="s">
        <v>7056</v>
      </c>
      <c r="B203" s="60" t="s">
        <v>7057</v>
      </c>
      <c r="C203" s="60" t="s">
        <v>7057</v>
      </c>
      <c r="D203" s="40">
        <v>45558</v>
      </c>
      <c r="E203" s="61">
        <v>100</v>
      </c>
      <c r="F203" s="62">
        <v>100</v>
      </c>
      <c r="G203" s="63" t="s">
        <v>615</v>
      </c>
      <c r="H203" s="64" t="s">
        <v>2744</v>
      </c>
      <c r="I203" s="64" t="s">
        <v>2713</v>
      </c>
      <c r="J203" s="63" t="s">
        <v>530</v>
      </c>
      <c r="K203" s="64" t="s">
        <v>7058</v>
      </c>
      <c r="L203" s="63" t="s">
        <v>157</v>
      </c>
      <c r="M203" s="63" t="s">
        <v>5781</v>
      </c>
      <c r="N203" s="65">
        <v>45716</v>
      </c>
    </row>
    <row r="204" spans="1:14" ht="14.45" customHeight="1" x14ac:dyDescent="0.2">
      <c r="A204" s="59" t="s">
        <v>6630</v>
      </c>
      <c r="B204" s="60" t="s">
        <v>6631</v>
      </c>
      <c r="C204" s="60" t="s">
        <v>6632</v>
      </c>
      <c r="D204" s="40">
        <v>45558</v>
      </c>
      <c r="E204" s="61">
        <v>120</v>
      </c>
      <c r="F204" s="62">
        <v>120</v>
      </c>
      <c r="G204" s="63" t="s">
        <v>615</v>
      </c>
      <c r="H204" s="64" t="s">
        <v>2728</v>
      </c>
      <c r="I204" s="64" t="s">
        <v>2713</v>
      </c>
      <c r="J204" s="63" t="s">
        <v>531</v>
      </c>
      <c r="K204" s="64" t="s">
        <v>6633</v>
      </c>
      <c r="L204" s="63" t="s">
        <v>157</v>
      </c>
      <c r="M204" s="63" t="s">
        <v>5781</v>
      </c>
      <c r="N204" s="65">
        <v>45716</v>
      </c>
    </row>
    <row r="205" spans="1:14" ht="14.45" customHeight="1" x14ac:dyDescent="0.2">
      <c r="A205" s="59" t="s">
        <v>6841</v>
      </c>
      <c r="B205" s="60" t="s">
        <v>3590</v>
      </c>
      <c r="C205" s="60" t="s">
        <v>6842</v>
      </c>
      <c r="D205" s="40">
        <v>45558</v>
      </c>
      <c r="E205" s="61">
        <v>44</v>
      </c>
      <c r="F205" s="62">
        <v>44</v>
      </c>
      <c r="G205" s="63" t="s">
        <v>615</v>
      </c>
      <c r="H205" s="64" t="s">
        <v>2746</v>
      </c>
      <c r="I205" s="64" t="s">
        <v>2713</v>
      </c>
      <c r="J205" s="63" t="s">
        <v>532</v>
      </c>
      <c r="K205" s="64" t="s">
        <v>6944</v>
      </c>
      <c r="L205" s="63" t="s">
        <v>87</v>
      </c>
      <c r="M205" s="63" t="s">
        <v>5781</v>
      </c>
      <c r="N205" s="65">
        <v>45930</v>
      </c>
    </row>
    <row r="206" spans="1:14" ht="14.45" customHeight="1" x14ac:dyDescent="0.2">
      <c r="A206" s="59" t="s">
        <v>6843</v>
      </c>
      <c r="B206" s="60" t="s">
        <v>7412</v>
      </c>
      <c r="C206" s="60" t="s">
        <v>6845</v>
      </c>
      <c r="D206" s="40">
        <v>45558</v>
      </c>
      <c r="E206" s="61">
        <v>199</v>
      </c>
      <c r="F206" s="62">
        <v>199</v>
      </c>
      <c r="G206" s="63" t="s">
        <v>615</v>
      </c>
      <c r="H206" s="64" t="s">
        <v>6846</v>
      </c>
      <c r="I206" s="64" t="s">
        <v>2713</v>
      </c>
      <c r="J206" s="63" t="s">
        <v>539</v>
      </c>
      <c r="K206" s="64" t="s">
        <v>6847</v>
      </c>
      <c r="L206" s="63" t="s">
        <v>1162</v>
      </c>
      <c r="M206" s="63" t="s">
        <v>5781</v>
      </c>
      <c r="N206" s="65">
        <v>45961</v>
      </c>
    </row>
    <row r="207" spans="1:14" ht="14.45" customHeight="1" x14ac:dyDescent="0.2">
      <c r="A207" s="59" t="s">
        <v>6634</v>
      </c>
      <c r="B207" s="60" t="s">
        <v>6576</v>
      </c>
      <c r="C207" s="60" t="s">
        <v>5610</v>
      </c>
      <c r="D207" s="40">
        <v>45558</v>
      </c>
      <c r="E207" s="61">
        <v>85</v>
      </c>
      <c r="F207" s="62">
        <v>85</v>
      </c>
      <c r="G207" s="63" t="s">
        <v>615</v>
      </c>
      <c r="H207" s="64" t="s">
        <v>2728</v>
      </c>
      <c r="I207" s="64" t="s">
        <v>2713</v>
      </c>
      <c r="J207" s="63" t="s">
        <v>531</v>
      </c>
      <c r="K207" s="64" t="s">
        <v>7059</v>
      </c>
      <c r="L207" s="63" t="s">
        <v>157</v>
      </c>
      <c r="M207" s="63">
        <v>0</v>
      </c>
      <c r="N207" s="65">
        <v>45657</v>
      </c>
    </row>
    <row r="208" spans="1:14" ht="14.45" customHeight="1" x14ac:dyDescent="0.2">
      <c r="A208" s="59" t="s">
        <v>7060</v>
      </c>
      <c r="B208" s="60" t="s">
        <v>7061</v>
      </c>
      <c r="C208" s="60" t="s">
        <v>7061</v>
      </c>
      <c r="D208" s="40">
        <v>45559</v>
      </c>
      <c r="E208" s="61">
        <v>79.900000000000006</v>
      </c>
      <c r="F208" s="62">
        <v>79.900000000000006</v>
      </c>
      <c r="G208" s="63" t="s">
        <v>615</v>
      </c>
      <c r="H208" s="64" t="s">
        <v>2800</v>
      </c>
      <c r="I208" s="64" t="s">
        <v>2713</v>
      </c>
      <c r="J208" s="63" t="s">
        <v>420</v>
      </c>
      <c r="K208" s="64" t="s">
        <v>7062</v>
      </c>
      <c r="L208" s="63" t="s">
        <v>157</v>
      </c>
      <c r="M208" s="63" t="s">
        <v>5781</v>
      </c>
      <c r="N208" s="65">
        <v>45716</v>
      </c>
    </row>
    <row r="209" spans="1:14" ht="14.45" customHeight="1" x14ac:dyDescent="0.2">
      <c r="A209" s="59" t="s">
        <v>6848</v>
      </c>
      <c r="B209" s="60" t="s">
        <v>6849</v>
      </c>
      <c r="C209" s="60" t="s">
        <v>6850</v>
      </c>
      <c r="D209" s="40">
        <v>45559</v>
      </c>
      <c r="E209" s="61">
        <v>145</v>
      </c>
      <c r="F209" s="62">
        <v>145</v>
      </c>
      <c r="G209" s="63" t="s">
        <v>3505</v>
      </c>
      <c r="H209" s="64" t="s">
        <v>2734</v>
      </c>
      <c r="I209" s="64" t="s">
        <v>2713</v>
      </c>
      <c r="J209" s="63" t="s">
        <v>530</v>
      </c>
      <c r="K209" s="64" t="s">
        <v>6851</v>
      </c>
      <c r="L209" s="63" t="s">
        <v>34</v>
      </c>
      <c r="M209" s="63" t="s">
        <v>5781</v>
      </c>
      <c r="N209" s="65">
        <v>45716</v>
      </c>
    </row>
    <row r="210" spans="1:14" ht="14.45" customHeight="1" x14ac:dyDescent="0.2">
      <c r="A210" s="59" t="s">
        <v>7063</v>
      </c>
      <c r="B210" s="60" t="s">
        <v>7064</v>
      </c>
      <c r="C210" s="60" t="s">
        <v>7064</v>
      </c>
      <c r="D210" s="40">
        <v>45559</v>
      </c>
      <c r="E210" s="61">
        <v>79.900000000000006</v>
      </c>
      <c r="F210" s="62">
        <v>79.900000000000006</v>
      </c>
      <c r="G210" s="63" t="s">
        <v>615</v>
      </c>
      <c r="H210" s="63" t="s">
        <v>2732</v>
      </c>
      <c r="I210" s="64" t="s">
        <v>2713</v>
      </c>
      <c r="J210" s="63" t="s">
        <v>393</v>
      </c>
      <c r="K210" s="64" t="s">
        <v>7065</v>
      </c>
      <c r="L210" s="65" t="s">
        <v>34</v>
      </c>
      <c r="M210" s="63">
        <v>0</v>
      </c>
      <c r="N210" s="65">
        <v>46142</v>
      </c>
    </row>
    <row r="211" spans="1:14" ht="14.45" customHeight="1" x14ac:dyDescent="0.2">
      <c r="A211" s="59" t="s">
        <v>6635</v>
      </c>
      <c r="B211" s="60" t="s">
        <v>6636</v>
      </c>
      <c r="C211" s="60" t="s">
        <v>6637</v>
      </c>
      <c r="D211" s="40">
        <v>45559</v>
      </c>
      <c r="E211" s="61">
        <v>110</v>
      </c>
      <c r="F211" s="62">
        <v>110</v>
      </c>
      <c r="G211" s="63" t="s">
        <v>615</v>
      </c>
      <c r="H211" s="64" t="s">
        <v>2806</v>
      </c>
      <c r="I211" s="64" t="s">
        <v>2713</v>
      </c>
      <c r="J211" s="63" t="s">
        <v>539</v>
      </c>
      <c r="K211" s="64" t="s">
        <v>6638</v>
      </c>
      <c r="L211" s="63" t="s">
        <v>673</v>
      </c>
      <c r="M211" s="63" t="s">
        <v>5781</v>
      </c>
      <c r="N211" s="65">
        <v>45626</v>
      </c>
    </row>
    <row r="212" spans="1:14" ht="14.45" customHeight="1" x14ac:dyDescent="0.2">
      <c r="A212" s="59" t="s">
        <v>6852</v>
      </c>
      <c r="B212" s="60" t="s">
        <v>6853</v>
      </c>
      <c r="C212" s="60" t="s">
        <v>6854</v>
      </c>
      <c r="D212" s="40">
        <v>45559</v>
      </c>
      <c r="E212" s="61">
        <v>100</v>
      </c>
      <c r="F212" s="62">
        <v>100</v>
      </c>
      <c r="G212" s="63" t="s">
        <v>615</v>
      </c>
      <c r="H212" s="64" t="s">
        <v>2806</v>
      </c>
      <c r="I212" s="64" t="s">
        <v>2713</v>
      </c>
      <c r="J212" s="63" t="s">
        <v>539</v>
      </c>
      <c r="K212" s="64" t="s">
        <v>6855</v>
      </c>
      <c r="L212" s="63" t="s">
        <v>673</v>
      </c>
      <c r="M212" s="63" t="s">
        <v>5781</v>
      </c>
      <c r="N212" s="65">
        <v>45596</v>
      </c>
    </row>
    <row r="213" spans="1:14" ht="14.45" customHeight="1" x14ac:dyDescent="0.2">
      <c r="A213" s="59" t="s">
        <v>6639</v>
      </c>
      <c r="B213" s="60" t="s">
        <v>1817</v>
      </c>
      <c r="C213" s="60" t="s">
        <v>6640</v>
      </c>
      <c r="D213" s="40">
        <v>45559</v>
      </c>
      <c r="E213" s="61">
        <v>50</v>
      </c>
      <c r="F213" s="62">
        <v>50</v>
      </c>
      <c r="G213" s="63" t="s">
        <v>615</v>
      </c>
      <c r="H213" s="64" t="s">
        <v>2746</v>
      </c>
      <c r="I213" s="64" t="s">
        <v>2713</v>
      </c>
      <c r="J213" s="63" t="s">
        <v>532</v>
      </c>
      <c r="K213" s="64" t="s">
        <v>6641</v>
      </c>
      <c r="L213" s="63" t="s">
        <v>87</v>
      </c>
      <c r="M213" s="63" t="s">
        <v>5781</v>
      </c>
      <c r="N213" s="65">
        <v>45961</v>
      </c>
    </row>
    <row r="214" spans="1:14" ht="14.45" customHeight="1" x14ac:dyDescent="0.2">
      <c r="A214" s="59" t="s">
        <v>6856</v>
      </c>
      <c r="B214" s="60" t="s">
        <v>1817</v>
      </c>
      <c r="C214" s="60" t="s">
        <v>1820</v>
      </c>
      <c r="D214" s="40">
        <v>45559</v>
      </c>
      <c r="E214" s="61">
        <v>31.96</v>
      </c>
      <c r="F214" s="62">
        <v>31.96</v>
      </c>
      <c r="G214" s="63" t="s">
        <v>615</v>
      </c>
      <c r="H214" s="64" t="s">
        <v>2716</v>
      </c>
      <c r="I214" s="64" t="s">
        <v>2713</v>
      </c>
      <c r="J214" s="63" t="s">
        <v>532</v>
      </c>
      <c r="K214" s="64" t="s">
        <v>982</v>
      </c>
      <c r="L214" s="63" t="s">
        <v>87</v>
      </c>
      <c r="M214" s="63" t="s">
        <v>5781</v>
      </c>
      <c r="N214" s="65">
        <v>45961</v>
      </c>
    </row>
    <row r="215" spans="1:14" ht="14.45" customHeight="1" x14ac:dyDescent="0.2">
      <c r="A215" s="59" t="s">
        <v>6642</v>
      </c>
      <c r="B215" s="60" t="s">
        <v>6643</v>
      </c>
      <c r="C215" s="60" t="s">
        <v>6644</v>
      </c>
      <c r="D215" s="40">
        <v>45559</v>
      </c>
      <c r="E215" s="61">
        <v>100</v>
      </c>
      <c r="F215" s="62">
        <v>100</v>
      </c>
      <c r="G215" s="63" t="s">
        <v>615</v>
      </c>
      <c r="H215" s="64" t="s">
        <v>2775</v>
      </c>
      <c r="I215" s="64" t="s">
        <v>2713</v>
      </c>
      <c r="J215" s="63" t="s">
        <v>531</v>
      </c>
      <c r="K215" s="64" t="s">
        <v>6645</v>
      </c>
      <c r="L215" s="63" t="s">
        <v>157</v>
      </c>
      <c r="M215" s="63" t="s">
        <v>5781</v>
      </c>
      <c r="N215" s="65">
        <v>45596</v>
      </c>
    </row>
    <row r="216" spans="1:14" ht="14.45" customHeight="1" x14ac:dyDescent="0.2">
      <c r="A216" s="59" t="s">
        <v>6646</v>
      </c>
      <c r="B216" s="60" t="s">
        <v>6647</v>
      </c>
      <c r="C216" s="60" t="s">
        <v>6648</v>
      </c>
      <c r="D216" s="40">
        <v>45559</v>
      </c>
      <c r="E216" s="61">
        <v>150</v>
      </c>
      <c r="F216" s="62">
        <v>150</v>
      </c>
      <c r="G216" s="63" t="s">
        <v>615</v>
      </c>
      <c r="H216" s="64" t="s">
        <v>2775</v>
      </c>
      <c r="I216" s="64" t="s">
        <v>2713</v>
      </c>
      <c r="J216" s="63" t="s">
        <v>531</v>
      </c>
      <c r="K216" s="64" t="s">
        <v>6649</v>
      </c>
      <c r="L216" s="63" t="s">
        <v>34</v>
      </c>
      <c r="M216" s="63" t="s">
        <v>5781</v>
      </c>
      <c r="N216" s="65">
        <v>45596</v>
      </c>
    </row>
    <row r="217" spans="1:14" ht="14.45" customHeight="1" x14ac:dyDescent="0.2">
      <c r="A217" s="59" t="s">
        <v>6857</v>
      </c>
      <c r="B217" s="60" t="s">
        <v>6858</v>
      </c>
      <c r="C217" s="60" t="s">
        <v>6859</v>
      </c>
      <c r="D217" s="40">
        <v>45559</v>
      </c>
      <c r="E217" s="61">
        <v>50</v>
      </c>
      <c r="F217" s="62">
        <v>50</v>
      </c>
      <c r="G217" s="63" t="s">
        <v>615</v>
      </c>
      <c r="H217" s="64" t="s">
        <v>2796</v>
      </c>
      <c r="I217" s="64" t="s">
        <v>2713</v>
      </c>
      <c r="J217" s="63" t="s">
        <v>471</v>
      </c>
      <c r="K217" s="64" t="s">
        <v>6860</v>
      </c>
      <c r="L217" s="63" t="s">
        <v>157</v>
      </c>
      <c r="M217" s="63" t="s">
        <v>5781</v>
      </c>
      <c r="N217" s="65">
        <v>45626</v>
      </c>
    </row>
    <row r="218" spans="1:14" ht="14.45" customHeight="1" x14ac:dyDescent="0.2">
      <c r="A218" s="59" t="s">
        <v>6650</v>
      </c>
      <c r="B218" s="60" t="s">
        <v>7318</v>
      </c>
      <c r="C218" s="60" t="s">
        <v>6651</v>
      </c>
      <c r="D218" s="40">
        <v>45559</v>
      </c>
      <c r="E218" s="61">
        <v>100</v>
      </c>
      <c r="F218" s="62">
        <v>100</v>
      </c>
      <c r="G218" s="63" t="s">
        <v>55</v>
      </c>
      <c r="H218" s="64" t="s">
        <v>2718</v>
      </c>
      <c r="I218" s="64" t="s">
        <v>2713</v>
      </c>
      <c r="J218" s="63" t="s">
        <v>530</v>
      </c>
      <c r="K218" s="64" t="s">
        <v>6652</v>
      </c>
      <c r="L218" s="63" t="s">
        <v>34</v>
      </c>
      <c r="M218" s="63" t="s">
        <v>5781</v>
      </c>
      <c r="N218" s="65">
        <v>45747</v>
      </c>
    </row>
    <row r="219" spans="1:14" ht="14.45" customHeight="1" x14ac:dyDescent="0.2">
      <c r="A219" s="59" t="s">
        <v>6653</v>
      </c>
      <c r="B219" s="60" t="s">
        <v>7318</v>
      </c>
      <c r="C219" s="60" t="s">
        <v>6654</v>
      </c>
      <c r="D219" s="40">
        <v>45559</v>
      </c>
      <c r="E219" s="61">
        <v>30</v>
      </c>
      <c r="F219" s="62">
        <v>30</v>
      </c>
      <c r="G219" s="63" t="s">
        <v>55</v>
      </c>
      <c r="H219" s="64" t="s">
        <v>2806</v>
      </c>
      <c r="I219" s="64" t="s">
        <v>2713</v>
      </c>
      <c r="J219" s="63" t="s">
        <v>539</v>
      </c>
      <c r="K219" s="64" t="s">
        <v>7066</v>
      </c>
      <c r="L219" s="63" t="s">
        <v>673</v>
      </c>
      <c r="M219" s="63" t="s">
        <v>5781</v>
      </c>
      <c r="N219" s="65">
        <v>45747</v>
      </c>
    </row>
    <row r="220" spans="1:14" ht="14.45" customHeight="1" x14ac:dyDescent="0.2">
      <c r="A220" s="59" t="s">
        <v>6655</v>
      </c>
      <c r="B220" s="60" t="s">
        <v>1817</v>
      </c>
      <c r="C220" s="60" t="s">
        <v>7363</v>
      </c>
      <c r="D220" s="40">
        <v>45559</v>
      </c>
      <c r="E220" s="61">
        <v>50</v>
      </c>
      <c r="F220" s="62">
        <v>50</v>
      </c>
      <c r="G220" s="63" t="s">
        <v>615</v>
      </c>
      <c r="H220" s="64" t="s">
        <v>2716</v>
      </c>
      <c r="I220" s="64" t="s">
        <v>2713</v>
      </c>
      <c r="J220" s="63" t="s">
        <v>532</v>
      </c>
      <c r="K220" s="64" t="s">
        <v>6656</v>
      </c>
      <c r="L220" s="63" t="s">
        <v>87</v>
      </c>
      <c r="M220" s="63" t="s">
        <v>5781</v>
      </c>
      <c r="N220" s="65">
        <v>45961</v>
      </c>
    </row>
    <row r="221" spans="1:14" ht="14.45" customHeight="1" x14ac:dyDescent="0.2">
      <c r="A221" s="59" t="s">
        <v>6863</v>
      </c>
      <c r="B221" s="60" t="s">
        <v>6864</v>
      </c>
      <c r="C221" s="60" t="s">
        <v>3919</v>
      </c>
      <c r="D221" s="40">
        <v>45560</v>
      </c>
      <c r="E221" s="61">
        <v>273.5</v>
      </c>
      <c r="F221" s="62">
        <v>273.5</v>
      </c>
      <c r="G221" s="63" t="s">
        <v>615</v>
      </c>
      <c r="H221" s="64" t="s">
        <v>2811</v>
      </c>
      <c r="I221" s="64" t="s">
        <v>2713</v>
      </c>
      <c r="J221" s="63" t="s">
        <v>318</v>
      </c>
      <c r="K221" s="64" t="s">
        <v>6865</v>
      </c>
      <c r="L221" s="63" t="s">
        <v>403</v>
      </c>
      <c r="M221" s="63" t="s">
        <v>5781</v>
      </c>
      <c r="N221" s="65">
        <v>45961</v>
      </c>
    </row>
    <row r="222" spans="1:14" ht="14.45" customHeight="1" x14ac:dyDescent="0.2">
      <c r="A222" s="59" t="s">
        <v>6660</v>
      </c>
      <c r="B222" s="60" t="s">
        <v>5678</v>
      </c>
      <c r="C222" s="60" t="s">
        <v>6661</v>
      </c>
      <c r="D222" s="40">
        <v>45561</v>
      </c>
      <c r="E222" s="61">
        <v>200</v>
      </c>
      <c r="F222" s="62">
        <v>200</v>
      </c>
      <c r="G222" s="63" t="s">
        <v>615</v>
      </c>
      <c r="H222" s="64" t="s">
        <v>2740</v>
      </c>
      <c r="I222" s="64" t="s">
        <v>2713</v>
      </c>
      <c r="J222" s="63" t="s">
        <v>530</v>
      </c>
      <c r="K222" s="64" t="s">
        <v>6662</v>
      </c>
      <c r="L222" s="63" t="s">
        <v>157</v>
      </c>
      <c r="M222" s="63">
        <v>0</v>
      </c>
      <c r="N222" s="65">
        <v>45716</v>
      </c>
    </row>
    <row r="223" spans="1:14" ht="14.45" customHeight="1" x14ac:dyDescent="0.2">
      <c r="A223" s="59" t="s">
        <v>7250</v>
      </c>
      <c r="B223" s="60" t="s">
        <v>7251</v>
      </c>
      <c r="C223" s="60" t="s">
        <v>7252</v>
      </c>
      <c r="D223" s="40">
        <v>45561</v>
      </c>
      <c r="E223" s="61">
        <v>80</v>
      </c>
      <c r="F223" s="62">
        <v>80</v>
      </c>
      <c r="G223" s="63" t="s">
        <v>615</v>
      </c>
      <c r="H223" s="64" t="s">
        <v>2717</v>
      </c>
      <c r="I223" s="64" t="s">
        <v>2713</v>
      </c>
      <c r="J223" s="63" t="s">
        <v>539</v>
      </c>
      <c r="K223" s="64" t="s">
        <v>7253</v>
      </c>
      <c r="L223" s="63" t="s">
        <v>3533</v>
      </c>
      <c r="M223" s="63" t="s">
        <v>5781</v>
      </c>
      <c r="N223" s="65">
        <v>45596</v>
      </c>
    </row>
    <row r="224" spans="1:14" ht="14.45" customHeight="1" x14ac:dyDescent="0.2">
      <c r="A224" s="59" t="s">
        <v>6867</v>
      </c>
      <c r="B224" s="60" t="s">
        <v>5678</v>
      </c>
      <c r="C224" s="60" t="s">
        <v>6868</v>
      </c>
      <c r="D224" s="40">
        <v>45561</v>
      </c>
      <c r="E224" s="61">
        <v>100</v>
      </c>
      <c r="F224" s="62">
        <v>100</v>
      </c>
      <c r="G224" s="63" t="s">
        <v>55</v>
      </c>
      <c r="H224" s="64" t="s">
        <v>2738</v>
      </c>
      <c r="I224" s="64" t="s">
        <v>2713</v>
      </c>
      <c r="J224" s="63" t="s">
        <v>420</v>
      </c>
      <c r="K224" s="64" t="s">
        <v>6869</v>
      </c>
      <c r="L224" s="63" t="s">
        <v>34</v>
      </c>
      <c r="M224" s="63">
        <v>0</v>
      </c>
      <c r="N224" s="65">
        <v>45688</v>
      </c>
    </row>
    <row r="225" spans="1:14" ht="14.45" customHeight="1" x14ac:dyDescent="0.2">
      <c r="A225" s="59" t="s">
        <v>7067</v>
      </c>
      <c r="B225" s="60" t="s">
        <v>3844</v>
      </c>
      <c r="C225" s="60" t="s">
        <v>7068</v>
      </c>
      <c r="D225" s="40">
        <v>45562</v>
      </c>
      <c r="E225" s="61">
        <v>200</v>
      </c>
      <c r="F225" s="62">
        <v>200</v>
      </c>
      <c r="G225" s="63" t="s">
        <v>55</v>
      </c>
      <c r="H225" s="64" t="s">
        <v>2732</v>
      </c>
      <c r="I225" s="64" t="s">
        <v>2713</v>
      </c>
      <c r="J225" s="63" t="s">
        <v>393</v>
      </c>
      <c r="K225" s="64" t="s">
        <v>7069</v>
      </c>
      <c r="L225" s="63" t="s">
        <v>34</v>
      </c>
      <c r="M225" s="63" t="s">
        <v>5781</v>
      </c>
      <c r="N225" s="65">
        <v>45716</v>
      </c>
    </row>
    <row r="226" spans="1:14" ht="14.45" customHeight="1" x14ac:dyDescent="0.2">
      <c r="A226" s="59" t="s">
        <v>6870</v>
      </c>
      <c r="B226" s="60" t="s">
        <v>6164</v>
      </c>
      <c r="C226" s="60" t="s">
        <v>6165</v>
      </c>
      <c r="D226" s="40">
        <v>45562</v>
      </c>
      <c r="E226" s="61">
        <v>300</v>
      </c>
      <c r="F226" s="62">
        <v>300</v>
      </c>
      <c r="G226" s="63" t="s">
        <v>615</v>
      </c>
      <c r="H226" s="64" t="s">
        <v>2739</v>
      </c>
      <c r="I226" s="64" t="s">
        <v>2713</v>
      </c>
      <c r="J226" s="63" t="s">
        <v>540</v>
      </c>
      <c r="K226" s="64" t="s">
        <v>7070</v>
      </c>
      <c r="L226" s="63" t="s">
        <v>41</v>
      </c>
      <c r="M226" s="63" t="s">
        <v>5781</v>
      </c>
      <c r="N226" s="65">
        <v>45747</v>
      </c>
    </row>
    <row r="227" spans="1:14" ht="14.45" customHeight="1" x14ac:dyDescent="0.2">
      <c r="A227" s="59" t="s">
        <v>6871</v>
      </c>
      <c r="B227" s="60" t="s">
        <v>5678</v>
      </c>
      <c r="C227" s="60" t="s">
        <v>6872</v>
      </c>
      <c r="D227" s="40">
        <v>45562</v>
      </c>
      <c r="E227" s="61">
        <v>80</v>
      </c>
      <c r="F227" s="62">
        <v>80</v>
      </c>
      <c r="G227" s="63" t="s">
        <v>55</v>
      </c>
      <c r="H227" s="64" t="s">
        <v>2729</v>
      </c>
      <c r="I227" s="64" t="s">
        <v>2713</v>
      </c>
      <c r="J227" s="63" t="s">
        <v>393</v>
      </c>
      <c r="K227" s="64" t="s">
        <v>7071</v>
      </c>
      <c r="L227" s="63" t="s">
        <v>157</v>
      </c>
      <c r="M227" s="63">
        <v>0</v>
      </c>
      <c r="N227" s="65">
        <v>45688</v>
      </c>
    </row>
    <row r="228" spans="1:14" ht="14.45" customHeight="1" x14ac:dyDescent="0.2">
      <c r="A228" s="59" t="s">
        <v>6767</v>
      </c>
      <c r="B228" s="60" t="s">
        <v>6768</v>
      </c>
      <c r="C228" s="60" t="s">
        <v>6769</v>
      </c>
      <c r="D228" s="40">
        <v>45562</v>
      </c>
      <c r="E228" s="61">
        <v>120</v>
      </c>
      <c r="F228" s="62">
        <v>120</v>
      </c>
      <c r="G228" s="63" t="s">
        <v>615</v>
      </c>
      <c r="H228" s="64" t="s">
        <v>2806</v>
      </c>
      <c r="I228" s="64" t="s">
        <v>2713</v>
      </c>
      <c r="J228" s="63" t="s">
        <v>530</v>
      </c>
      <c r="K228" s="64" t="s">
        <v>6770</v>
      </c>
      <c r="L228" s="63" t="s">
        <v>34</v>
      </c>
      <c r="M228" s="63" t="s">
        <v>5781</v>
      </c>
      <c r="N228" s="65">
        <v>45657</v>
      </c>
    </row>
    <row r="229" spans="1:14" ht="14.45" customHeight="1" x14ac:dyDescent="0.2">
      <c r="A229" s="59" t="s">
        <v>7229</v>
      </c>
      <c r="B229" s="60" t="s">
        <v>7297</v>
      </c>
      <c r="C229" s="60" t="s">
        <v>7230</v>
      </c>
      <c r="D229" s="40">
        <v>45562</v>
      </c>
      <c r="E229" s="61">
        <v>150</v>
      </c>
      <c r="F229" s="62">
        <v>150</v>
      </c>
      <c r="G229" s="63" t="s">
        <v>615</v>
      </c>
      <c r="H229" s="64" t="s">
        <v>2728</v>
      </c>
      <c r="I229" s="64" t="s">
        <v>2713</v>
      </c>
      <c r="J229" s="63" t="s">
        <v>531</v>
      </c>
      <c r="K229" s="64" t="s">
        <v>7231</v>
      </c>
      <c r="L229" s="63" t="s">
        <v>157</v>
      </c>
      <c r="M229" s="63" t="s">
        <v>5781</v>
      </c>
      <c r="N229" s="65">
        <v>45838</v>
      </c>
    </row>
    <row r="230" spans="1:14" ht="14.45" customHeight="1" x14ac:dyDescent="0.2">
      <c r="A230" s="59" t="s">
        <v>7163</v>
      </c>
      <c r="B230" s="60" t="s">
        <v>7164</v>
      </c>
      <c r="C230" s="60" t="s">
        <v>7165</v>
      </c>
      <c r="D230" s="40">
        <v>45562</v>
      </c>
      <c r="E230" s="61">
        <v>100</v>
      </c>
      <c r="F230" s="62">
        <v>100</v>
      </c>
      <c r="G230" s="63" t="s">
        <v>124</v>
      </c>
      <c r="H230" s="64" t="s">
        <v>2734</v>
      </c>
      <c r="I230" s="64" t="s">
        <v>2713</v>
      </c>
      <c r="J230" s="63" t="s">
        <v>530</v>
      </c>
      <c r="K230" s="64" t="s">
        <v>7166</v>
      </c>
      <c r="L230" s="63" t="s">
        <v>41</v>
      </c>
      <c r="M230" s="63" t="s">
        <v>5781</v>
      </c>
      <c r="N230" s="65">
        <v>45716</v>
      </c>
    </row>
    <row r="231" spans="1:14" ht="14.45" customHeight="1" x14ac:dyDescent="0.2">
      <c r="A231" s="59" t="s">
        <v>6873</v>
      </c>
      <c r="B231" s="60" t="s">
        <v>5678</v>
      </c>
      <c r="C231" s="60" t="s">
        <v>6874</v>
      </c>
      <c r="D231" s="40">
        <v>45562</v>
      </c>
      <c r="E231" s="61">
        <v>60</v>
      </c>
      <c r="F231" s="62">
        <v>60</v>
      </c>
      <c r="G231" s="63" t="s">
        <v>55</v>
      </c>
      <c r="H231" s="64" t="s">
        <v>2763</v>
      </c>
      <c r="I231" s="64" t="s">
        <v>2713</v>
      </c>
      <c r="J231" s="63" t="s">
        <v>393</v>
      </c>
      <c r="K231" s="64" t="s">
        <v>6875</v>
      </c>
      <c r="L231" s="63" t="s">
        <v>34</v>
      </c>
      <c r="M231" s="63">
        <v>0</v>
      </c>
      <c r="N231" s="65">
        <v>45688</v>
      </c>
    </row>
    <row r="232" spans="1:14" ht="14.45" customHeight="1" x14ac:dyDescent="0.2">
      <c r="A232" s="59" t="s">
        <v>7167</v>
      </c>
      <c r="B232" s="60" t="s">
        <v>6576</v>
      </c>
      <c r="C232" s="60" t="s">
        <v>7168</v>
      </c>
      <c r="D232" s="40">
        <v>45562</v>
      </c>
      <c r="E232" s="61">
        <v>100</v>
      </c>
      <c r="F232" s="62">
        <v>100</v>
      </c>
      <c r="G232" s="63" t="s">
        <v>55</v>
      </c>
      <c r="H232" s="64" t="s">
        <v>2754</v>
      </c>
      <c r="I232" s="64" t="s">
        <v>2713</v>
      </c>
      <c r="J232" s="63" t="s">
        <v>540</v>
      </c>
      <c r="K232" s="64" t="s">
        <v>7169</v>
      </c>
      <c r="L232" s="63" t="s">
        <v>157</v>
      </c>
      <c r="M232" s="63">
        <v>0</v>
      </c>
      <c r="N232" s="65">
        <v>45688</v>
      </c>
    </row>
    <row r="233" spans="1:14" ht="14.45" customHeight="1" x14ac:dyDescent="0.2">
      <c r="A233" s="59" t="s">
        <v>6876</v>
      </c>
      <c r="B233" s="60" t="s">
        <v>4049</v>
      </c>
      <c r="C233" s="60" t="s">
        <v>1126</v>
      </c>
      <c r="D233" s="40">
        <v>45562</v>
      </c>
      <c r="E233" s="61">
        <v>100</v>
      </c>
      <c r="F233" s="62">
        <v>100</v>
      </c>
      <c r="G233" s="63" t="s">
        <v>124</v>
      </c>
      <c r="H233" s="64" t="s">
        <v>2744</v>
      </c>
      <c r="I233" s="64" t="s">
        <v>2713</v>
      </c>
      <c r="J233" s="63" t="s">
        <v>530</v>
      </c>
      <c r="K233" s="64" t="s">
        <v>7075</v>
      </c>
      <c r="L233" s="63" t="s">
        <v>157</v>
      </c>
      <c r="M233" s="63" t="s">
        <v>5781</v>
      </c>
      <c r="N233" s="65">
        <v>45961</v>
      </c>
    </row>
    <row r="234" spans="1:14" ht="14.45" customHeight="1" x14ac:dyDescent="0.2">
      <c r="A234" s="59" t="s">
        <v>6663</v>
      </c>
      <c r="B234" s="60" t="s">
        <v>6664</v>
      </c>
      <c r="C234" s="60" t="s">
        <v>5672</v>
      </c>
      <c r="D234" s="40">
        <v>45564</v>
      </c>
      <c r="E234" s="61">
        <v>350</v>
      </c>
      <c r="F234" s="62">
        <v>350</v>
      </c>
      <c r="G234" s="63" t="s">
        <v>124</v>
      </c>
      <c r="H234" s="64" t="s">
        <v>6665</v>
      </c>
      <c r="I234" s="64" t="s">
        <v>2749</v>
      </c>
      <c r="J234" s="63" t="s">
        <v>531</v>
      </c>
      <c r="K234" s="64" t="s">
        <v>6666</v>
      </c>
      <c r="L234" s="63" t="s">
        <v>34</v>
      </c>
      <c r="M234" s="63" t="s">
        <v>5781</v>
      </c>
      <c r="N234" s="65">
        <v>45716</v>
      </c>
    </row>
    <row r="235" spans="1:14" ht="14.45" customHeight="1" x14ac:dyDescent="0.2">
      <c r="A235" s="59" t="s">
        <v>6667</v>
      </c>
      <c r="B235" s="60" t="s">
        <v>6664</v>
      </c>
      <c r="C235" s="60" t="s">
        <v>5673</v>
      </c>
      <c r="D235" s="40">
        <v>45564</v>
      </c>
      <c r="E235" s="61">
        <v>150</v>
      </c>
      <c r="F235" s="62">
        <v>150</v>
      </c>
      <c r="G235" s="63" t="s">
        <v>124</v>
      </c>
      <c r="H235" s="64" t="s">
        <v>6668</v>
      </c>
      <c r="I235" s="64" t="s">
        <v>2749</v>
      </c>
      <c r="J235" s="63" t="s">
        <v>531</v>
      </c>
      <c r="K235" s="64" t="s">
        <v>6666</v>
      </c>
      <c r="L235" s="63" t="s">
        <v>34</v>
      </c>
      <c r="M235" s="63" t="s">
        <v>5781</v>
      </c>
      <c r="N235" s="65">
        <v>45716</v>
      </c>
    </row>
    <row r="236" spans="1:14" ht="14.45" customHeight="1" x14ac:dyDescent="0.2">
      <c r="A236" s="59" t="s">
        <v>6676</v>
      </c>
      <c r="B236" s="60" t="s">
        <v>6677</v>
      </c>
      <c r="C236" s="60" t="s">
        <v>6678</v>
      </c>
      <c r="D236" s="40">
        <v>45565</v>
      </c>
      <c r="E236" s="61">
        <v>142</v>
      </c>
      <c r="F236" s="62">
        <v>142</v>
      </c>
      <c r="G236" s="63" t="s">
        <v>615</v>
      </c>
      <c r="H236" s="64" t="s">
        <v>590</v>
      </c>
      <c r="I236" s="64" t="s">
        <v>2713</v>
      </c>
      <c r="J236" s="63" t="s">
        <v>393</v>
      </c>
      <c r="K236" s="64" t="s">
        <v>6679</v>
      </c>
      <c r="L236" s="63" t="s">
        <v>157</v>
      </c>
      <c r="M236" s="63" t="s">
        <v>5781</v>
      </c>
      <c r="N236" s="65">
        <v>45716</v>
      </c>
    </row>
    <row r="237" spans="1:14" ht="14.45" customHeight="1" x14ac:dyDescent="0.2">
      <c r="A237" s="59" t="s">
        <v>6680</v>
      </c>
      <c r="B237" s="60" t="s">
        <v>6681</v>
      </c>
      <c r="C237" s="60" t="s">
        <v>6682</v>
      </c>
      <c r="D237" s="40">
        <v>45565</v>
      </c>
      <c r="E237" s="61">
        <v>161</v>
      </c>
      <c r="F237" s="62">
        <v>161</v>
      </c>
      <c r="G237" s="63" t="s">
        <v>615</v>
      </c>
      <c r="H237" s="64" t="s">
        <v>2722</v>
      </c>
      <c r="I237" s="64" t="s">
        <v>2713</v>
      </c>
      <c r="J237" s="63" t="s">
        <v>531</v>
      </c>
      <c r="K237" s="64" t="s">
        <v>7298</v>
      </c>
      <c r="L237" s="63" t="s">
        <v>157</v>
      </c>
      <c r="M237" s="63" t="s">
        <v>5781</v>
      </c>
      <c r="N237" s="65">
        <v>45869</v>
      </c>
    </row>
    <row r="238" spans="1:14" ht="14.45" customHeight="1" x14ac:dyDescent="0.2">
      <c r="A238" s="59" t="s">
        <v>6771</v>
      </c>
      <c r="B238" s="60" t="s">
        <v>6772</v>
      </c>
      <c r="C238" s="60" t="s">
        <v>6773</v>
      </c>
      <c r="D238" s="40">
        <v>45566</v>
      </c>
      <c r="E238" s="61">
        <v>58.5</v>
      </c>
      <c r="F238" s="62">
        <v>58.5</v>
      </c>
      <c r="G238" s="63" t="s">
        <v>3505</v>
      </c>
      <c r="H238" s="64" t="s">
        <v>2800</v>
      </c>
      <c r="I238" s="64" t="s">
        <v>2713</v>
      </c>
      <c r="J238" s="63"/>
      <c r="K238" s="64" t="s">
        <v>6774</v>
      </c>
      <c r="L238" s="63"/>
      <c r="M238" s="63" t="s">
        <v>5781</v>
      </c>
      <c r="N238" s="65">
        <v>45596</v>
      </c>
    </row>
    <row r="239" spans="1:14" ht="14.45" customHeight="1" x14ac:dyDescent="0.2">
      <c r="A239" s="59" t="s">
        <v>7077</v>
      </c>
      <c r="B239" s="60" t="s">
        <v>6878</v>
      </c>
      <c r="C239" s="60" t="s">
        <v>7078</v>
      </c>
      <c r="D239" s="40">
        <v>45566</v>
      </c>
      <c r="E239" s="61">
        <v>50</v>
      </c>
      <c r="F239" s="62">
        <v>50</v>
      </c>
      <c r="G239" s="63" t="s">
        <v>615</v>
      </c>
      <c r="H239" s="64" t="s">
        <v>2810</v>
      </c>
      <c r="I239" s="64" t="s">
        <v>2713</v>
      </c>
      <c r="J239" s="63" t="s">
        <v>393</v>
      </c>
      <c r="K239" s="64" t="s">
        <v>7079</v>
      </c>
      <c r="L239" s="63" t="s">
        <v>191</v>
      </c>
      <c r="M239" s="63" t="s">
        <v>5781</v>
      </c>
      <c r="N239" s="65">
        <v>45716</v>
      </c>
    </row>
    <row r="240" spans="1:14" ht="14.45" customHeight="1" x14ac:dyDescent="0.2">
      <c r="A240" s="59" t="s">
        <v>6877</v>
      </c>
      <c r="B240" s="60" t="s">
        <v>6878</v>
      </c>
      <c r="C240" s="60" t="s">
        <v>6879</v>
      </c>
      <c r="D240" s="40">
        <v>45566</v>
      </c>
      <c r="E240" s="61">
        <v>50</v>
      </c>
      <c r="F240" s="62">
        <v>50</v>
      </c>
      <c r="G240" s="63" t="s">
        <v>615</v>
      </c>
      <c r="H240" s="64" t="s">
        <v>2736</v>
      </c>
      <c r="I240" s="64" t="s">
        <v>2713</v>
      </c>
      <c r="J240" s="63" t="s">
        <v>471</v>
      </c>
      <c r="K240" s="64" t="s">
        <v>6880</v>
      </c>
      <c r="L240" s="63" t="s">
        <v>157</v>
      </c>
      <c r="M240" s="63">
        <v>0</v>
      </c>
      <c r="N240" s="65">
        <v>45747</v>
      </c>
    </row>
    <row r="241" spans="1:14" ht="14.45" customHeight="1" x14ac:dyDescent="0.2">
      <c r="A241" s="59" t="s">
        <v>6881</v>
      </c>
      <c r="B241" s="60" t="s">
        <v>6878</v>
      </c>
      <c r="C241" s="60" t="s">
        <v>6882</v>
      </c>
      <c r="D241" s="40">
        <v>45566</v>
      </c>
      <c r="E241" s="61">
        <v>50</v>
      </c>
      <c r="F241" s="62">
        <v>50</v>
      </c>
      <c r="G241" s="63" t="s">
        <v>615</v>
      </c>
      <c r="H241" s="64" t="s">
        <v>2735</v>
      </c>
      <c r="I241" s="64" t="s">
        <v>2713</v>
      </c>
      <c r="J241" s="63" t="s">
        <v>420</v>
      </c>
      <c r="K241" s="64" t="s">
        <v>1002</v>
      </c>
      <c r="L241" s="63" t="s">
        <v>41</v>
      </c>
      <c r="M241" s="63">
        <v>0</v>
      </c>
      <c r="N241" s="65">
        <v>45747</v>
      </c>
    </row>
    <row r="242" spans="1:14" ht="14.45" customHeight="1" x14ac:dyDescent="0.2">
      <c r="A242" s="59" t="s">
        <v>6685</v>
      </c>
      <c r="B242" s="60" t="s">
        <v>6664</v>
      </c>
      <c r="C242" s="60" t="s">
        <v>6686</v>
      </c>
      <c r="D242" s="40">
        <v>45566</v>
      </c>
      <c r="E242" s="61">
        <v>400</v>
      </c>
      <c r="F242" s="62">
        <v>400</v>
      </c>
      <c r="G242" s="63" t="s">
        <v>615</v>
      </c>
      <c r="H242" s="64" t="s">
        <v>3862</v>
      </c>
      <c r="I242" s="64" t="s">
        <v>2749</v>
      </c>
      <c r="J242" s="63" t="s">
        <v>531</v>
      </c>
      <c r="K242" s="64" t="s">
        <v>6687</v>
      </c>
      <c r="L242" s="63" t="s">
        <v>34</v>
      </c>
      <c r="M242" s="63" t="s">
        <v>5781</v>
      </c>
      <c r="N242" s="65">
        <v>45716</v>
      </c>
    </row>
    <row r="243" spans="1:14" ht="14.45" customHeight="1" x14ac:dyDescent="0.2">
      <c r="A243" s="59" t="s">
        <v>7080</v>
      </c>
      <c r="B243" s="60" t="s">
        <v>7081</v>
      </c>
      <c r="C243" s="60" t="s">
        <v>3641</v>
      </c>
      <c r="D243" s="40">
        <v>45567</v>
      </c>
      <c r="E243" s="61">
        <v>100</v>
      </c>
      <c r="F243" s="62">
        <v>100</v>
      </c>
      <c r="G243" s="63" t="s">
        <v>615</v>
      </c>
      <c r="H243" s="64" t="s">
        <v>2716</v>
      </c>
      <c r="I243" s="64" t="s">
        <v>2713</v>
      </c>
      <c r="J243" s="63" t="s">
        <v>532</v>
      </c>
      <c r="K243" s="64" t="s">
        <v>7206</v>
      </c>
      <c r="L243" s="63" t="s">
        <v>87</v>
      </c>
      <c r="M243" s="63">
        <v>0</v>
      </c>
      <c r="N243" s="65">
        <v>45747</v>
      </c>
    </row>
    <row r="244" spans="1:14" ht="14.45" customHeight="1" x14ac:dyDescent="0.2">
      <c r="A244" s="59" t="s">
        <v>7254</v>
      </c>
      <c r="B244" s="60" t="s">
        <v>7081</v>
      </c>
      <c r="C244" s="60" t="s">
        <v>3644</v>
      </c>
      <c r="D244" s="40">
        <v>45567</v>
      </c>
      <c r="E244" s="61">
        <v>100</v>
      </c>
      <c r="F244" s="62">
        <v>100</v>
      </c>
      <c r="G244" s="63" t="s">
        <v>615</v>
      </c>
      <c r="H244" s="64" t="s">
        <v>2716</v>
      </c>
      <c r="I244" s="64" t="s">
        <v>2713</v>
      </c>
      <c r="J244" s="63" t="s">
        <v>532</v>
      </c>
      <c r="K244" s="64" t="s">
        <v>7255</v>
      </c>
      <c r="L244" s="63" t="s">
        <v>87</v>
      </c>
      <c r="M244" s="63">
        <v>0</v>
      </c>
      <c r="N244" s="65">
        <v>45596</v>
      </c>
    </row>
    <row r="245" spans="1:14" ht="14.45" customHeight="1" x14ac:dyDescent="0.2">
      <c r="A245" s="59" t="s">
        <v>7170</v>
      </c>
      <c r="B245" s="60" t="s">
        <v>6772</v>
      </c>
      <c r="C245" s="60" t="s">
        <v>7171</v>
      </c>
      <c r="D245" s="40">
        <v>45567</v>
      </c>
      <c r="E245" s="61">
        <v>58.5</v>
      </c>
      <c r="F245" s="62">
        <v>58.5</v>
      </c>
      <c r="G245" s="63" t="s">
        <v>3505</v>
      </c>
      <c r="H245" s="64" t="s">
        <v>2800</v>
      </c>
      <c r="I245" s="64" t="s">
        <v>2713</v>
      </c>
      <c r="J245" s="63" t="s">
        <v>530</v>
      </c>
      <c r="K245" s="64" t="s">
        <v>7172</v>
      </c>
      <c r="L245" s="63" t="s">
        <v>157</v>
      </c>
      <c r="M245" s="63" t="s">
        <v>5781</v>
      </c>
      <c r="N245" s="65">
        <v>45991</v>
      </c>
    </row>
    <row r="246" spans="1:14" ht="14.45" customHeight="1" x14ac:dyDescent="0.2">
      <c r="A246" s="59" t="s">
        <v>6688</v>
      </c>
      <c r="B246" s="60" t="s">
        <v>7318</v>
      </c>
      <c r="C246" s="60" t="s">
        <v>6689</v>
      </c>
      <c r="D246" s="40">
        <v>45567</v>
      </c>
      <c r="E246" s="61">
        <v>42</v>
      </c>
      <c r="F246" s="62">
        <v>42</v>
      </c>
      <c r="G246" s="63" t="s">
        <v>55</v>
      </c>
      <c r="H246" s="64" t="s">
        <v>2756</v>
      </c>
      <c r="I246" s="64" t="s">
        <v>2713</v>
      </c>
      <c r="J246" s="63" t="s">
        <v>393</v>
      </c>
      <c r="K246" s="64" t="s">
        <v>6690</v>
      </c>
      <c r="L246" s="63" t="s">
        <v>34</v>
      </c>
      <c r="M246" s="63" t="s">
        <v>5781</v>
      </c>
      <c r="N246" s="65">
        <v>45747</v>
      </c>
    </row>
    <row r="247" spans="1:14" ht="14.45" customHeight="1" x14ac:dyDescent="0.2">
      <c r="A247" s="59" t="s">
        <v>6775</v>
      </c>
      <c r="B247" s="60" t="s">
        <v>7126</v>
      </c>
      <c r="C247" s="60" t="s">
        <v>2702</v>
      </c>
      <c r="D247" s="40">
        <v>45568</v>
      </c>
      <c r="E247" s="61">
        <v>875</v>
      </c>
      <c r="F247" s="62">
        <v>926.1</v>
      </c>
      <c r="G247" s="63" t="s">
        <v>339</v>
      </c>
      <c r="H247" s="64" t="s">
        <v>2759</v>
      </c>
      <c r="I247" s="64" t="s">
        <v>2713</v>
      </c>
      <c r="J247" s="63" t="s">
        <v>471</v>
      </c>
      <c r="K247" s="64" t="s">
        <v>6776</v>
      </c>
      <c r="L247" s="63" t="s">
        <v>157</v>
      </c>
      <c r="M247" s="63">
        <v>0</v>
      </c>
      <c r="N247" s="65">
        <v>45657</v>
      </c>
    </row>
    <row r="248" spans="1:14" ht="14.45" customHeight="1" x14ac:dyDescent="0.2">
      <c r="A248" s="59" t="s">
        <v>6777</v>
      </c>
      <c r="B248" s="60" t="s">
        <v>6778</v>
      </c>
      <c r="C248" s="60" t="s">
        <v>6779</v>
      </c>
      <c r="D248" s="40">
        <v>45568</v>
      </c>
      <c r="E248" s="61">
        <v>369.9</v>
      </c>
      <c r="F248" s="62">
        <v>369.9</v>
      </c>
      <c r="G248" s="63" t="s">
        <v>758</v>
      </c>
      <c r="H248" s="64" t="s">
        <v>2714</v>
      </c>
      <c r="I248" s="64" t="s">
        <v>2713</v>
      </c>
      <c r="J248" s="63"/>
      <c r="K248" s="64" t="s">
        <v>6780</v>
      </c>
      <c r="L248" s="63"/>
      <c r="M248" s="63">
        <v>0</v>
      </c>
      <c r="N248" s="65">
        <v>45657</v>
      </c>
    </row>
    <row r="249" spans="1:14" ht="14.45" customHeight="1" x14ac:dyDescent="0.2">
      <c r="A249" s="59" t="s">
        <v>7082</v>
      </c>
      <c r="B249" s="60" t="s">
        <v>7083</v>
      </c>
      <c r="C249" s="60" t="s">
        <v>7084</v>
      </c>
      <c r="D249" s="40">
        <v>45568</v>
      </c>
      <c r="E249" s="61">
        <v>1000</v>
      </c>
      <c r="F249" s="62">
        <v>1000</v>
      </c>
      <c r="G249" s="63" t="s">
        <v>615</v>
      </c>
      <c r="H249" s="64" t="s">
        <v>7085</v>
      </c>
      <c r="I249" s="64" t="s">
        <v>2713</v>
      </c>
      <c r="J249" s="63" t="s">
        <v>539</v>
      </c>
      <c r="K249" s="64" t="s">
        <v>7086</v>
      </c>
      <c r="L249" s="63" t="s">
        <v>403</v>
      </c>
      <c r="M249" s="63">
        <v>0</v>
      </c>
      <c r="N249" s="65">
        <v>45747</v>
      </c>
    </row>
    <row r="250" spans="1:14" ht="14.45" customHeight="1" x14ac:dyDescent="0.2">
      <c r="A250" s="59" t="s">
        <v>6883</v>
      </c>
      <c r="B250" s="60" t="s">
        <v>6884</v>
      </c>
      <c r="C250" s="60" t="s">
        <v>6885</v>
      </c>
      <c r="D250" s="40">
        <v>45570</v>
      </c>
      <c r="E250" s="61">
        <v>199.5</v>
      </c>
      <c r="F250" s="62">
        <v>199.5</v>
      </c>
      <c r="G250" s="63" t="s">
        <v>3505</v>
      </c>
      <c r="H250" s="64" t="s">
        <v>2729</v>
      </c>
      <c r="I250" s="64" t="s">
        <v>2713</v>
      </c>
      <c r="J250" s="63" t="s">
        <v>393</v>
      </c>
      <c r="K250" s="64" t="s">
        <v>6886</v>
      </c>
      <c r="L250" s="63" t="s">
        <v>41</v>
      </c>
      <c r="M250" s="63" t="s">
        <v>5781</v>
      </c>
      <c r="N250" s="65">
        <v>45716</v>
      </c>
    </row>
    <row r="251" spans="1:14" ht="14.45" customHeight="1" x14ac:dyDescent="0.2">
      <c r="A251" s="59" t="s">
        <v>6697</v>
      </c>
      <c r="B251" s="60" t="s">
        <v>6196</v>
      </c>
      <c r="C251" s="60" t="s">
        <v>6698</v>
      </c>
      <c r="D251" s="40">
        <v>45570</v>
      </c>
      <c r="E251" s="61">
        <v>79</v>
      </c>
      <c r="F251" s="62">
        <v>79</v>
      </c>
      <c r="G251" s="63" t="s">
        <v>615</v>
      </c>
      <c r="H251" s="64" t="s">
        <v>2744</v>
      </c>
      <c r="I251" s="64" t="s">
        <v>2713</v>
      </c>
      <c r="J251" s="63" t="s">
        <v>530</v>
      </c>
      <c r="K251" s="64" t="s">
        <v>6699</v>
      </c>
      <c r="L251" s="63" t="s">
        <v>157</v>
      </c>
      <c r="M251" s="63" t="s">
        <v>5781</v>
      </c>
      <c r="N251" s="65">
        <v>45961</v>
      </c>
    </row>
    <row r="252" spans="1:14" ht="14.45" customHeight="1" x14ac:dyDescent="0.2">
      <c r="A252" s="59" t="s">
        <v>6887</v>
      </c>
      <c r="B252" s="60" t="s">
        <v>4855</v>
      </c>
      <c r="C252" s="60" t="s">
        <v>6888</v>
      </c>
      <c r="D252" s="40">
        <v>45572</v>
      </c>
      <c r="E252" s="61">
        <v>79.8</v>
      </c>
      <c r="F252" s="62">
        <v>79.8</v>
      </c>
      <c r="G252" s="63" t="s">
        <v>124</v>
      </c>
      <c r="H252" s="64" t="s">
        <v>6889</v>
      </c>
      <c r="I252" s="64" t="s">
        <v>2713</v>
      </c>
      <c r="J252" s="63" t="s">
        <v>530</v>
      </c>
      <c r="K252" s="64" t="s">
        <v>6890</v>
      </c>
      <c r="L252" s="63" t="s">
        <v>34</v>
      </c>
      <c r="M252" s="63" t="s">
        <v>5781</v>
      </c>
      <c r="N252" s="65">
        <v>45961</v>
      </c>
    </row>
    <row r="253" spans="1:14" ht="14.45" customHeight="1" x14ac:dyDescent="0.2">
      <c r="A253" s="59" t="s">
        <v>6700</v>
      </c>
      <c r="B253" s="60" t="s">
        <v>6701</v>
      </c>
      <c r="C253" s="60" t="s">
        <v>6702</v>
      </c>
      <c r="D253" s="40">
        <v>45572</v>
      </c>
      <c r="E253" s="61">
        <v>79.900000000000006</v>
      </c>
      <c r="F253" s="62">
        <v>79.900000000000006</v>
      </c>
      <c r="G253" s="63" t="s">
        <v>3505</v>
      </c>
      <c r="H253" s="64" t="s">
        <v>2788</v>
      </c>
      <c r="I253" s="64" t="s">
        <v>2713</v>
      </c>
      <c r="J253" s="63" t="s">
        <v>530</v>
      </c>
      <c r="K253" s="64" t="s">
        <v>6703</v>
      </c>
      <c r="L253" s="63" t="s">
        <v>157</v>
      </c>
      <c r="M253" s="63" t="s">
        <v>5781</v>
      </c>
      <c r="N253" s="65">
        <v>45716</v>
      </c>
    </row>
    <row r="254" spans="1:14" ht="14.45" customHeight="1" x14ac:dyDescent="0.2">
      <c r="A254" s="59" t="s">
        <v>7092</v>
      </c>
      <c r="B254" s="60" t="s">
        <v>6892</v>
      </c>
      <c r="C254" s="60" t="s">
        <v>4262</v>
      </c>
      <c r="D254" s="40">
        <v>45573</v>
      </c>
      <c r="E254" s="61">
        <v>150</v>
      </c>
      <c r="F254" s="62">
        <v>150</v>
      </c>
      <c r="G254" s="63" t="s">
        <v>615</v>
      </c>
      <c r="H254" s="64" t="s">
        <v>2728</v>
      </c>
      <c r="I254" s="64" t="s">
        <v>2713</v>
      </c>
      <c r="J254" s="63" t="s">
        <v>531</v>
      </c>
      <c r="K254" s="64" t="s">
        <v>7093</v>
      </c>
      <c r="L254" s="63" t="s">
        <v>157</v>
      </c>
      <c r="M254" s="63" t="s">
        <v>5781</v>
      </c>
      <c r="N254" s="65">
        <v>45961</v>
      </c>
    </row>
    <row r="255" spans="1:14" ht="14.45" customHeight="1" x14ac:dyDescent="0.2">
      <c r="A255" s="59" t="s">
        <v>6894</v>
      </c>
      <c r="B255" s="60" t="s">
        <v>5111</v>
      </c>
      <c r="C255" s="60" t="s">
        <v>6895</v>
      </c>
      <c r="D255" s="40">
        <v>45573</v>
      </c>
      <c r="E255" s="61">
        <v>199.5</v>
      </c>
      <c r="F255" s="62">
        <v>199.5</v>
      </c>
      <c r="G255" s="63" t="s">
        <v>3505</v>
      </c>
      <c r="H255" s="64" t="s">
        <v>2788</v>
      </c>
      <c r="I255" s="64" t="s">
        <v>2713</v>
      </c>
      <c r="J255" s="63" t="s">
        <v>530</v>
      </c>
      <c r="K255" s="64" t="s">
        <v>6896</v>
      </c>
      <c r="L255" s="63" t="s">
        <v>157</v>
      </c>
      <c r="M255" s="63" t="s">
        <v>5781</v>
      </c>
      <c r="N255" s="65">
        <v>45716</v>
      </c>
    </row>
    <row r="256" spans="1:14" ht="14.45" customHeight="1" x14ac:dyDescent="0.2">
      <c r="A256" s="59" t="s">
        <v>7268</v>
      </c>
      <c r="B256" s="60" t="s">
        <v>3254</v>
      </c>
      <c r="C256" s="60" t="s">
        <v>7269</v>
      </c>
      <c r="D256" s="40">
        <v>45573</v>
      </c>
      <c r="E256" s="61">
        <v>63.6</v>
      </c>
      <c r="F256" s="62">
        <v>68.61</v>
      </c>
      <c r="G256" s="63" t="s">
        <v>124</v>
      </c>
      <c r="H256" s="64" t="s">
        <v>2740</v>
      </c>
      <c r="I256" s="64" t="s">
        <v>2713</v>
      </c>
      <c r="J256" s="63" t="s">
        <v>530</v>
      </c>
      <c r="K256" s="64" t="s">
        <v>7270</v>
      </c>
      <c r="L256" s="63" t="s">
        <v>157</v>
      </c>
      <c r="M256" s="63">
        <v>0</v>
      </c>
      <c r="N256" s="65">
        <v>45596</v>
      </c>
    </row>
    <row r="257" spans="1:14" ht="14.45" customHeight="1" x14ac:dyDescent="0.2">
      <c r="A257" s="59" t="s">
        <v>7173</v>
      </c>
      <c r="B257" s="60" t="s">
        <v>3254</v>
      </c>
      <c r="C257" s="60" t="s">
        <v>7174</v>
      </c>
      <c r="D257" s="40">
        <v>45573</v>
      </c>
      <c r="E257" s="61">
        <v>100</v>
      </c>
      <c r="F257" s="62">
        <v>100</v>
      </c>
      <c r="G257" s="63" t="s">
        <v>55</v>
      </c>
      <c r="H257" s="64" t="s">
        <v>2732</v>
      </c>
      <c r="I257" s="64" t="s">
        <v>2713</v>
      </c>
      <c r="J257" s="63" t="s">
        <v>393</v>
      </c>
      <c r="K257" s="64" t="s">
        <v>3310</v>
      </c>
      <c r="L257" s="63" t="s">
        <v>34</v>
      </c>
      <c r="M257" s="63">
        <v>0</v>
      </c>
      <c r="N257" s="65">
        <v>45747</v>
      </c>
    </row>
    <row r="258" spans="1:14" ht="14.45" customHeight="1" x14ac:dyDescent="0.2">
      <c r="A258" s="59" t="s">
        <v>6897</v>
      </c>
      <c r="B258" s="60" t="s">
        <v>1264</v>
      </c>
      <c r="C258" s="60" t="s">
        <v>6898</v>
      </c>
      <c r="D258" s="40">
        <v>45573</v>
      </c>
      <c r="E258" s="61">
        <v>120</v>
      </c>
      <c r="F258" s="62">
        <v>120</v>
      </c>
      <c r="G258" s="63" t="s">
        <v>615</v>
      </c>
      <c r="H258" s="64" t="s">
        <v>2728</v>
      </c>
      <c r="I258" s="64" t="s">
        <v>2713</v>
      </c>
      <c r="J258" s="63" t="s">
        <v>531</v>
      </c>
      <c r="K258" s="64" t="s">
        <v>6899</v>
      </c>
      <c r="L258" s="63" t="s">
        <v>157</v>
      </c>
      <c r="M258" s="63">
        <v>0</v>
      </c>
      <c r="N258" s="65">
        <v>45657</v>
      </c>
    </row>
    <row r="259" spans="1:14" ht="14.45" customHeight="1" x14ac:dyDescent="0.2">
      <c r="A259" s="59" t="s">
        <v>6704</v>
      </c>
      <c r="B259" s="60" t="s">
        <v>1264</v>
      </c>
      <c r="C259" s="60" t="s">
        <v>6705</v>
      </c>
      <c r="D259" s="40">
        <v>45574</v>
      </c>
      <c r="E259" s="61">
        <v>100</v>
      </c>
      <c r="F259" s="62">
        <v>100</v>
      </c>
      <c r="G259" s="63" t="s">
        <v>615</v>
      </c>
      <c r="H259" s="64" t="s">
        <v>2699</v>
      </c>
      <c r="I259" s="64" t="s">
        <v>2713</v>
      </c>
      <c r="J259" s="63" t="s">
        <v>471</v>
      </c>
      <c r="K259" s="64" t="s">
        <v>6706</v>
      </c>
      <c r="L259" s="63" t="s">
        <v>157</v>
      </c>
      <c r="M259" s="63" t="s">
        <v>5781</v>
      </c>
      <c r="N259" s="65">
        <v>45961</v>
      </c>
    </row>
    <row r="260" spans="1:14" ht="14.45" customHeight="1" x14ac:dyDescent="0.2">
      <c r="A260" s="59" t="s">
        <v>6900</v>
      </c>
      <c r="B260" s="60" t="s">
        <v>7360</v>
      </c>
      <c r="C260" s="60" t="s">
        <v>4797</v>
      </c>
      <c r="D260" s="40">
        <v>45574</v>
      </c>
      <c r="E260" s="61">
        <v>170</v>
      </c>
      <c r="F260" s="62">
        <v>170</v>
      </c>
      <c r="G260" s="63" t="s">
        <v>615</v>
      </c>
      <c r="H260" s="64" t="s">
        <v>2716</v>
      </c>
      <c r="I260" s="64" t="s">
        <v>2713</v>
      </c>
      <c r="J260" s="63" t="s">
        <v>532</v>
      </c>
      <c r="K260" s="64" t="s">
        <v>6901</v>
      </c>
      <c r="L260" s="63" t="s">
        <v>87</v>
      </c>
      <c r="M260" s="63" t="s">
        <v>5781</v>
      </c>
      <c r="N260" s="65">
        <v>45747</v>
      </c>
    </row>
    <row r="261" spans="1:14" ht="14.45" customHeight="1" x14ac:dyDescent="0.2">
      <c r="A261" s="59" t="s">
        <v>7175</v>
      </c>
      <c r="B261" s="60" t="s">
        <v>7176</v>
      </c>
      <c r="C261" s="60" t="s">
        <v>7176</v>
      </c>
      <c r="D261" s="40">
        <v>45574</v>
      </c>
      <c r="E261" s="61">
        <v>300</v>
      </c>
      <c r="F261" s="62">
        <v>300</v>
      </c>
      <c r="G261" s="63" t="s">
        <v>55</v>
      </c>
      <c r="H261" s="64" t="s">
        <v>2774</v>
      </c>
      <c r="I261" s="64" t="s">
        <v>2749</v>
      </c>
      <c r="J261" s="63" t="s">
        <v>531</v>
      </c>
      <c r="K261" s="64" t="s">
        <v>7177</v>
      </c>
      <c r="L261" s="63" t="s">
        <v>34</v>
      </c>
      <c r="M261" s="63" t="s">
        <v>5781</v>
      </c>
      <c r="N261" s="65">
        <v>45777</v>
      </c>
    </row>
    <row r="262" spans="1:14" ht="14.45" customHeight="1" x14ac:dyDescent="0.2">
      <c r="A262" s="59" t="s">
        <v>7105</v>
      </c>
      <c r="B262" s="60" t="s">
        <v>4277</v>
      </c>
      <c r="C262" s="60" t="s">
        <v>7106</v>
      </c>
      <c r="D262" s="40">
        <v>45575</v>
      </c>
      <c r="E262" s="61">
        <v>200</v>
      </c>
      <c r="F262" s="62">
        <v>200</v>
      </c>
      <c r="G262" s="63" t="s">
        <v>615</v>
      </c>
      <c r="H262" s="64" t="s">
        <v>2777</v>
      </c>
      <c r="I262" s="64" t="s">
        <v>2713</v>
      </c>
      <c r="J262" s="63" t="s">
        <v>471</v>
      </c>
      <c r="K262" s="64" t="s">
        <v>7107</v>
      </c>
      <c r="L262" s="63" t="s">
        <v>157</v>
      </c>
      <c r="M262" s="63">
        <v>0</v>
      </c>
      <c r="N262" s="65">
        <v>45688</v>
      </c>
    </row>
    <row r="263" spans="1:14" ht="14.45" customHeight="1" x14ac:dyDescent="0.2">
      <c r="A263" s="59" t="s">
        <v>7178</v>
      </c>
      <c r="B263" s="60" t="s">
        <v>7179</v>
      </c>
      <c r="C263" s="60" t="s">
        <v>5928</v>
      </c>
      <c r="D263" s="40">
        <v>45575</v>
      </c>
      <c r="E263" s="61">
        <v>19.600000000000001</v>
      </c>
      <c r="F263" s="62">
        <v>19.600000000000001</v>
      </c>
      <c r="G263" s="63" t="s">
        <v>3505</v>
      </c>
      <c r="H263" s="64" t="s">
        <v>2788</v>
      </c>
      <c r="I263" s="64" t="s">
        <v>2713</v>
      </c>
      <c r="J263" s="63" t="s">
        <v>530</v>
      </c>
      <c r="K263" s="64" t="s">
        <v>7180</v>
      </c>
      <c r="L263" s="63" t="s">
        <v>7181</v>
      </c>
      <c r="M263" s="63">
        <v>0</v>
      </c>
      <c r="N263" s="65">
        <v>45657</v>
      </c>
    </row>
    <row r="264" spans="1:14" ht="14.45" customHeight="1" x14ac:dyDescent="0.2">
      <c r="A264" s="59" t="s">
        <v>7111</v>
      </c>
      <c r="B264" s="60" t="s">
        <v>7299</v>
      </c>
      <c r="C264" s="60" t="s">
        <v>7112</v>
      </c>
      <c r="D264" s="40">
        <v>45576</v>
      </c>
      <c r="E264" s="61">
        <v>125</v>
      </c>
      <c r="F264" s="62">
        <v>125</v>
      </c>
      <c r="G264" s="63" t="s">
        <v>615</v>
      </c>
      <c r="H264" s="64" t="s">
        <v>2719</v>
      </c>
      <c r="I264" s="64" t="s">
        <v>2713</v>
      </c>
      <c r="J264" s="63" t="s">
        <v>533</v>
      </c>
      <c r="K264" s="64" t="s">
        <v>7113</v>
      </c>
      <c r="L264" s="63" t="s">
        <v>403</v>
      </c>
      <c r="M264" s="63">
        <v>0</v>
      </c>
      <c r="N264" s="65">
        <v>45838</v>
      </c>
    </row>
    <row r="265" spans="1:14" ht="14.45" customHeight="1" x14ac:dyDescent="0.2">
      <c r="A265" s="59" t="s">
        <v>7182</v>
      </c>
      <c r="B265" s="60" t="s">
        <v>7183</v>
      </c>
      <c r="C265" s="60" t="s">
        <v>7184</v>
      </c>
      <c r="D265" s="40">
        <v>45576</v>
      </c>
      <c r="E265" s="61">
        <v>1152</v>
      </c>
      <c r="F265" s="62">
        <v>1229</v>
      </c>
      <c r="G265" s="63" t="s">
        <v>124</v>
      </c>
      <c r="H265" s="64" t="s">
        <v>2746</v>
      </c>
      <c r="I265" s="64" t="s">
        <v>2713</v>
      </c>
      <c r="J265" s="63" t="s">
        <v>532</v>
      </c>
      <c r="K265" s="64" t="s">
        <v>3552</v>
      </c>
      <c r="L265" s="63" t="s">
        <v>41</v>
      </c>
      <c r="M265" s="63">
        <v>0</v>
      </c>
      <c r="N265" s="65">
        <v>45747</v>
      </c>
    </row>
    <row r="266" spans="1:14" ht="14.45" customHeight="1" x14ac:dyDescent="0.2">
      <c r="A266" s="59" t="s">
        <v>7114</v>
      </c>
      <c r="B266" s="60" t="s">
        <v>7115</v>
      </c>
      <c r="C266" s="60" t="s">
        <v>3726</v>
      </c>
      <c r="D266" s="40">
        <v>45576</v>
      </c>
      <c r="E266" s="61">
        <v>50</v>
      </c>
      <c r="F266" s="62">
        <v>50</v>
      </c>
      <c r="G266" s="63" t="s">
        <v>615</v>
      </c>
      <c r="H266" s="64" t="s">
        <v>2717</v>
      </c>
      <c r="I266" s="64" t="s">
        <v>2713</v>
      </c>
      <c r="J266" s="63" t="s">
        <v>539</v>
      </c>
      <c r="K266" s="64" t="s">
        <v>7116</v>
      </c>
      <c r="L266" s="63" t="s">
        <v>1162</v>
      </c>
      <c r="M266" s="63" t="s">
        <v>5781</v>
      </c>
      <c r="N266" s="65">
        <v>45991</v>
      </c>
    </row>
    <row r="267" spans="1:14" ht="14.45" customHeight="1" x14ac:dyDescent="0.2">
      <c r="A267" s="59" t="s">
        <v>7256</v>
      </c>
      <c r="B267" s="60" t="s">
        <v>7257</v>
      </c>
      <c r="C267" s="60" t="s">
        <v>4008</v>
      </c>
      <c r="D267" s="40">
        <v>45577</v>
      </c>
      <c r="E267" s="61">
        <v>300</v>
      </c>
      <c r="F267" s="62">
        <v>300</v>
      </c>
      <c r="G267" s="63" t="s">
        <v>615</v>
      </c>
      <c r="H267" s="64" t="s">
        <v>2777</v>
      </c>
      <c r="I267" s="64" t="s">
        <v>2713</v>
      </c>
      <c r="J267" s="63" t="s">
        <v>539</v>
      </c>
      <c r="K267" s="64" t="s">
        <v>7258</v>
      </c>
      <c r="L267" s="63" t="s">
        <v>157</v>
      </c>
      <c r="M267" s="63">
        <v>0</v>
      </c>
      <c r="N267" s="65">
        <v>45626</v>
      </c>
    </row>
    <row r="268" spans="1:14" ht="14.45" customHeight="1" x14ac:dyDescent="0.2">
      <c r="A268" s="59" t="s">
        <v>7117</v>
      </c>
      <c r="B268" s="60" t="s">
        <v>4862</v>
      </c>
      <c r="C268" s="60" t="s">
        <v>3727</v>
      </c>
      <c r="D268" s="40">
        <v>45577</v>
      </c>
      <c r="E268" s="61">
        <v>100</v>
      </c>
      <c r="F268" s="62">
        <v>100</v>
      </c>
      <c r="G268" s="63" t="s">
        <v>615</v>
      </c>
      <c r="H268" s="64" t="s">
        <v>2717</v>
      </c>
      <c r="I268" s="64" t="s">
        <v>2713</v>
      </c>
      <c r="J268" s="63" t="s">
        <v>539</v>
      </c>
      <c r="K268" s="64" t="s">
        <v>7118</v>
      </c>
      <c r="L268" s="63" t="s">
        <v>1162</v>
      </c>
      <c r="M268" s="63">
        <v>0</v>
      </c>
      <c r="N268" s="65">
        <v>45688</v>
      </c>
    </row>
    <row r="269" spans="1:14" ht="14.45" customHeight="1" x14ac:dyDescent="0.2">
      <c r="A269" s="59" t="s">
        <v>7119</v>
      </c>
      <c r="B269" s="60" t="s">
        <v>4681</v>
      </c>
      <c r="C269" s="60" t="s">
        <v>7120</v>
      </c>
      <c r="D269" s="40">
        <v>45579</v>
      </c>
      <c r="E269" s="61">
        <v>78</v>
      </c>
      <c r="F269" s="62">
        <v>78</v>
      </c>
      <c r="G269" s="63" t="s">
        <v>55</v>
      </c>
      <c r="H269" s="64" t="s">
        <v>2737</v>
      </c>
      <c r="I269" s="64" t="s">
        <v>2713</v>
      </c>
      <c r="J269" s="63" t="s">
        <v>530</v>
      </c>
      <c r="K269" s="64" t="s">
        <v>7121</v>
      </c>
      <c r="L269" s="63" t="s">
        <v>157</v>
      </c>
      <c r="M269" s="63" t="s">
        <v>5781</v>
      </c>
      <c r="N269" s="65">
        <v>45747</v>
      </c>
    </row>
    <row r="270" spans="1:14" ht="14.45" customHeight="1" x14ac:dyDescent="0.2">
      <c r="A270" s="59" t="s">
        <v>7185</v>
      </c>
      <c r="B270" s="60" t="s">
        <v>3322</v>
      </c>
      <c r="C270" s="60" t="s">
        <v>3618</v>
      </c>
      <c r="D270" s="40">
        <v>45579</v>
      </c>
      <c r="E270" s="61">
        <v>200</v>
      </c>
      <c r="F270" s="62">
        <v>200</v>
      </c>
      <c r="G270" s="63" t="s">
        <v>55</v>
      </c>
      <c r="H270" s="64" t="s">
        <v>2766</v>
      </c>
      <c r="I270" s="64" t="s">
        <v>2713</v>
      </c>
      <c r="J270" s="63" t="s">
        <v>393</v>
      </c>
      <c r="K270" s="64" t="s">
        <v>7186</v>
      </c>
      <c r="L270" s="63" t="s">
        <v>34</v>
      </c>
      <c r="M270" s="63" t="s">
        <v>5781</v>
      </c>
      <c r="N270" s="65">
        <v>45991</v>
      </c>
    </row>
    <row r="271" spans="1:14" ht="14.45" customHeight="1" x14ac:dyDescent="0.2">
      <c r="A271" s="59" t="s">
        <v>7233</v>
      </c>
      <c r="B271" s="60" t="s">
        <v>7187</v>
      </c>
      <c r="C271" s="60" t="s">
        <v>7188</v>
      </c>
      <c r="D271" s="40">
        <v>45579</v>
      </c>
      <c r="E271" s="61">
        <v>79.900000000000006</v>
      </c>
      <c r="F271" s="62">
        <v>79.900000000000006</v>
      </c>
      <c r="G271" s="63" t="s">
        <v>55</v>
      </c>
      <c r="H271" s="64" t="s">
        <v>590</v>
      </c>
      <c r="I271" s="64" t="s">
        <v>2713</v>
      </c>
      <c r="J271" s="63" t="s">
        <v>393</v>
      </c>
      <c r="K271" s="64" t="s">
        <v>7207</v>
      </c>
      <c r="L271" s="63" t="s">
        <v>157</v>
      </c>
      <c r="M271" s="63" t="s">
        <v>5781</v>
      </c>
      <c r="N271" s="65">
        <v>45716</v>
      </c>
    </row>
    <row r="272" spans="1:14" ht="14.45" customHeight="1" x14ac:dyDescent="0.2">
      <c r="A272" s="59" t="s">
        <v>7189</v>
      </c>
      <c r="B272" s="60" t="s">
        <v>7190</v>
      </c>
      <c r="C272" s="60" t="s">
        <v>7190</v>
      </c>
      <c r="D272" s="40">
        <v>45579</v>
      </c>
      <c r="E272" s="61">
        <v>90</v>
      </c>
      <c r="F272" s="62">
        <v>90</v>
      </c>
      <c r="G272" s="63" t="s">
        <v>615</v>
      </c>
      <c r="H272" s="64" t="s">
        <v>2732</v>
      </c>
      <c r="I272" s="64" t="s">
        <v>2713</v>
      </c>
      <c r="J272" s="63" t="s">
        <v>393</v>
      </c>
      <c r="K272" s="64" t="s">
        <v>7191</v>
      </c>
      <c r="L272" s="63" t="s">
        <v>34</v>
      </c>
      <c r="M272" s="63" t="s">
        <v>5781</v>
      </c>
      <c r="N272" s="65">
        <v>45961</v>
      </c>
    </row>
    <row r="273" spans="1:14" ht="14.45" customHeight="1" x14ac:dyDescent="0.2">
      <c r="A273" s="59" t="s">
        <v>6904</v>
      </c>
      <c r="B273" s="60" t="s">
        <v>6905</v>
      </c>
      <c r="C273" s="60" t="s">
        <v>6906</v>
      </c>
      <c r="D273" s="40">
        <v>45580</v>
      </c>
      <c r="E273" s="61">
        <v>400</v>
      </c>
      <c r="F273" s="62">
        <v>400</v>
      </c>
      <c r="G273" s="63" t="s">
        <v>615</v>
      </c>
      <c r="H273" s="64" t="s">
        <v>2716</v>
      </c>
      <c r="I273" s="64" t="s">
        <v>2713</v>
      </c>
      <c r="J273" s="63" t="s">
        <v>532</v>
      </c>
      <c r="K273" s="64" t="s">
        <v>7122</v>
      </c>
      <c r="L273" s="63" t="s">
        <v>87</v>
      </c>
      <c r="M273" s="63">
        <v>0</v>
      </c>
      <c r="N273" s="65">
        <v>45747</v>
      </c>
    </row>
    <row r="274" spans="1:14" ht="14.45" customHeight="1" x14ac:dyDescent="0.2">
      <c r="A274" s="59" t="s">
        <v>7259</v>
      </c>
      <c r="B274" s="60" t="s">
        <v>7260</v>
      </c>
      <c r="C274" s="60" t="s">
        <v>7261</v>
      </c>
      <c r="D274" s="40">
        <v>45580</v>
      </c>
      <c r="E274" s="61">
        <v>70</v>
      </c>
      <c r="F274" s="62">
        <v>70</v>
      </c>
      <c r="G274" s="63" t="s">
        <v>615</v>
      </c>
      <c r="H274" s="64" t="s">
        <v>2716</v>
      </c>
      <c r="I274" s="64" t="s">
        <v>2713</v>
      </c>
      <c r="J274" s="63" t="s">
        <v>532</v>
      </c>
      <c r="K274" s="64" t="s">
        <v>7262</v>
      </c>
      <c r="L274" s="63" t="s">
        <v>87</v>
      </c>
      <c r="M274" s="63">
        <v>0</v>
      </c>
      <c r="N274" s="65">
        <v>45596</v>
      </c>
    </row>
    <row r="275" spans="1:14" ht="14.45" customHeight="1" x14ac:dyDescent="0.2">
      <c r="A275" s="59" t="s">
        <v>6910</v>
      </c>
      <c r="B275" s="60" t="s">
        <v>6911</v>
      </c>
      <c r="C275" s="60" t="s">
        <v>6912</v>
      </c>
      <c r="D275" s="40">
        <v>45580</v>
      </c>
      <c r="E275" s="61">
        <v>600</v>
      </c>
      <c r="F275" s="62">
        <v>600</v>
      </c>
      <c r="G275" s="63" t="s">
        <v>615</v>
      </c>
      <c r="H275" s="64" t="s">
        <v>2780</v>
      </c>
      <c r="I275" s="64" t="s">
        <v>2781</v>
      </c>
      <c r="J275" s="63" t="s">
        <v>533</v>
      </c>
      <c r="K275" s="64" t="s">
        <v>3731</v>
      </c>
      <c r="L275" s="63" t="s">
        <v>403</v>
      </c>
      <c r="M275" s="63">
        <v>0</v>
      </c>
      <c r="N275" s="65">
        <v>45716</v>
      </c>
    </row>
    <row r="276" spans="1:14" ht="14.45" customHeight="1" x14ac:dyDescent="0.2">
      <c r="A276" s="59" t="s">
        <v>6913</v>
      </c>
      <c r="B276" s="60" t="s">
        <v>6911</v>
      </c>
      <c r="C276" s="60" t="s">
        <v>6914</v>
      </c>
      <c r="D276" s="40">
        <v>45580</v>
      </c>
      <c r="E276" s="61">
        <v>400</v>
      </c>
      <c r="F276" s="62">
        <v>400</v>
      </c>
      <c r="G276" s="63" t="s">
        <v>615</v>
      </c>
      <c r="H276" s="64" t="s">
        <v>2780</v>
      </c>
      <c r="I276" s="64" t="s">
        <v>2781</v>
      </c>
      <c r="J276" s="63" t="s">
        <v>533</v>
      </c>
      <c r="K276" s="64" t="s">
        <v>6915</v>
      </c>
      <c r="L276" s="63" t="s">
        <v>6445</v>
      </c>
      <c r="M276" s="63">
        <v>0</v>
      </c>
      <c r="N276" s="65">
        <v>45688</v>
      </c>
    </row>
    <row r="277" spans="1:14" ht="14.45" customHeight="1" x14ac:dyDescent="0.2">
      <c r="A277" s="59" t="s">
        <v>7234</v>
      </c>
      <c r="B277" s="60" t="s">
        <v>7235</v>
      </c>
      <c r="C277" s="60" t="s">
        <v>7236</v>
      </c>
      <c r="D277" s="40">
        <v>45580</v>
      </c>
      <c r="E277" s="61">
        <v>360</v>
      </c>
      <c r="F277" s="62">
        <v>360</v>
      </c>
      <c r="G277" s="63" t="s">
        <v>615</v>
      </c>
      <c r="H277" s="64" t="s">
        <v>2741</v>
      </c>
      <c r="I277" s="64" t="s">
        <v>2713</v>
      </c>
      <c r="J277" s="63" t="s">
        <v>531</v>
      </c>
      <c r="K277" s="64" t="s">
        <v>7237</v>
      </c>
      <c r="L277" s="63" t="s">
        <v>157</v>
      </c>
      <c r="M277" s="63">
        <v>0</v>
      </c>
      <c r="N277" s="65">
        <v>45688</v>
      </c>
    </row>
    <row r="278" spans="1:14" ht="14.45" customHeight="1" x14ac:dyDescent="0.2">
      <c r="A278" s="59" t="s">
        <v>7192</v>
      </c>
      <c r="B278" s="60" t="s">
        <v>4249</v>
      </c>
      <c r="C278" s="60" t="s">
        <v>4250</v>
      </c>
      <c r="D278" s="40">
        <v>45580</v>
      </c>
      <c r="E278" s="61">
        <v>100</v>
      </c>
      <c r="F278" s="62">
        <v>100</v>
      </c>
      <c r="G278" s="63" t="s">
        <v>55</v>
      </c>
      <c r="H278" s="64" t="s">
        <v>2736</v>
      </c>
      <c r="I278" s="64" t="s">
        <v>2713</v>
      </c>
      <c r="J278" s="63" t="s">
        <v>471</v>
      </c>
      <c r="K278" s="64" t="s">
        <v>7193</v>
      </c>
      <c r="L278" s="63" t="s">
        <v>157</v>
      </c>
      <c r="M278" s="63">
        <v>0</v>
      </c>
      <c r="N278" s="65">
        <v>45838</v>
      </c>
    </row>
    <row r="279" spans="1:14" ht="14.45" customHeight="1" x14ac:dyDescent="0.2">
      <c r="A279" s="59" t="s">
        <v>6919</v>
      </c>
      <c r="B279" s="60" t="s">
        <v>7593</v>
      </c>
      <c r="C279" s="60" t="s">
        <v>6920</v>
      </c>
      <c r="D279" s="40">
        <v>45580</v>
      </c>
      <c r="E279" s="61">
        <v>300</v>
      </c>
      <c r="F279" s="62">
        <v>300</v>
      </c>
      <c r="G279" s="63" t="s">
        <v>615</v>
      </c>
      <c r="H279" s="64" t="s">
        <v>2717</v>
      </c>
      <c r="I279" s="64" t="s">
        <v>2713</v>
      </c>
      <c r="J279" s="63" t="s">
        <v>539</v>
      </c>
      <c r="K279" s="64" t="s">
        <v>6918</v>
      </c>
      <c r="L279" s="63" t="s">
        <v>1162</v>
      </c>
      <c r="M279" s="63" t="s">
        <v>5781</v>
      </c>
      <c r="N279" s="65">
        <v>45716</v>
      </c>
    </row>
    <row r="280" spans="1:14" ht="14.45" customHeight="1" x14ac:dyDescent="0.2">
      <c r="A280" s="59" t="s">
        <v>7271</v>
      </c>
      <c r="B280" s="60" t="s">
        <v>4036</v>
      </c>
      <c r="C280" s="60" t="s">
        <v>7272</v>
      </c>
      <c r="D280" s="40">
        <v>45580</v>
      </c>
      <c r="E280" s="61">
        <v>100</v>
      </c>
      <c r="F280" s="62">
        <v>100</v>
      </c>
      <c r="G280" s="63" t="s">
        <v>55</v>
      </c>
      <c r="H280" s="64" t="s">
        <v>2738</v>
      </c>
      <c r="I280" s="64" t="s">
        <v>2713</v>
      </c>
      <c r="J280" s="63" t="s">
        <v>420</v>
      </c>
      <c r="K280" s="64" t="s">
        <v>7273</v>
      </c>
      <c r="L280" s="63" t="s">
        <v>157</v>
      </c>
      <c r="M280" s="63">
        <v>0</v>
      </c>
      <c r="N280" s="65">
        <v>45596</v>
      </c>
    </row>
    <row r="281" spans="1:14" ht="14.45" customHeight="1" x14ac:dyDescent="0.2">
      <c r="A281" s="59" t="s">
        <v>7274</v>
      </c>
      <c r="B281" s="60" t="s">
        <v>7275</v>
      </c>
      <c r="C281" s="60" t="s">
        <v>4032</v>
      </c>
      <c r="D281" s="40">
        <v>45580</v>
      </c>
      <c r="E281" s="61">
        <v>125</v>
      </c>
      <c r="F281" s="62">
        <v>125</v>
      </c>
      <c r="G281" s="63" t="s">
        <v>55</v>
      </c>
      <c r="H281" s="64" t="s">
        <v>2736</v>
      </c>
      <c r="I281" s="64" t="s">
        <v>2713</v>
      </c>
      <c r="J281" s="63" t="s">
        <v>471</v>
      </c>
      <c r="K281" s="64" t="s">
        <v>7276</v>
      </c>
      <c r="L281" s="63" t="s">
        <v>41</v>
      </c>
      <c r="M281" s="63" t="s">
        <v>5781</v>
      </c>
      <c r="N281" s="65">
        <v>45991</v>
      </c>
    </row>
    <row r="282" spans="1:14" ht="14.45" customHeight="1" x14ac:dyDescent="0.2">
      <c r="A282" s="59" t="s">
        <v>7263</v>
      </c>
      <c r="B282" s="60" t="s">
        <v>5669</v>
      </c>
      <c r="C282" s="60" t="s">
        <v>7264</v>
      </c>
      <c r="D282" s="40">
        <v>45580</v>
      </c>
      <c r="E282" s="61">
        <v>19.600000000000001</v>
      </c>
      <c r="F282" s="62">
        <v>19.600000000000001</v>
      </c>
      <c r="G282" s="63" t="s">
        <v>55</v>
      </c>
      <c r="H282" s="64" t="s">
        <v>2772</v>
      </c>
      <c r="I282" s="64" t="s">
        <v>2713</v>
      </c>
      <c r="J282" s="63" t="s">
        <v>393</v>
      </c>
      <c r="K282" s="64" t="s">
        <v>7265</v>
      </c>
      <c r="L282" s="63" t="s">
        <v>34</v>
      </c>
      <c r="M282" s="63">
        <v>0</v>
      </c>
      <c r="N282" s="65">
        <v>45596</v>
      </c>
    </row>
    <row r="283" spans="1:14" ht="14.45" customHeight="1" x14ac:dyDescent="0.2">
      <c r="A283" s="59" t="s">
        <v>7194</v>
      </c>
      <c r="B283" s="60" t="s">
        <v>7195</v>
      </c>
      <c r="C283" s="60" t="s">
        <v>7196</v>
      </c>
      <c r="D283" s="40">
        <v>45580</v>
      </c>
      <c r="E283" s="61">
        <v>100</v>
      </c>
      <c r="F283" s="62">
        <v>100</v>
      </c>
      <c r="G283" s="63" t="s">
        <v>124</v>
      </c>
      <c r="H283" s="64" t="s">
        <v>2744</v>
      </c>
      <c r="I283" s="64" t="s">
        <v>2713</v>
      </c>
      <c r="J283" s="63" t="s">
        <v>530</v>
      </c>
      <c r="K283" s="64" t="s">
        <v>7197</v>
      </c>
      <c r="L283" s="63" t="s">
        <v>157</v>
      </c>
      <c r="M283" s="63" t="s">
        <v>5781</v>
      </c>
      <c r="N283" s="65">
        <v>45838</v>
      </c>
    </row>
    <row r="284" spans="1:14" ht="14.45" customHeight="1" x14ac:dyDescent="0.2">
      <c r="A284" s="59" t="s">
        <v>6925</v>
      </c>
      <c r="B284" s="60" t="s">
        <v>6905</v>
      </c>
      <c r="C284" s="60" t="s">
        <v>6926</v>
      </c>
      <c r="D284" s="40">
        <v>45580</v>
      </c>
      <c r="E284" s="61">
        <v>300</v>
      </c>
      <c r="F284" s="62">
        <v>300</v>
      </c>
      <c r="G284" s="63" t="s">
        <v>615</v>
      </c>
      <c r="H284" s="64" t="s">
        <v>2775</v>
      </c>
      <c r="I284" s="64" t="s">
        <v>2713</v>
      </c>
      <c r="J284" s="63" t="s">
        <v>531</v>
      </c>
      <c r="K284" s="64" t="s">
        <v>6946</v>
      </c>
      <c r="L284" s="63" t="s">
        <v>157</v>
      </c>
      <c r="M284" s="63">
        <v>0</v>
      </c>
      <c r="N284" s="65">
        <v>45747</v>
      </c>
    </row>
    <row r="285" spans="1:14" ht="14.45" customHeight="1" x14ac:dyDescent="0.2">
      <c r="A285" s="59" t="s">
        <v>7266</v>
      </c>
      <c r="B285" s="60" t="s">
        <v>6757</v>
      </c>
      <c r="C285" s="60" t="s">
        <v>6758</v>
      </c>
      <c r="D285" s="40">
        <v>45580</v>
      </c>
      <c r="E285" s="61">
        <v>50</v>
      </c>
      <c r="F285" s="62">
        <v>50</v>
      </c>
      <c r="G285" s="63" t="s">
        <v>124</v>
      </c>
      <c r="H285" s="64" t="s">
        <v>2751</v>
      </c>
      <c r="I285" s="64" t="s">
        <v>2749</v>
      </c>
      <c r="J285" s="63" t="s">
        <v>393</v>
      </c>
      <c r="K285" s="64" t="s">
        <v>7267</v>
      </c>
      <c r="L285" s="63" t="s">
        <v>34</v>
      </c>
      <c r="M285" s="63">
        <v>0</v>
      </c>
      <c r="N285" s="65">
        <v>45596</v>
      </c>
    </row>
    <row r="286" spans="1:14" ht="14.45" customHeight="1" x14ac:dyDescent="0.2">
      <c r="A286" s="59" t="s">
        <v>7277</v>
      </c>
      <c r="B286" s="60" t="s">
        <v>7278</v>
      </c>
      <c r="C286" s="60" t="s">
        <v>7279</v>
      </c>
      <c r="D286" s="40">
        <v>45580</v>
      </c>
      <c r="E286" s="61">
        <v>328.9</v>
      </c>
      <c r="F286" s="62">
        <v>328.9</v>
      </c>
      <c r="G286" s="63" t="s">
        <v>615</v>
      </c>
      <c r="H286" s="64" t="s">
        <v>7280</v>
      </c>
      <c r="I286" s="64" t="s">
        <v>2713</v>
      </c>
      <c r="J286" s="63" t="s">
        <v>533</v>
      </c>
      <c r="K286" s="64" t="s">
        <v>7281</v>
      </c>
      <c r="L286" s="63" t="s">
        <v>403</v>
      </c>
      <c r="M286" s="63">
        <v>0</v>
      </c>
      <c r="N286" s="65">
        <v>45596</v>
      </c>
    </row>
    <row r="287" spans="1:14" ht="14.45" customHeight="1" x14ac:dyDescent="0.2">
      <c r="A287" s="59" t="s">
        <v>6708</v>
      </c>
      <c r="B287" s="60" t="s">
        <v>6709</v>
      </c>
      <c r="C287" s="60" t="s">
        <v>3169</v>
      </c>
      <c r="D287" s="40">
        <v>45553</v>
      </c>
      <c r="E287" s="61"/>
      <c r="F287" s="62"/>
      <c r="G287" s="63" t="s">
        <v>615</v>
      </c>
      <c r="H287" s="64" t="s">
        <v>2716</v>
      </c>
      <c r="I287" s="64" t="s">
        <v>2713</v>
      </c>
      <c r="J287" s="63" t="s">
        <v>532</v>
      </c>
      <c r="K287" s="64" t="s">
        <v>6710</v>
      </c>
      <c r="L287" s="63" t="s">
        <v>87</v>
      </c>
      <c r="M287" s="63">
        <v>0</v>
      </c>
      <c r="N287" s="65">
        <v>45657</v>
      </c>
    </row>
    <row r="288" spans="1:14" ht="14.45" customHeight="1" x14ac:dyDescent="0.2">
      <c r="A288" s="59" t="s">
        <v>6932</v>
      </c>
      <c r="B288" s="60" t="s">
        <v>3398</v>
      </c>
      <c r="C288" s="60" t="s">
        <v>3399</v>
      </c>
      <c r="D288" s="40">
        <v>45580</v>
      </c>
      <c r="E288" s="61"/>
      <c r="F288" s="62"/>
      <c r="G288" s="63" t="s">
        <v>615</v>
      </c>
      <c r="H288" s="64" t="s">
        <v>2716</v>
      </c>
      <c r="J288" s="63" t="s">
        <v>532</v>
      </c>
      <c r="K288" s="64" t="s">
        <v>4904</v>
      </c>
      <c r="L288" s="63" t="s">
        <v>87</v>
      </c>
      <c r="M288" s="63">
        <v>0</v>
      </c>
      <c r="N288" s="65">
        <v>45596</v>
      </c>
    </row>
  </sheetData>
  <autoFilter ref="A2:N2" xr:uid="{A4516C1D-CE72-485A-B1C0-CD38865F2D19}">
    <sortState xmlns:xlrd2="http://schemas.microsoft.com/office/spreadsheetml/2017/richdata2" ref="A3:N37">
      <sortCondition ref="A2"/>
    </sortState>
  </autoFilter>
  <sortState xmlns:xlrd2="http://schemas.microsoft.com/office/spreadsheetml/2017/richdata2" ref="A3:U307">
    <sortCondition ref="A3:A307"/>
  </sortState>
  <mergeCells count="1">
    <mergeCell ref="A1:N1"/>
  </mergeCells>
  <conditionalFormatting sqref="A1:A1048576">
    <cfRule type="duplicateValues" dxfId="15" priority="13"/>
    <cfRule type="duplicateValues" dxfId="14" priority="32"/>
  </conditionalFormatting>
  <conditionalFormatting sqref="A3:A288">
    <cfRule type="duplicateValues" dxfId="13" priority="946"/>
    <cfRule type="duplicateValues" dxfId="12" priority="947"/>
    <cfRule type="duplicateValues" dxfId="11" priority="948"/>
    <cfRule type="duplicateValues" dxfId="10" priority="949"/>
    <cfRule type="duplicateValues" dxfId="9" priority="950"/>
  </conditionalFormatting>
  <conditionalFormatting sqref="R51">
    <cfRule type="duplicateValues" dxfId="8" priority="31"/>
  </conditionalFormatting>
  <conditionalFormatting sqref="R89">
    <cfRule type="duplicateValues" dxfId="7" priority="33"/>
  </conditionalFormatting>
  <pageMargins left="0.7" right="0.7" top="0.75" bottom="0.75" header="0.3" footer="0.3"/>
  <pageSetup orientation="portrait" r:id="rId1"/>
  <headerFooter>
    <oddFooter>&amp;RUpdated: 07/31/2026</oddFooter>
  </headerFooter>
  <ignoredErrors>
    <ignoredError sqref="M211:M288 M174:M209 M3:M17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59"/>
  <sheetViews>
    <sheetView showGridLines="0" showOutlineSymbols="0" topLeftCell="A130" zoomScaleNormal="100" zoomScaleSheetLayoutView="75" workbookViewId="0">
      <selection activeCell="B161" sqref="B161:B162"/>
    </sheetView>
  </sheetViews>
  <sheetFormatPr defaultColWidth="9.6640625" defaultRowHeight="15" x14ac:dyDescent="0.2"/>
  <cols>
    <col min="1" max="1" width="7.77734375" style="16" bestFit="1" customWidth="1"/>
    <col min="2" max="2" width="26.5546875" style="16" bestFit="1" customWidth="1"/>
    <col min="3" max="3" width="23.33203125" style="115" bestFit="1" customWidth="1"/>
    <col min="4" max="4" width="8.33203125" style="115" bestFit="1" customWidth="1"/>
    <col min="5" max="6" width="5.88671875" style="116" customWidth="1"/>
    <col min="7" max="7" width="5.88671875" style="16" customWidth="1"/>
    <col min="8" max="8" width="12.5546875" style="117" customWidth="1"/>
    <col min="9" max="9" width="5.44140625" style="117" customWidth="1"/>
    <col min="10" max="10" width="4.109375" style="117" customWidth="1"/>
    <col min="11" max="11" width="22.88671875" style="117" customWidth="1"/>
    <col min="12" max="12" width="21.21875" style="117" bestFit="1" customWidth="1"/>
    <col min="13" max="13" width="4.109375" style="117" customWidth="1"/>
    <col min="14" max="14" width="9" style="118" bestFit="1" customWidth="1"/>
    <col min="15" max="15" width="10" style="117" customWidth="1"/>
    <col min="16" max="16" width="8.109375" style="117" customWidth="1"/>
    <col min="17" max="17" width="11.44140625" style="119" bestFit="1" customWidth="1"/>
    <col min="18" max="16384" width="9.6640625" style="16"/>
  </cols>
  <sheetData>
    <row r="1" spans="1:17" ht="18" customHeight="1" x14ac:dyDescent="0.2">
      <c r="A1" s="73" t="s">
        <v>212</v>
      </c>
      <c r="B1" s="74"/>
      <c r="C1" s="74"/>
      <c r="D1" s="13" t="s">
        <v>232</v>
      </c>
      <c r="E1" s="13" t="s">
        <v>230</v>
      </c>
      <c r="F1" s="13" t="s">
        <v>231</v>
      </c>
      <c r="G1" s="13" t="s">
        <v>250</v>
      </c>
      <c r="H1" s="209" t="s">
        <v>246</v>
      </c>
      <c r="I1" s="210"/>
      <c r="J1" s="205" t="s">
        <v>529</v>
      </c>
      <c r="K1" s="13" t="s">
        <v>247</v>
      </c>
      <c r="L1" s="13"/>
      <c r="M1" s="13"/>
      <c r="N1" s="207" t="s">
        <v>363</v>
      </c>
      <c r="O1" s="13" t="s">
        <v>251</v>
      </c>
      <c r="P1" s="75" t="s">
        <v>803</v>
      </c>
      <c r="Q1" s="75" t="s">
        <v>803</v>
      </c>
    </row>
    <row r="2" spans="1:17" ht="18" customHeight="1" thickBot="1" x14ac:dyDescent="0.25">
      <c r="A2" s="76" t="s">
        <v>213</v>
      </c>
      <c r="B2" s="77" t="s">
        <v>33</v>
      </c>
      <c r="C2" s="77" t="s">
        <v>0</v>
      </c>
      <c r="D2" s="14" t="s">
        <v>233</v>
      </c>
      <c r="E2" s="14" t="s">
        <v>53</v>
      </c>
      <c r="F2" s="14" t="s">
        <v>53</v>
      </c>
      <c r="G2" s="14" t="s">
        <v>249</v>
      </c>
      <c r="H2" s="14" t="s">
        <v>2710</v>
      </c>
      <c r="I2" s="14" t="s">
        <v>2711</v>
      </c>
      <c r="J2" s="206"/>
      <c r="K2" s="14" t="s">
        <v>56</v>
      </c>
      <c r="L2" s="14" t="s">
        <v>85</v>
      </c>
      <c r="M2" s="14" t="s">
        <v>55</v>
      </c>
      <c r="N2" s="208"/>
      <c r="O2" s="14" t="s">
        <v>252</v>
      </c>
      <c r="P2" s="14" t="s">
        <v>804</v>
      </c>
      <c r="Q2" s="78" t="s">
        <v>805</v>
      </c>
    </row>
    <row r="3" spans="1:17" s="83" customFormat="1" ht="18" customHeight="1" x14ac:dyDescent="0.2">
      <c r="A3" s="79" t="s">
        <v>4387</v>
      </c>
      <c r="B3" s="11" t="s">
        <v>199</v>
      </c>
      <c r="C3" s="11" t="s">
        <v>2925</v>
      </c>
      <c r="D3" s="80">
        <v>32766</v>
      </c>
      <c r="E3" s="30" t="s">
        <v>54</v>
      </c>
      <c r="F3" s="81" t="s">
        <v>54</v>
      </c>
      <c r="G3" s="5" t="s">
        <v>256</v>
      </c>
      <c r="H3" s="10" t="s">
        <v>3154</v>
      </c>
      <c r="I3" s="10" t="s">
        <v>2713</v>
      </c>
      <c r="J3" s="5" t="s">
        <v>539</v>
      </c>
      <c r="K3" s="11" t="s">
        <v>57</v>
      </c>
      <c r="L3" s="5" t="s">
        <v>41</v>
      </c>
      <c r="M3" s="5" t="s">
        <v>2423</v>
      </c>
      <c r="N3" s="82">
        <v>37346</v>
      </c>
      <c r="O3" s="5" t="s">
        <v>2628</v>
      </c>
      <c r="P3" s="5" t="s">
        <v>1041</v>
      </c>
      <c r="Q3" s="5" t="s">
        <v>54</v>
      </c>
    </row>
    <row r="4" spans="1:17" s="83" customFormat="1" ht="18" customHeight="1" x14ac:dyDescent="0.2">
      <c r="A4" s="79" t="s">
        <v>4388</v>
      </c>
      <c r="B4" s="11" t="s">
        <v>2926</v>
      </c>
      <c r="C4" s="11" t="s">
        <v>2927</v>
      </c>
      <c r="D4" s="80">
        <v>35912</v>
      </c>
      <c r="E4" s="30">
        <v>1080</v>
      </c>
      <c r="F4" s="30"/>
      <c r="G4" s="5" t="s">
        <v>340</v>
      </c>
      <c r="H4" s="11" t="s">
        <v>3155</v>
      </c>
      <c r="I4" s="10" t="s">
        <v>2713</v>
      </c>
      <c r="J4" s="5" t="s">
        <v>471</v>
      </c>
      <c r="K4" s="11" t="s">
        <v>2928</v>
      </c>
      <c r="L4" s="5" t="s">
        <v>157</v>
      </c>
      <c r="M4" s="5" t="s">
        <v>2423</v>
      </c>
      <c r="N4" s="82">
        <v>38138</v>
      </c>
      <c r="O4" s="5" t="s">
        <v>254</v>
      </c>
      <c r="P4" s="26" t="s">
        <v>1041</v>
      </c>
      <c r="Q4" s="5" t="s">
        <v>54</v>
      </c>
    </row>
    <row r="5" spans="1:17" s="83" customFormat="1" ht="18" customHeight="1" x14ac:dyDescent="0.2">
      <c r="A5" s="79" t="s">
        <v>4389</v>
      </c>
      <c r="B5" s="11" t="s">
        <v>2929</v>
      </c>
      <c r="C5" s="11" t="s">
        <v>2703</v>
      </c>
      <c r="D5" s="27">
        <v>35912</v>
      </c>
      <c r="E5" s="30">
        <v>350</v>
      </c>
      <c r="F5" s="30"/>
      <c r="G5" s="5" t="s">
        <v>340</v>
      </c>
      <c r="H5" s="11" t="s">
        <v>2759</v>
      </c>
      <c r="I5" s="10" t="s">
        <v>2713</v>
      </c>
      <c r="J5" s="5" t="s">
        <v>471</v>
      </c>
      <c r="K5" s="11" t="s">
        <v>2930</v>
      </c>
      <c r="L5" s="5" t="s">
        <v>157</v>
      </c>
      <c r="M5" s="5" t="s">
        <v>2423</v>
      </c>
      <c r="N5" s="82">
        <v>38564</v>
      </c>
      <c r="O5" s="5" t="s">
        <v>254</v>
      </c>
      <c r="P5" s="26" t="s">
        <v>1041</v>
      </c>
      <c r="Q5" s="5" t="s">
        <v>54</v>
      </c>
    </row>
    <row r="6" spans="1:17" s="83" customFormat="1" ht="18" customHeight="1" x14ac:dyDescent="0.2">
      <c r="A6" s="79" t="s">
        <v>4390</v>
      </c>
      <c r="B6" s="11" t="s">
        <v>52</v>
      </c>
      <c r="C6" s="11" t="s">
        <v>2931</v>
      </c>
      <c r="D6" s="80">
        <v>35996</v>
      </c>
      <c r="E6" s="30">
        <v>330</v>
      </c>
      <c r="F6" s="30"/>
      <c r="G6" s="5" t="s">
        <v>253</v>
      </c>
      <c r="H6" s="11" t="s">
        <v>80</v>
      </c>
      <c r="I6" s="10" t="s">
        <v>2713</v>
      </c>
      <c r="J6" s="5" t="s">
        <v>532</v>
      </c>
      <c r="K6" s="11" t="s">
        <v>58</v>
      </c>
      <c r="L6" s="5" t="s">
        <v>87</v>
      </c>
      <c r="M6" s="5" t="s">
        <v>2423</v>
      </c>
      <c r="N6" s="82">
        <v>37986</v>
      </c>
      <c r="O6" s="5" t="s">
        <v>2932</v>
      </c>
      <c r="P6" s="26" t="s">
        <v>1041</v>
      </c>
      <c r="Q6" s="5" t="s">
        <v>1041</v>
      </c>
    </row>
    <row r="7" spans="1:17" s="83" customFormat="1" ht="18" customHeight="1" x14ac:dyDescent="0.2">
      <c r="A7" s="79" t="s">
        <v>4391</v>
      </c>
      <c r="B7" s="11" t="s">
        <v>2933</v>
      </c>
      <c r="C7" s="11" t="s">
        <v>2934</v>
      </c>
      <c r="D7" s="80">
        <v>36244</v>
      </c>
      <c r="E7" s="30">
        <v>20</v>
      </c>
      <c r="F7" s="80"/>
      <c r="G7" s="5" t="s">
        <v>340</v>
      </c>
      <c r="H7" s="11" t="s">
        <v>384</v>
      </c>
      <c r="I7" s="10" t="s">
        <v>2713</v>
      </c>
      <c r="J7" s="5" t="s">
        <v>533</v>
      </c>
      <c r="K7" s="11" t="s">
        <v>63</v>
      </c>
      <c r="L7" s="5" t="s">
        <v>86</v>
      </c>
      <c r="M7" s="5" t="s">
        <v>2423</v>
      </c>
      <c r="N7" s="82">
        <v>37346</v>
      </c>
      <c r="O7" s="5"/>
      <c r="P7" s="5" t="s">
        <v>1041</v>
      </c>
      <c r="Q7" s="5" t="s">
        <v>1041</v>
      </c>
    </row>
    <row r="8" spans="1:17" s="10" customFormat="1" ht="15.75" customHeight="1" x14ac:dyDescent="0.2">
      <c r="A8" s="79" t="s">
        <v>4392</v>
      </c>
      <c r="B8" s="11" t="s">
        <v>48</v>
      </c>
      <c r="C8" s="11" t="s">
        <v>1894</v>
      </c>
      <c r="D8" s="80">
        <v>36271</v>
      </c>
      <c r="E8" s="30">
        <v>270</v>
      </c>
      <c r="F8" s="30"/>
      <c r="G8" s="5" t="s">
        <v>340</v>
      </c>
      <c r="H8" s="11" t="s">
        <v>2713</v>
      </c>
      <c r="I8" s="10" t="s">
        <v>2713</v>
      </c>
      <c r="J8" s="5" t="s">
        <v>533</v>
      </c>
      <c r="K8" s="11" t="s">
        <v>177</v>
      </c>
      <c r="L8" s="5" t="s">
        <v>86</v>
      </c>
      <c r="M8" s="5" t="s">
        <v>2423</v>
      </c>
      <c r="N8" s="84"/>
      <c r="O8" s="5" t="s">
        <v>2939</v>
      </c>
      <c r="P8" s="5" t="s">
        <v>1041</v>
      </c>
      <c r="Q8" s="5" t="s">
        <v>1041</v>
      </c>
    </row>
    <row r="9" spans="1:17" s="10" customFormat="1" ht="17.25" customHeight="1" x14ac:dyDescent="0.2">
      <c r="A9" s="79" t="s">
        <v>4393</v>
      </c>
      <c r="B9" s="11" t="s">
        <v>41</v>
      </c>
      <c r="C9" s="11" t="s">
        <v>2940</v>
      </c>
      <c r="D9" s="27">
        <v>36280</v>
      </c>
      <c r="E9" s="30">
        <v>500</v>
      </c>
      <c r="F9" s="30"/>
      <c r="G9" s="5" t="s">
        <v>340</v>
      </c>
      <c r="H9" s="11" t="s">
        <v>2719</v>
      </c>
      <c r="I9" s="10" t="s">
        <v>2713</v>
      </c>
      <c r="J9" s="5" t="s">
        <v>533</v>
      </c>
      <c r="K9" s="11" t="s">
        <v>271</v>
      </c>
      <c r="L9" s="5" t="s">
        <v>86</v>
      </c>
      <c r="M9" s="5" t="s">
        <v>2423</v>
      </c>
      <c r="N9" s="82">
        <v>39504</v>
      </c>
      <c r="O9" s="5" t="s">
        <v>2941</v>
      </c>
      <c r="P9" s="26" t="s">
        <v>1041</v>
      </c>
      <c r="Q9" s="5" t="s">
        <v>1041</v>
      </c>
    </row>
    <row r="10" spans="1:17" s="10" customFormat="1" ht="17.25" customHeight="1" x14ac:dyDescent="0.2">
      <c r="A10" s="79" t="s">
        <v>4394</v>
      </c>
      <c r="B10" s="11" t="s">
        <v>2942</v>
      </c>
      <c r="C10" s="11" t="s">
        <v>2943</v>
      </c>
      <c r="D10" s="27">
        <v>36382</v>
      </c>
      <c r="E10" s="30">
        <v>288</v>
      </c>
      <c r="F10" s="30"/>
      <c r="G10" s="5" t="s">
        <v>340</v>
      </c>
      <c r="H10" s="11" t="s">
        <v>2713</v>
      </c>
      <c r="I10" s="10" t="s">
        <v>2713</v>
      </c>
      <c r="J10" s="5" t="s">
        <v>533</v>
      </c>
      <c r="K10" s="11" t="s">
        <v>2944</v>
      </c>
      <c r="L10" s="5" t="s">
        <v>86</v>
      </c>
      <c r="M10" s="5" t="s">
        <v>2423</v>
      </c>
      <c r="N10" s="82"/>
      <c r="O10" s="5" t="s">
        <v>2941</v>
      </c>
      <c r="P10" s="5" t="s">
        <v>1041</v>
      </c>
      <c r="Q10" s="5" t="s">
        <v>1041</v>
      </c>
    </row>
    <row r="11" spans="1:17" s="10" customFormat="1" ht="17.25" customHeight="1" x14ac:dyDescent="0.2">
      <c r="A11" s="79" t="s">
        <v>4395</v>
      </c>
      <c r="B11" s="11" t="s">
        <v>2945</v>
      </c>
      <c r="C11" s="11" t="s">
        <v>4833</v>
      </c>
      <c r="D11" s="27">
        <v>36480</v>
      </c>
      <c r="E11" s="30">
        <v>500</v>
      </c>
      <c r="F11" s="30"/>
      <c r="G11" s="5" t="s">
        <v>340</v>
      </c>
      <c r="H11" s="11" t="s">
        <v>2719</v>
      </c>
      <c r="I11" s="10" t="s">
        <v>2713</v>
      </c>
      <c r="J11" s="5" t="s">
        <v>533</v>
      </c>
      <c r="K11" s="11" t="s">
        <v>271</v>
      </c>
      <c r="L11" s="5" t="s">
        <v>86</v>
      </c>
      <c r="M11" s="5" t="s">
        <v>2423</v>
      </c>
      <c r="N11" s="82">
        <v>39504</v>
      </c>
      <c r="O11" s="5" t="s">
        <v>2941</v>
      </c>
      <c r="P11" s="26" t="s">
        <v>2946</v>
      </c>
      <c r="Q11" s="26" t="s">
        <v>2946</v>
      </c>
    </row>
    <row r="12" spans="1:17" s="10" customFormat="1" ht="17.25" customHeight="1" x14ac:dyDescent="0.2">
      <c r="A12" s="79" t="s">
        <v>4396</v>
      </c>
      <c r="B12" s="11" t="s">
        <v>2947</v>
      </c>
      <c r="C12" s="11" t="s">
        <v>2948</v>
      </c>
      <c r="D12" s="80">
        <v>36599</v>
      </c>
      <c r="E12" s="30">
        <v>30</v>
      </c>
      <c r="F12" s="80"/>
      <c r="G12" s="5" t="s">
        <v>124</v>
      </c>
      <c r="H12" s="85" t="s">
        <v>2729</v>
      </c>
      <c r="I12" s="85" t="s">
        <v>2713</v>
      </c>
      <c r="J12" s="5" t="s">
        <v>393</v>
      </c>
      <c r="K12" s="11" t="s">
        <v>2949</v>
      </c>
      <c r="L12" s="5" t="s">
        <v>157</v>
      </c>
      <c r="M12" s="5" t="s">
        <v>2423</v>
      </c>
      <c r="N12" s="86"/>
      <c r="O12" s="5" t="s">
        <v>2950</v>
      </c>
      <c r="P12" s="26" t="s">
        <v>1041</v>
      </c>
      <c r="Q12" s="5" t="s">
        <v>1041</v>
      </c>
    </row>
    <row r="13" spans="1:17" s="10" customFormat="1" ht="17.25" customHeight="1" x14ac:dyDescent="0.2">
      <c r="A13" s="79" t="s">
        <v>4397</v>
      </c>
      <c r="B13" s="11" t="s">
        <v>2951</v>
      </c>
      <c r="C13" s="11" t="s">
        <v>2952</v>
      </c>
      <c r="D13" s="80">
        <v>36679</v>
      </c>
      <c r="E13" s="30">
        <v>100</v>
      </c>
      <c r="F13" s="81" t="s">
        <v>54</v>
      </c>
      <c r="G13" s="5" t="s">
        <v>256</v>
      </c>
      <c r="H13" s="11"/>
      <c r="I13" s="11" t="s">
        <v>4479</v>
      </c>
      <c r="J13" s="5"/>
      <c r="K13" s="11" t="s">
        <v>2953</v>
      </c>
      <c r="L13" s="5" t="s">
        <v>157</v>
      </c>
      <c r="M13" s="5" t="s">
        <v>2423</v>
      </c>
      <c r="N13" s="82"/>
      <c r="O13" s="5" t="s">
        <v>254</v>
      </c>
      <c r="P13" s="5" t="s">
        <v>1041</v>
      </c>
      <c r="Q13" s="5" t="s">
        <v>54</v>
      </c>
    </row>
    <row r="14" spans="1:17" s="10" customFormat="1" ht="17.25" customHeight="1" x14ac:dyDescent="0.2">
      <c r="A14" s="79" t="s">
        <v>4398</v>
      </c>
      <c r="B14" s="11" t="s">
        <v>2954</v>
      </c>
      <c r="C14" s="11" t="s">
        <v>2955</v>
      </c>
      <c r="D14" s="27">
        <v>36721</v>
      </c>
      <c r="E14" s="30">
        <v>635</v>
      </c>
      <c r="F14" s="30"/>
      <c r="G14" s="5" t="s">
        <v>340</v>
      </c>
      <c r="H14" s="11" t="s">
        <v>2796</v>
      </c>
      <c r="I14" s="11" t="s">
        <v>2713</v>
      </c>
      <c r="J14" s="5" t="s">
        <v>471</v>
      </c>
      <c r="K14" s="11" t="s">
        <v>2956</v>
      </c>
      <c r="L14" s="5" t="s">
        <v>157</v>
      </c>
      <c r="M14" s="5" t="s">
        <v>2423</v>
      </c>
      <c r="N14" s="82">
        <v>40451</v>
      </c>
      <c r="O14" s="5" t="s">
        <v>2957</v>
      </c>
      <c r="P14" s="26" t="s">
        <v>1041</v>
      </c>
      <c r="Q14" s="5" t="s">
        <v>54</v>
      </c>
    </row>
    <row r="15" spans="1:17" s="10" customFormat="1" ht="17.25" customHeight="1" x14ac:dyDescent="0.2">
      <c r="A15" s="79" t="s">
        <v>4399</v>
      </c>
      <c r="B15" s="11" t="s">
        <v>41</v>
      </c>
      <c r="C15" s="11" t="s">
        <v>2958</v>
      </c>
      <c r="D15" s="80">
        <v>36865</v>
      </c>
      <c r="E15" s="30">
        <v>79.900000000000006</v>
      </c>
      <c r="F15" s="30"/>
      <c r="G15" s="5" t="s">
        <v>364</v>
      </c>
      <c r="H15" s="11" t="s">
        <v>2713</v>
      </c>
      <c r="I15" s="11" t="s">
        <v>2713</v>
      </c>
      <c r="J15" s="5" t="s">
        <v>533</v>
      </c>
      <c r="K15" s="11" t="s">
        <v>2959</v>
      </c>
      <c r="L15" s="5" t="s">
        <v>86</v>
      </c>
      <c r="M15" s="5" t="s">
        <v>2423</v>
      </c>
      <c r="N15" s="86"/>
      <c r="O15" s="5" t="s">
        <v>2932</v>
      </c>
      <c r="P15" s="26" t="s">
        <v>1041</v>
      </c>
      <c r="Q15" s="5" t="s">
        <v>54</v>
      </c>
    </row>
    <row r="16" spans="1:17" s="10" customFormat="1" ht="17.25" customHeight="1" x14ac:dyDescent="0.2">
      <c r="A16" s="79" t="s">
        <v>4400</v>
      </c>
      <c r="B16" s="11" t="s">
        <v>41</v>
      </c>
      <c r="C16" s="11" t="s">
        <v>2960</v>
      </c>
      <c r="D16" s="80">
        <v>36865</v>
      </c>
      <c r="E16" s="30">
        <v>79.900000000000006</v>
      </c>
      <c r="F16" s="30"/>
      <c r="G16" s="5" t="s">
        <v>364</v>
      </c>
      <c r="H16" s="11" t="s">
        <v>2713</v>
      </c>
      <c r="I16" s="11" t="s">
        <v>2713</v>
      </c>
      <c r="J16" s="5" t="s">
        <v>533</v>
      </c>
      <c r="K16" s="11" t="s">
        <v>2959</v>
      </c>
      <c r="L16" s="5" t="s">
        <v>86</v>
      </c>
      <c r="M16" s="5" t="s">
        <v>2423</v>
      </c>
      <c r="N16" s="86"/>
      <c r="O16" s="5" t="s">
        <v>2932</v>
      </c>
      <c r="P16" s="26" t="s">
        <v>1041</v>
      </c>
      <c r="Q16" s="5" t="s">
        <v>1041</v>
      </c>
    </row>
    <row r="17" spans="1:20" s="10" customFormat="1" ht="17.25" customHeight="1" x14ac:dyDescent="0.2">
      <c r="A17" s="79" t="s">
        <v>4401</v>
      </c>
      <c r="B17" s="11" t="s">
        <v>41</v>
      </c>
      <c r="C17" s="11" t="s">
        <v>2961</v>
      </c>
      <c r="D17" s="80">
        <v>36865</v>
      </c>
      <c r="E17" s="30">
        <v>79.900000000000006</v>
      </c>
      <c r="F17" s="30"/>
      <c r="G17" s="5" t="s">
        <v>364</v>
      </c>
      <c r="H17" s="11" t="s">
        <v>2713</v>
      </c>
      <c r="I17" s="11" t="s">
        <v>2713</v>
      </c>
      <c r="J17" s="5" t="s">
        <v>533</v>
      </c>
      <c r="K17" s="11" t="s">
        <v>2327</v>
      </c>
      <c r="L17" s="5" t="s">
        <v>86</v>
      </c>
      <c r="M17" s="5" t="s">
        <v>2423</v>
      </c>
      <c r="N17" s="86"/>
      <c r="O17" s="5" t="s">
        <v>2932</v>
      </c>
      <c r="P17" s="26" t="s">
        <v>1041</v>
      </c>
      <c r="Q17" s="5" t="s">
        <v>1041</v>
      </c>
    </row>
    <row r="18" spans="1:20" s="10" customFormat="1" ht="17.25" customHeight="1" x14ac:dyDescent="0.2">
      <c r="A18" s="79" t="s">
        <v>4402</v>
      </c>
      <c r="B18" s="11" t="s">
        <v>41</v>
      </c>
      <c r="C18" s="11" t="s">
        <v>2962</v>
      </c>
      <c r="D18" s="80">
        <v>36865</v>
      </c>
      <c r="E18" s="30">
        <v>44</v>
      </c>
      <c r="F18" s="30"/>
      <c r="G18" s="5" t="s">
        <v>364</v>
      </c>
      <c r="H18" s="11" t="s">
        <v>2713</v>
      </c>
      <c r="I18" s="11" t="s">
        <v>2713</v>
      </c>
      <c r="J18" s="5" t="s">
        <v>533</v>
      </c>
      <c r="K18" s="11" t="s">
        <v>2963</v>
      </c>
      <c r="L18" s="5" t="s">
        <v>86</v>
      </c>
      <c r="M18" s="5" t="s">
        <v>2423</v>
      </c>
      <c r="N18" s="86"/>
      <c r="O18" s="5" t="s">
        <v>2932</v>
      </c>
      <c r="P18" s="26" t="s">
        <v>1041</v>
      </c>
      <c r="Q18" s="5" t="s">
        <v>1041</v>
      </c>
    </row>
    <row r="19" spans="1:20" s="10" customFormat="1" ht="17.25" customHeight="1" x14ac:dyDescent="0.2">
      <c r="A19" s="79" t="s">
        <v>4403</v>
      </c>
      <c r="B19" s="11" t="s">
        <v>41</v>
      </c>
      <c r="C19" s="11" t="s">
        <v>2964</v>
      </c>
      <c r="D19" s="80">
        <v>36865</v>
      </c>
      <c r="E19" s="30">
        <v>79.900000000000006</v>
      </c>
      <c r="F19" s="30"/>
      <c r="G19" s="5" t="s">
        <v>364</v>
      </c>
      <c r="H19" s="11" t="s">
        <v>2713</v>
      </c>
      <c r="I19" s="11" t="s">
        <v>2713</v>
      </c>
      <c r="J19" s="5" t="s">
        <v>533</v>
      </c>
      <c r="K19" s="11" t="s">
        <v>473</v>
      </c>
      <c r="L19" s="5" t="s">
        <v>86</v>
      </c>
      <c r="M19" s="5" t="s">
        <v>2423</v>
      </c>
      <c r="N19" s="86"/>
      <c r="O19" s="5" t="s">
        <v>2932</v>
      </c>
      <c r="P19" s="26" t="s">
        <v>1041</v>
      </c>
      <c r="Q19" s="5" t="s">
        <v>1041</v>
      </c>
    </row>
    <row r="20" spans="1:20" s="10" customFormat="1" ht="17.25" customHeight="1" x14ac:dyDescent="0.2">
      <c r="A20" s="79" t="s">
        <v>4404</v>
      </c>
      <c r="B20" s="11" t="s">
        <v>41</v>
      </c>
      <c r="C20" s="11" t="s">
        <v>2965</v>
      </c>
      <c r="D20" s="80">
        <v>36865</v>
      </c>
      <c r="E20" s="30">
        <v>44</v>
      </c>
      <c r="F20" s="30"/>
      <c r="G20" s="5" t="s">
        <v>364</v>
      </c>
      <c r="H20" s="11" t="s">
        <v>2713</v>
      </c>
      <c r="I20" s="11" t="s">
        <v>2713</v>
      </c>
      <c r="J20" s="5" t="s">
        <v>533</v>
      </c>
      <c r="K20" s="11" t="s">
        <v>2966</v>
      </c>
      <c r="L20" s="5" t="s">
        <v>86</v>
      </c>
      <c r="M20" s="5" t="s">
        <v>2423</v>
      </c>
      <c r="N20" s="86"/>
      <c r="O20" s="5" t="s">
        <v>2932</v>
      </c>
      <c r="P20" s="26" t="s">
        <v>1041</v>
      </c>
      <c r="Q20" s="5" t="s">
        <v>1041</v>
      </c>
    </row>
    <row r="21" spans="1:20" s="10" customFormat="1" ht="17.25" customHeight="1" x14ac:dyDescent="0.2">
      <c r="A21" s="79" t="s">
        <v>4405</v>
      </c>
      <c r="B21" s="11" t="s">
        <v>41</v>
      </c>
      <c r="C21" s="11" t="s">
        <v>2967</v>
      </c>
      <c r="D21" s="80">
        <v>36865</v>
      </c>
      <c r="E21" s="30">
        <v>44</v>
      </c>
      <c r="F21" s="30"/>
      <c r="G21" s="5" t="s">
        <v>364</v>
      </c>
      <c r="H21" s="85" t="s">
        <v>2746</v>
      </c>
      <c r="I21" s="10" t="s">
        <v>2713</v>
      </c>
      <c r="J21" s="5" t="s">
        <v>532</v>
      </c>
      <c r="K21" s="11" t="s">
        <v>4837</v>
      </c>
      <c r="L21" s="5" t="s">
        <v>87</v>
      </c>
      <c r="M21" s="5" t="s">
        <v>2423</v>
      </c>
      <c r="N21" s="86"/>
      <c r="O21" s="5" t="s">
        <v>2932</v>
      </c>
      <c r="P21" s="26" t="s">
        <v>1041</v>
      </c>
      <c r="Q21" s="5" t="s">
        <v>1041</v>
      </c>
    </row>
    <row r="22" spans="1:20" s="10" customFormat="1" ht="17.25" customHeight="1" x14ac:dyDescent="0.2">
      <c r="A22" s="79" t="s">
        <v>4406</v>
      </c>
      <c r="B22" s="11" t="s">
        <v>133</v>
      </c>
      <c r="C22" s="11" t="s">
        <v>2968</v>
      </c>
      <c r="D22" s="27">
        <v>37033</v>
      </c>
      <c r="E22" s="30">
        <v>660</v>
      </c>
      <c r="F22" s="30"/>
      <c r="G22" s="5" t="s">
        <v>253</v>
      </c>
      <c r="H22" s="11" t="s">
        <v>2746</v>
      </c>
      <c r="I22" s="11" t="s">
        <v>3156</v>
      </c>
      <c r="J22" s="5" t="s">
        <v>532</v>
      </c>
      <c r="K22" s="11" t="s">
        <v>265</v>
      </c>
      <c r="L22" s="5" t="s">
        <v>87</v>
      </c>
      <c r="M22" s="5" t="s">
        <v>2423</v>
      </c>
      <c r="N22" s="82">
        <v>39735</v>
      </c>
      <c r="O22" s="5" t="s">
        <v>2957</v>
      </c>
      <c r="P22" s="26" t="s">
        <v>1041</v>
      </c>
      <c r="Q22" s="5" t="s">
        <v>1041</v>
      </c>
    </row>
    <row r="23" spans="1:20" s="10" customFormat="1" ht="17.25" customHeight="1" x14ac:dyDescent="0.2">
      <c r="A23" s="79" t="s">
        <v>4407</v>
      </c>
      <c r="B23" s="11" t="s">
        <v>2969</v>
      </c>
      <c r="C23" s="11" t="s">
        <v>2970</v>
      </c>
      <c r="D23" s="80">
        <v>37033</v>
      </c>
      <c r="E23" s="30">
        <v>79.900000000000006</v>
      </c>
      <c r="F23" s="30"/>
      <c r="G23" s="5" t="s">
        <v>364</v>
      </c>
      <c r="H23" s="85" t="s">
        <v>2746</v>
      </c>
      <c r="I23" s="10" t="s">
        <v>2713</v>
      </c>
      <c r="J23" s="5" t="s">
        <v>532</v>
      </c>
      <c r="K23" s="11" t="s">
        <v>2971</v>
      </c>
      <c r="L23" s="5" t="s">
        <v>87</v>
      </c>
      <c r="M23" s="5" t="s">
        <v>2423</v>
      </c>
      <c r="N23" s="86"/>
      <c r="O23" s="5"/>
      <c r="P23" s="26" t="s">
        <v>1041</v>
      </c>
      <c r="Q23" s="5" t="s">
        <v>1041</v>
      </c>
    </row>
    <row r="24" spans="1:20" s="10" customFormat="1" ht="17.25" customHeight="1" x14ac:dyDescent="0.2">
      <c r="A24" s="79" t="s">
        <v>4408</v>
      </c>
      <c r="B24" s="11" t="s">
        <v>952</v>
      </c>
      <c r="C24" s="11" t="s">
        <v>2972</v>
      </c>
      <c r="D24" s="80">
        <v>37070</v>
      </c>
      <c r="E24" s="30" t="s">
        <v>54</v>
      </c>
      <c r="F24" s="81" t="s">
        <v>54</v>
      </c>
      <c r="G24" s="5" t="s">
        <v>256</v>
      </c>
      <c r="H24" s="11" t="s">
        <v>2717</v>
      </c>
      <c r="I24" s="11" t="s">
        <v>2713</v>
      </c>
      <c r="J24" s="5" t="s">
        <v>539</v>
      </c>
      <c r="K24" s="11" t="s">
        <v>2973</v>
      </c>
      <c r="L24" s="5" t="s">
        <v>2558</v>
      </c>
      <c r="M24" s="5" t="s">
        <v>2423</v>
      </c>
      <c r="N24" s="82"/>
      <c r="O24" s="5" t="s">
        <v>254</v>
      </c>
      <c r="P24" s="26" t="s">
        <v>1041</v>
      </c>
      <c r="Q24" s="5" t="s">
        <v>54</v>
      </c>
    </row>
    <row r="25" spans="1:20" s="10" customFormat="1" ht="17.25" customHeight="1" x14ac:dyDescent="0.2">
      <c r="A25" s="79" t="s">
        <v>4409</v>
      </c>
      <c r="B25" s="11" t="s">
        <v>2974</v>
      </c>
      <c r="C25" s="11" t="s">
        <v>2975</v>
      </c>
      <c r="D25" s="27">
        <v>37173</v>
      </c>
      <c r="E25" s="30">
        <v>310</v>
      </c>
      <c r="F25" s="30"/>
      <c r="G25" s="5" t="s">
        <v>340</v>
      </c>
      <c r="H25" s="11" t="s">
        <v>2716</v>
      </c>
      <c r="I25" s="11" t="s">
        <v>2713</v>
      </c>
      <c r="J25" s="5" t="s">
        <v>532</v>
      </c>
      <c r="K25" s="10" t="s">
        <v>2976</v>
      </c>
      <c r="L25" s="5" t="s">
        <v>87</v>
      </c>
      <c r="M25" s="5" t="s">
        <v>2423</v>
      </c>
      <c r="N25" s="82">
        <v>40147</v>
      </c>
      <c r="O25" s="5" t="s">
        <v>2977</v>
      </c>
      <c r="P25" s="26" t="s">
        <v>1041</v>
      </c>
      <c r="Q25" s="5" t="s">
        <v>54</v>
      </c>
    </row>
    <row r="26" spans="1:20" ht="17.25" customHeight="1" x14ac:dyDescent="0.2">
      <c r="A26" s="87" t="s">
        <v>4410</v>
      </c>
      <c r="B26" s="88" t="s">
        <v>952</v>
      </c>
      <c r="C26" s="88" t="s">
        <v>2625</v>
      </c>
      <c r="D26" s="89">
        <v>37370</v>
      </c>
      <c r="E26" s="90" t="s">
        <v>54</v>
      </c>
      <c r="F26" s="81" t="s">
        <v>54</v>
      </c>
      <c r="G26" s="15" t="s">
        <v>256</v>
      </c>
      <c r="H26" s="88" t="s">
        <v>2773</v>
      </c>
      <c r="I26" s="11" t="s">
        <v>2713</v>
      </c>
      <c r="J26" s="15" t="s">
        <v>539</v>
      </c>
      <c r="K26" s="88" t="s">
        <v>2626</v>
      </c>
      <c r="L26" s="91" t="s">
        <v>2627</v>
      </c>
      <c r="M26" s="15" t="s">
        <v>2423</v>
      </c>
      <c r="N26" s="92">
        <v>41364</v>
      </c>
      <c r="O26" s="15" t="s">
        <v>2628</v>
      </c>
      <c r="P26" s="15" t="s">
        <v>1041</v>
      </c>
      <c r="Q26" s="5" t="s">
        <v>54</v>
      </c>
    </row>
    <row r="27" spans="1:20" s="4" customFormat="1" ht="17.25" customHeight="1" x14ac:dyDescent="0.2">
      <c r="A27" s="79" t="s">
        <v>4411</v>
      </c>
      <c r="B27" s="11" t="s">
        <v>176</v>
      </c>
      <c r="C27" s="11" t="s">
        <v>2978</v>
      </c>
      <c r="D27" s="80">
        <v>37407</v>
      </c>
      <c r="E27" s="30">
        <v>66</v>
      </c>
      <c r="F27" s="32"/>
      <c r="G27" s="5" t="s">
        <v>364</v>
      </c>
      <c r="H27" s="11" t="s">
        <v>2716</v>
      </c>
      <c r="I27" s="11" t="s">
        <v>2713</v>
      </c>
      <c r="J27" s="5" t="s">
        <v>532</v>
      </c>
      <c r="K27" s="11" t="s">
        <v>2979</v>
      </c>
      <c r="L27" s="5" t="s">
        <v>87</v>
      </c>
      <c r="M27" s="5" t="s">
        <v>2423</v>
      </c>
      <c r="N27" s="93"/>
      <c r="O27" s="5" t="s">
        <v>254</v>
      </c>
      <c r="P27" s="5" t="s">
        <v>1041</v>
      </c>
      <c r="Q27" s="5" t="s">
        <v>54</v>
      </c>
    </row>
    <row r="28" spans="1:20" s="4" customFormat="1" ht="17.25" customHeight="1" x14ac:dyDescent="0.2">
      <c r="A28" s="79" t="s">
        <v>4412</v>
      </c>
      <c r="B28" s="11" t="s">
        <v>176</v>
      </c>
      <c r="C28" s="11" t="s">
        <v>2980</v>
      </c>
      <c r="D28" s="80">
        <v>37407</v>
      </c>
      <c r="E28" s="30">
        <v>66</v>
      </c>
      <c r="F28" s="32"/>
      <c r="G28" s="5" t="s">
        <v>364</v>
      </c>
      <c r="H28" s="11" t="s">
        <v>2716</v>
      </c>
      <c r="I28" s="11" t="s">
        <v>2713</v>
      </c>
      <c r="J28" s="5" t="s">
        <v>532</v>
      </c>
      <c r="K28" s="11" t="s">
        <v>2979</v>
      </c>
      <c r="L28" s="5" t="s">
        <v>87</v>
      </c>
      <c r="M28" s="5" t="s">
        <v>2423</v>
      </c>
      <c r="N28" s="93"/>
      <c r="O28" s="5" t="s">
        <v>254</v>
      </c>
      <c r="P28" s="5" t="s">
        <v>1041</v>
      </c>
      <c r="Q28" s="5" t="s">
        <v>54</v>
      </c>
    </row>
    <row r="29" spans="1:20" s="4" customFormat="1" ht="17.25" customHeight="1" x14ac:dyDescent="0.2">
      <c r="A29" s="79" t="s">
        <v>4413</v>
      </c>
      <c r="B29" s="11" t="s">
        <v>176</v>
      </c>
      <c r="C29" s="11" t="s">
        <v>2981</v>
      </c>
      <c r="D29" s="80">
        <v>37407</v>
      </c>
      <c r="E29" s="30">
        <v>79.900000000000006</v>
      </c>
      <c r="F29" s="32"/>
      <c r="G29" s="5" t="s">
        <v>364</v>
      </c>
      <c r="H29" s="11" t="s">
        <v>2716</v>
      </c>
      <c r="I29" s="11" t="s">
        <v>2713</v>
      </c>
      <c r="J29" s="5" t="s">
        <v>532</v>
      </c>
      <c r="K29" s="11" t="s">
        <v>2979</v>
      </c>
      <c r="L29" s="5" t="s">
        <v>87</v>
      </c>
      <c r="M29" s="5" t="s">
        <v>2423</v>
      </c>
      <c r="N29" s="93"/>
      <c r="O29" s="5" t="s">
        <v>254</v>
      </c>
      <c r="P29" s="5" t="s">
        <v>1041</v>
      </c>
      <c r="Q29" s="5" t="s">
        <v>1041</v>
      </c>
    </row>
    <row r="30" spans="1:20" s="4" customFormat="1" ht="17.25" customHeight="1" x14ac:dyDescent="0.2">
      <c r="A30" s="79" t="s">
        <v>4414</v>
      </c>
      <c r="B30" s="11" t="s">
        <v>196</v>
      </c>
      <c r="C30" s="11" t="s">
        <v>2982</v>
      </c>
      <c r="D30" s="27">
        <v>37455</v>
      </c>
      <c r="E30" s="30">
        <v>300</v>
      </c>
      <c r="F30" s="81" t="s">
        <v>54</v>
      </c>
      <c r="G30" s="5" t="s">
        <v>256</v>
      </c>
      <c r="H30" s="11" t="s">
        <v>2714</v>
      </c>
      <c r="I30" s="11" t="s">
        <v>3156</v>
      </c>
      <c r="J30" s="5" t="s">
        <v>533</v>
      </c>
      <c r="K30" s="11" t="s">
        <v>266</v>
      </c>
      <c r="L30" s="5" t="s">
        <v>86</v>
      </c>
      <c r="M30" s="5" t="s">
        <v>2423</v>
      </c>
      <c r="N30" s="82">
        <v>40147</v>
      </c>
      <c r="O30" s="5" t="s">
        <v>2977</v>
      </c>
      <c r="P30" s="26" t="s">
        <v>1041</v>
      </c>
      <c r="Q30" s="26" t="s">
        <v>1041</v>
      </c>
    </row>
    <row r="31" spans="1:20" customFormat="1" x14ac:dyDescent="0.2">
      <c r="A31" s="79" t="s">
        <v>1929</v>
      </c>
      <c r="B31" s="43" t="s">
        <v>499</v>
      </c>
      <c r="C31" s="11" t="s">
        <v>4834</v>
      </c>
      <c r="D31" s="27">
        <v>37538</v>
      </c>
      <c r="E31" s="30">
        <v>34.5</v>
      </c>
      <c r="F31" s="30"/>
      <c r="G31" s="5" t="s">
        <v>124</v>
      </c>
      <c r="H31" s="11" t="s">
        <v>2729</v>
      </c>
      <c r="I31" s="11" t="s">
        <v>2713</v>
      </c>
      <c r="J31" s="5" t="s">
        <v>530</v>
      </c>
      <c r="K31" s="11" t="s">
        <v>227</v>
      </c>
      <c r="L31" s="5" t="s">
        <v>34</v>
      </c>
      <c r="M31" s="5" t="s">
        <v>2423</v>
      </c>
      <c r="N31" s="82">
        <v>41364</v>
      </c>
      <c r="O31" s="5" t="s">
        <v>2977</v>
      </c>
      <c r="P31" s="26" t="s">
        <v>2946</v>
      </c>
      <c r="Q31" s="26" t="s">
        <v>2946</v>
      </c>
      <c r="R31" s="16"/>
      <c r="S31" s="16"/>
      <c r="T31" s="16"/>
    </row>
    <row r="32" spans="1:20" s="4" customFormat="1" ht="17.25" customHeight="1" x14ac:dyDescent="0.2">
      <c r="A32" s="79" t="s">
        <v>4415</v>
      </c>
      <c r="B32" s="11" t="s">
        <v>176</v>
      </c>
      <c r="C32" s="11" t="s">
        <v>2978</v>
      </c>
      <c r="D32" s="80">
        <v>37756</v>
      </c>
      <c r="E32" s="30">
        <v>66</v>
      </c>
      <c r="F32" s="32"/>
      <c r="G32" s="5" t="s">
        <v>364</v>
      </c>
      <c r="H32" s="11" t="s">
        <v>2716</v>
      </c>
      <c r="I32" s="11" t="s">
        <v>2713</v>
      </c>
      <c r="J32" s="5" t="s">
        <v>532</v>
      </c>
      <c r="K32" s="11" t="s">
        <v>2979</v>
      </c>
      <c r="L32" s="5" t="s">
        <v>87</v>
      </c>
      <c r="M32" s="5" t="s">
        <v>2423</v>
      </c>
      <c r="N32" s="93"/>
      <c r="O32" s="5" t="s">
        <v>254</v>
      </c>
      <c r="P32" s="5" t="s">
        <v>1041</v>
      </c>
      <c r="Q32" s="5" t="s">
        <v>1041</v>
      </c>
    </row>
    <row r="33" spans="1:17" s="4" customFormat="1" ht="17.25" customHeight="1" x14ac:dyDescent="0.2">
      <c r="A33" s="79" t="s">
        <v>4416</v>
      </c>
      <c r="B33" s="11" t="s">
        <v>217</v>
      </c>
      <c r="C33" s="11" t="s">
        <v>2983</v>
      </c>
      <c r="D33" s="27">
        <v>37771</v>
      </c>
      <c r="E33" s="30">
        <v>82.5</v>
      </c>
      <c r="F33" s="30">
        <v>82.5</v>
      </c>
      <c r="G33" s="5" t="s">
        <v>124</v>
      </c>
      <c r="H33" s="11" t="s">
        <v>2732</v>
      </c>
      <c r="I33" s="11" t="s">
        <v>2713</v>
      </c>
      <c r="J33" s="5" t="s">
        <v>393</v>
      </c>
      <c r="K33" s="11" t="s">
        <v>2984</v>
      </c>
      <c r="L33" s="5" t="s">
        <v>34</v>
      </c>
      <c r="M33" s="5" t="s">
        <v>2423</v>
      </c>
      <c r="N33" s="82">
        <v>39874</v>
      </c>
      <c r="O33" s="5" t="s">
        <v>2977</v>
      </c>
      <c r="P33" s="26" t="s">
        <v>1041</v>
      </c>
      <c r="Q33" s="5" t="s">
        <v>1041</v>
      </c>
    </row>
    <row r="34" spans="1:17" s="4" customFormat="1" ht="17.25" customHeight="1" x14ac:dyDescent="0.2">
      <c r="A34" s="79" t="s">
        <v>4418</v>
      </c>
      <c r="B34" s="11" t="s">
        <v>838</v>
      </c>
      <c r="C34" s="11" t="s">
        <v>2985</v>
      </c>
      <c r="D34" s="27">
        <v>37784</v>
      </c>
      <c r="E34" s="30" t="s">
        <v>54</v>
      </c>
      <c r="F34" s="81" t="s">
        <v>54</v>
      </c>
      <c r="G34" s="5" t="s">
        <v>256</v>
      </c>
      <c r="H34" s="11" t="s">
        <v>2758</v>
      </c>
      <c r="I34" s="11" t="s">
        <v>2713</v>
      </c>
      <c r="J34" s="5" t="s">
        <v>540</v>
      </c>
      <c r="K34" s="11" t="s">
        <v>2986</v>
      </c>
      <c r="L34" s="5" t="s">
        <v>191</v>
      </c>
      <c r="M34" s="5" t="s">
        <v>2423</v>
      </c>
      <c r="N34" s="82">
        <v>39911</v>
      </c>
      <c r="O34" s="5" t="s">
        <v>254</v>
      </c>
      <c r="P34" s="26" t="s">
        <v>1041</v>
      </c>
      <c r="Q34" s="5" t="s">
        <v>54</v>
      </c>
    </row>
    <row r="35" spans="1:17" s="4" customFormat="1" ht="17.25" customHeight="1" x14ac:dyDescent="0.2">
      <c r="A35" s="79" t="s">
        <v>4417</v>
      </c>
      <c r="B35" s="11" t="s">
        <v>2987</v>
      </c>
      <c r="C35" s="11" t="s">
        <v>2988</v>
      </c>
      <c r="D35" s="27">
        <v>37825</v>
      </c>
      <c r="E35" s="30">
        <v>36</v>
      </c>
      <c r="F35" s="30"/>
      <c r="G35" s="5" t="s">
        <v>258</v>
      </c>
      <c r="H35" s="11" t="s">
        <v>2811</v>
      </c>
      <c r="I35" s="11" t="s">
        <v>2713</v>
      </c>
      <c r="J35" s="5" t="s">
        <v>318</v>
      </c>
      <c r="K35" s="11" t="s">
        <v>264</v>
      </c>
      <c r="L35" s="5" t="s">
        <v>86</v>
      </c>
      <c r="M35" s="5" t="s">
        <v>2423</v>
      </c>
      <c r="N35" s="82">
        <v>39911</v>
      </c>
      <c r="O35" s="5" t="s">
        <v>2957</v>
      </c>
      <c r="P35" s="26" t="s">
        <v>1041</v>
      </c>
      <c r="Q35" s="5" t="s">
        <v>1041</v>
      </c>
    </row>
    <row r="36" spans="1:17" s="4" customFormat="1" ht="17.25" customHeight="1" x14ac:dyDescent="0.2">
      <c r="A36" s="79" t="s">
        <v>4419</v>
      </c>
      <c r="B36" s="11" t="s">
        <v>2987</v>
      </c>
      <c r="C36" s="11" t="s">
        <v>2989</v>
      </c>
      <c r="D36" s="27">
        <v>37825</v>
      </c>
      <c r="E36" s="30">
        <v>38</v>
      </c>
      <c r="F36" s="30"/>
      <c r="G36" s="5" t="s">
        <v>258</v>
      </c>
      <c r="H36" s="11" t="s">
        <v>2811</v>
      </c>
      <c r="I36" s="11" t="s">
        <v>2713</v>
      </c>
      <c r="J36" s="5" t="s">
        <v>318</v>
      </c>
      <c r="K36" s="11" t="s">
        <v>263</v>
      </c>
      <c r="L36" s="5" t="s">
        <v>86</v>
      </c>
      <c r="M36" s="5" t="s">
        <v>2423</v>
      </c>
      <c r="N36" s="82">
        <v>39911</v>
      </c>
      <c r="O36" s="5" t="s">
        <v>2957</v>
      </c>
      <c r="P36" s="26" t="s">
        <v>1041</v>
      </c>
      <c r="Q36" s="5" t="s">
        <v>1041</v>
      </c>
    </row>
    <row r="37" spans="1:17" s="4" customFormat="1" ht="17.25" customHeight="1" x14ac:dyDescent="0.2">
      <c r="A37" s="79" t="s">
        <v>4420</v>
      </c>
      <c r="B37" s="11" t="s">
        <v>2990</v>
      </c>
      <c r="C37" s="11" t="s">
        <v>2991</v>
      </c>
      <c r="D37" s="27">
        <v>37860</v>
      </c>
      <c r="E37" s="30">
        <v>321</v>
      </c>
      <c r="F37" s="30"/>
      <c r="G37" s="5" t="s">
        <v>124</v>
      </c>
      <c r="H37" s="11" t="s">
        <v>2744</v>
      </c>
      <c r="I37" s="11" t="s">
        <v>2713</v>
      </c>
      <c r="J37" s="5" t="s">
        <v>530</v>
      </c>
      <c r="K37" s="11" t="s">
        <v>2992</v>
      </c>
      <c r="L37" s="5" t="s">
        <v>157</v>
      </c>
      <c r="M37" s="26" t="s">
        <v>2423</v>
      </c>
      <c r="N37" s="82">
        <v>39504</v>
      </c>
      <c r="O37" s="5" t="s">
        <v>2957</v>
      </c>
      <c r="P37" s="26" t="s">
        <v>1041</v>
      </c>
      <c r="Q37" s="5" t="s">
        <v>1041</v>
      </c>
    </row>
    <row r="38" spans="1:17" s="4" customFormat="1" ht="17.25" customHeight="1" x14ac:dyDescent="0.2">
      <c r="A38" s="79" t="s">
        <v>4421</v>
      </c>
      <c r="B38" s="11" t="s">
        <v>2993</v>
      </c>
      <c r="C38" s="11" t="s">
        <v>2994</v>
      </c>
      <c r="D38" s="27">
        <v>38016</v>
      </c>
      <c r="E38" s="30">
        <v>95</v>
      </c>
      <c r="F38" s="30"/>
      <c r="G38" s="5" t="s">
        <v>258</v>
      </c>
      <c r="H38" s="11" t="s">
        <v>2810</v>
      </c>
      <c r="I38" s="11" t="s">
        <v>2713</v>
      </c>
      <c r="J38" s="5" t="s">
        <v>540</v>
      </c>
      <c r="K38" s="11" t="s">
        <v>2995</v>
      </c>
      <c r="L38" s="5" t="s">
        <v>191</v>
      </c>
      <c r="M38" s="5" t="s">
        <v>2423</v>
      </c>
      <c r="N38" s="82">
        <v>39504</v>
      </c>
      <c r="O38" s="5" t="s">
        <v>2957</v>
      </c>
      <c r="P38" s="26" t="s">
        <v>1041</v>
      </c>
      <c r="Q38" s="5" t="s">
        <v>1041</v>
      </c>
    </row>
    <row r="39" spans="1:17" s="4" customFormat="1" ht="17.25" customHeight="1" x14ac:dyDescent="0.2">
      <c r="A39" s="79" t="s">
        <v>4422</v>
      </c>
      <c r="B39" s="11" t="s">
        <v>2996</v>
      </c>
      <c r="C39" s="11" t="s">
        <v>2997</v>
      </c>
      <c r="D39" s="27">
        <v>38035</v>
      </c>
      <c r="E39" s="30">
        <v>112.5</v>
      </c>
      <c r="F39" s="30">
        <v>112.5</v>
      </c>
      <c r="G39" s="5" t="s">
        <v>124</v>
      </c>
      <c r="H39" s="11" t="s">
        <v>2098</v>
      </c>
      <c r="I39" s="11" t="s">
        <v>2713</v>
      </c>
      <c r="J39" s="5" t="s">
        <v>393</v>
      </c>
      <c r="K39" s="11" t="s">
        <v>2998</v>
      </c>
      <c r="L39" s="5" t="s">
        <v>34</v>
      </c>
      <c r="M39" s="5" t="s">
        <v>2423</v>
      </c>
      <c r="N39" s="82">
        <v>39988</v>
      </c>
      <c r="O39" s="5" t="s">
        <v>2999</v>
      </c>
      <c r="P39" s="26" t="s">
        <v>1041</v>
      </c>
      <c r="Q39" s="5" t="s">
        <v>1041</v>
      </c>
    </row>
    <row r="40" spans="1:17" s="4" customFormat="1" ht="17.25" customHeight="1" x14ac:dyDescent="0.2">
      <c r="A40" s="79" t="s">
        <v>4423</v>
      </c>
      <c r="B40" s="11" t="s">
        <v>176</v>
      </c>
      <c r="C40" s="11" t="s">
        <v>3000</v>
      </c>
      <c r="D40" s="27">
        <v>38048</v>
      </c>
      <c r="E40" s="30">
        <v>96</v>
      </c>
      <c r="F40" s="30"/>
      <c r="G40" s="5" t="s">
        <v>340</v>
      </c>
      <c r="H40" s="11" t="s">
        <v>2716</v>
      </c>
      <c r="I40" s="11" t="s">
        <v>2713</v>
      </c>
      <c r="J40" s="5" t="s">
        <v>532</v>
      </c>
      <c r="K40" s="11" t="s">
        <v>3001</v>
      </c>
      <c r="L40" s="5" t="s">
        <v>87</v>
      </c>
      <c r="M40" s="5" t="s">
        <v>2423</v>
      </c>
      <c r="N40" s="82">
        <v>39504</v>
      </c>
      <c r="O40" s="5" t="s">
        <v>254</v>
      </c>
      <c r="P40" s="26" t="s">
        <v>1041</v>
      </c>
      <c r="Q40" s="5" t="s">
        <v>1041</v>
      </c>
    </row>
    <row r="41" spans="1:17" s="4" customFormat="1" ht="17.25" customHeight="1" x14ac:dyDescent="0.2">
      <c r="A41" s="79" t="s">
        <v>4424</v>
      </c>
      <c r="B41" s="11" t="s">
        <v>199</v>
      </c>
      <c r="C41" s="11" t="s">
        <v>3002</v>
      </c>
      <c r="D41" s="27">
        <v>38062</v>
      </c>
      <c r="E41" s="30" t="s">
        <v>54</v>
      </c>
      <c r="F41" s="81" t="s">
        <v>54</v>
      </c>
      <c r="G41" s="5" t="s">
        <v>256</v>
      </c>
      <c r="H41" s="11" t="s">
        <v>2811</v>
      </c>
      <c r="I41" s="11" t="s">
        <v>2713</v>
      </c>
      <c r="J41" s="5" t="s">
        <v>533</v>
      </c>
      <c r="K41" s="11" t="s">
        <v>3003</v>
      </c>
      <c r="L41" s="5" t="s">
        <v>86</v>
      </c>
      <c r="M41" s="5" t="s">
        <v>2423</v>
      </c>
      <c r="N41" s="82">
        <v>39911</v>
      </c>
      <c r="O41" s="5" t="s">
        <v>254</v>
      </c>
      <c r="P41" s="5" t="s">
        <v>1041</v>
      </c>
      <c r="Q41" s="5" t="s">
        <v>54</v>
      </c>
    </row>
    <row r="42" spans="1:17" s="4" customFormat="1" ht="17.25" customHeight="1" x14ac:dyDescent="0.2">
      <c r="A42" s="79" t="s">
        <v>4425</v>
      </c>
      <c r="B42" s="11" t="s">
        <v>176</v>
      </c>
      <c r="C42" s="11" t="s">
        <v>3004</v>
      </c>
      <c r="D42" s="80">
        <v>38141</v>
      </c>
      <c r="E42" s="30">
        <v>79.900000000000006</v>
      </c>
      <c r="F42" s="32"/>
      <c r="G42" s="5" t="s">
        <v>364</v>
      </c>
      <c r="H42" s="11" t="s">
        <v>2716</v>
      </c>
      <c r="I42" s="11" t="s">
        <v>2713</v>
      </c>
      <c r="J42" s="5" t="s">
        <v>532</v>
      </c>
      <c r="K42" s="11" t="s">
        <v>81</v>
      </c>
      <c r="L42" s="5" t="s">
        <v>87</v>
      </c>
      <c r="M42" s="5" t="s">
        <v>2423</v>
      </c>
      <c r="N42" s="84"/>
      <c r="O42" s="5" t="s">
        <v>254</v>
      </c>
      <c r="P42" s="26" t="s">
        <v>1041</v>
      </c>
      <c r="Q42" s="5" t="s">
        <v>1041</v>
      </c>
    </row>
    <row r="43" spans="1:17" s="4" customFormat="1" ht="17.25" customHeight="1" x14ac:dyDescent="0.2">
      <c r="A43" s="79" t="s">
        <v>4426</v>
      </c>
      <c r="B43" s="11" t="s">
        <v>199</v>
      </c>
      <c r="C43" s="11" t="s">
        <v>3005</v>
      </c>
      <c r="D43" s="27">
        <v>38212</v>
      </c>
      <c r="E43" s="30">
        <v>500</v>
      </c>
      <c r="F43" s="81" t="s">
        <v>54</v>
      </c>
      <c r="G43" s="5" t="s">
        <v>256</v>
      </c>
      <c r="H43" s="11" t="s">
        <v>2811</v>
      </c>
      <c r="I43" s="11" t="s">
        <v>2713</v>
      </c>
      <c r="J43" s="5" t="s">
        <v>3006</v>
      </c>
      <c r="K43" s="11" t="s">
        <v>3007</v>
      </c>
      <c r="L43" s="5" t="s">
        <v>86</v>
      </c>
      <c r="M43" s="5" t="s">
        <v>2423</v>
      </c>
      <c r="N43" s="82">
        <v>40633</v>
      </c>
      <c r="O43" s="5" t="s">
        <v>433</v>
      </c>
      <c r="P43" s="26" t="s">
        <v>1041</v>
      </c>
      <c r="Q43" s="5" t="s">
        <v>54</v>
      </c>
    </row>
    <row r="44" spans="1:17" s="4" customFormat="1" ht="17.25" customHeight="1" x14ac:dyDescent="0.2">
      <c r="A44" s="79" t="s">
        <v>4427</v>
      </c>
      <c r="B44" s="11" t="s">
        <v>3008</v>
      </c>
      <c r="C44" s="11" t="s">
        <v>3009</v>
      </c>
      <c r="D44" s="27">
        <v>38258</v>
      </c>
      <c r="E44" s="30">
        <v>74</v>
      </c>
      <c r="F44" s="30">
        <v>74</v>
      </c>
      <c r="G44" s="5" t="s">
        <v>124</v>
      </c>
      <c r="H44" s="11" t="s">
        <v>2737</v>
      </c>
      <c r="I44" s="11" t="s">
        <v>2713</v>
      </c>
      <c r="J44" s="5" t="s">
        <v>530</v>
      </c>
      <c r="K44" s="11" t="s">
        <v>3010</v>
      </c>
      <c r="L44" s="5" t="s">
        <v>157</v>
      </c>
      <c r="M44" s="5" t="s">
        <v>2423</v>
      </c>
      <c r="N44" s="82">
        <v>40602</v>
      </c>
      <c r="O44" s="5" t="s">
        <v>2977</v>
      </c>
      <c r="P44" s="26" t="s">
        <v>1041</v>
      </c>
      <c r="Q44" s="26" t="s">
        <v>1041</v>
      </c>
    </row>
    <row r="45" spans="1:17" ht="17.25" customHeight="1" x14ac:dyDescent="0.2">
      <c r="A45" s="79" t="s">
        <v>4428</v>
      </c>
      <c r="B45" s="11" t="s">
        <v>3011</v>
      </c>
      <c r="C45" s="11" t="s">
        <v>3012</v>
      </c>
      <c r="D45" s="27">
        <v>38310</v>
      </c>
      <c r="E45" s="30">
        <v>6.4</v>
      </c>
      <c r="F45" s="30">
        <v>6.4</v>
      </c>
      <c r="G45" s="5" t="s">
        <v>440</v>
      </c>
      <c r="H45" s="11" t="s">
        <v>2740</v>
      </c>
      <c r="I45" s="11" t="s">
        <v>2713</v>
      </c>
      <c r="J45" s="5" t="s">
        <v>530</v>
      </c>
      <c r="K45" s="11" t="s">
        <v>324</v>
      </c>
      <c r="L45" s="5" t="s">
        <v>157</v>
      </c>
      <c r="M45" s="5" t="s">
        <v>2423</v>
      </c>
      <c r="N45" s="82">
        <v>39735</v>
      </c>
      <c r="O45" s="5"/>
      <c r="P45" s="26" t="s">
        <v>1041</v>
      </c>
      <c r="Q45" s="5" t="s">
        <v>1041</v>
      </c>
    </row>
    <row r="46" spans="1:17" s="4" customFormat="1" ht="17.25" customHeight="1" x14ac:dyDescent="0.2">
      <c r="A46" s="87" t="s">
        <v>4429</v>
      </c>
      <c r="B46" s="88" t="s">
        <v>426</v>
      </c>
      <c r="C46" s="88" t="s">
        <v>2629</v>
      </c>
      <c r="D46" s="89">
        <v>38328</v>
      </c>
      <c r="E46" s="90">
        <v>83</v>
      </c>
      <c r="F46" s="90">
        <v>83</v>
      </c>
      <c r="G46" s="15" t="s">
        <v>124</v>
      </c>
      <c r="H46" s="88" t="s">
        <v>2735</v>
      </c>
      <c r="I46" s="11" t="s">
        <v>2713</v>
      </c>
      <c r="J46" s="15" t="s">
        <v>420</v>
      </c>
      <c r="K46" s="88" t="s">
        <v>2630</v>
      </c>
      <c r="L46" s="15" t="s">
        <v>41</v>
      </c>
      <c r="M46" s="15" t="s">
        <v>2423</v>
      </c>
      <c r="N46" s="92">
        <v>41364</v>
      </c>
      <c r="O46" s="15" t="s">
        <v>255</v>
      </c>
      <c r="P46" s="15" t="s">
        <v>1041</v>
      </c>
      <c r="Q46" s="15" t="s">
        <v>1041</v>
      </c>
    </row>
    <row r="47" spans="1:17" s="4" customFormat="1" ht="17.25" customHeight="1" x14ac:dyDescent="0.2">
      <c r="A47" s="87" t="s">
        <v>4430</v>
      </c>
      <c r="B47" s="88" t="s">
        <v>426</v>
      </c>
      <c r="C47" s="88" t="s">
        <v>2631</v>
      </c>
      <c r="D47" s="89">
        <v>38391</v>
      </c>
      <c r="E47" s="90">
        <v>132.19999999999999</v>
      </c>
      <c r="F47" s="90">
        <v>132.19999999999999</v>
      </c>
      <c r="G47" s="15" t="s">
        <v>124</v>
      </c>
      <c r="H47" s="88" t="s">
        <v>2735</v>
      </c>
      <c r="I47" s="11" t="s">
        <v>2713</v>
      </c>
      <c r="J47" s="15" t="s">
        <v>420</v>
      </c>
      <c r="K47" s="88" t="s">
        <v>333</v>
      </c>
      <c r="L47" s="15" t="s">
        <v>41</v>
      </c>
      <c r="M47" s="15" t="s">
        <v>2423</v>
      </c>
      <c r="N47" s="92">
        <v>41364</v>
      </c>
      <c r="O47" s="15" t="s">
        <v>255</v>
      </c>
      <c r="P47" s="15" t="s">
        <v>1041</v>
      </c>
      <c r="Q47" s="15" t="s">
        <v>1041</v>
      </c>
    </row>
    <row r="48" spans="1:17" ht="17.25" customHeight="1" x14ac:dyDescent="0.2">
      <c r="A48" s="79" t="s">
        <v>4431</v>
      </c>
      <c r="B48" s="11" t="s">
        <v>291</v>
      </c>
      <c r="C48" s="11" t="s">
        <v>3035</v>
      </c>
      <c r="D48" s="27">
        <v>38397</v>
      </c>
      <c r="E48" s="30">
        <v>79.5</v>
      </c>
      <c r="F48" s="30">
        <v>79.5</v>
      </c>
      <c r="G48" s="5" t="s">
        <v>124</v>
      </c>
      <c r="H48" s="88" t="s">
        <v>2735</v>
      </c>
      <c r="I48" s="11" t="s">
        <v>2713</v>
      </c>
      <c r="J48" s="5" t="s">
        <v>420</v>
      </c>
      <c r="K48" s="11" t="s">
        <v>333</v>
      </c>
      <c r="L48" s="5" t="s">
        <v>41</v>
      </c>
      <c r="M48" s="5" t="s">
        <v>2423</v>
      </c>
      <c r="N48" s="82">
        <v>39735</v>
      </c>
      <c r="O48" s="5" t="s">
        <v>2977</v>
      </c>
      <c r="P48" s="26" t="s">
        <v>1041</v>
      </c>
      <c r="Q48" s="5" t="s">
        <v>1041</v>
      </c>
    </row>
    <row r="49" spans="1:20" ht="17.25" customHeight="1" x14ac:dyDescent="0.2">
      <c r="A49" s="79" t="s">
        <v>4432</v>
      </c>
      <c r="B49" s="11" t="s">
        <v>291</v>
      </c>
      <c r="C49" s="11" t="s">
        <v>3036</v>
      </c>
      <c r="D49" s="27">
        <v>38397</v>
      </c>
      <c r="E49" s="30">
        <v>72</v>
      </c>
      <c r="F49" s="30">
        <v>72</v>
      </c>
      <c r="G49" s="5" t="s">
        <v>124</v>
      </c>
      <c r="H49" s="11" t="s">
        <v>2098</v>
      </c>
      <c r="I49" s="11" t="s">
        <v>2713</v>
      </c>
      <c r="J49" s="5" t="s">
        <v>531</v>
      </c>
      <c r="K49" s="11" t="s">
        <v>293</v>
      </c>
      <c r="L49" s="95" t="s">
        <v>351</v>
      </c>
      <c r="M49" s="5" t="s">
        <v>2423</v>
      </c>
      <c r="N49" s="82">
        <v>39735</v>
      </c>
      <c r="O49" s="5" t="s">
        <v>2977</v>
      </c>
      <c r="P49" s="26" t="s">
        <v>1041</v>
      </c>
      <c r="Q49" s="5" t="s">
        <v>1041</v>
      </c>
    </row>
    <row r="50" spans="1:20" s="4" customFormat="1" ht="17.25" customHeight="1" x14ac:dyDescent="0.2">
      <c r="A50" s="79" t="s">
        <v>4433</v>
      </c>
      <c r="B50" s="11" t="s">
        <v>291</v>
      </c>
      <c r="C50" s="11" t="s">
        <v>3037</v>
      </c>
      <c r="D50" s="27">
        <v>38397</v>
      </c>
      <c r="E50" s="30">
        <v>99</v>
      </c>
      <c r="F50" s="30">
        <v>99</v>
      </c>
      <c r="G50" s="5" t="s">
        <v>124</v>
      </c>
      <c r="H50" s="88" t="s">
        <v>2735</v>
      </c>
      <c r="I50" s="11" t="s">
        <v>2713</v>
      </c>
      <c r="J50" s="5" t="s">
        <v>420</v>
      </c>
      <c r="K50" s="11" t="s">
        <v>2630</v>
      </c>
      <c r="L50" s="5" t="s">
        <v>41</v>
      </c>
      <c r="M50" s="5" t="s">
        <v>2423</v>
      </c>
      <c r="N50" s="82">
        <v>39874</v>
      </c>
      <c r="O50" s="5" t="s">
        <v>2977</v>
      </c>
      <c r="P50" s="26" t="s">
        <v>1041</v>
      </c>
      <c r="Q50" s="5" t="s">
        <v>1041</v>
      </c>
    </row>
    <row r="51" spans="1:20" s="4" customFormat="1" ht="17.25" customHeight="1" x14ac:dyDescent="0.2">
      <c r="A51" s="79" t="s">
        <v>4434</v>
      </c>
      <c r="B51" s="11" t="s">
        <v>291</v>
      </c>
      <c r="C51" s="11" t="s">
        <v>3038</v>
      </c>
      <c r="D51" s="27">
        <v>38397</v>
      </c>
      <c r="E51" s="30">
        <v>81</v>
      </c>
      <c r="F51" s="30">
        <v>81</v>
      </c>
      <c r="G51" s="5" t="s">
        <v>124</v>
      </c>
      <c r="H51" s="88" t="s">
        <v>2735</v>
      </c>
      <c r="I51" s="11" t="s">
        <v>2713</v>
      </c>
      <c r="J51" s="5" t="s">
        <v>420</v>
      </c>
      <c r="K51" s="11" t="s">
        <v>333</v>
      </c>
      <c r="L51" s="5" t="s">
        <v>41</v>
      </c>
      <c r="M51" s="5" t="s">
        <v>2423</v>
      </c>
      <c r="N51" s="82">
        <v>39735</v>
      </c>
      <c r="O51" s="5" t="s">
        <v>2977</v>
      </c>
      <c r="P51" s="26" t="s">
        <v>1041</v>
      </c>
      <c r="Q51" s="5" t="s">
        <v>1041</v>
      </c>
    </row>
    <row r="52" spans="1:20" s="4" customFormat="1" ht="17.25" customHeight="1" x14ac:dyDescent="0.2">
      <c r="A52" s="79" t="s">
        <v>4435</v>
      </c>
      <c r="B52" s="11" t="s">
        <v>3039</v>
      </c>
      <c r="C52" s="11" t="s">
        <v>3040</v>
      </c>
      <c r="D52" s="27">
        <v>38397</v>
      </c>
      <c r="E52" s="30">
        <v>126</v>
      </c>
      <c r="F52" s="30">
        <v>126</v>
      </c>
      <c r="G52" s="5" t="s">
        <v>124</v>
      </c>
      <c r="H52" s="11" t="s">
        <v>2098</v>
      </c>
      <c r="I52" s="11" t="s">
        <v>2713</v>
      </c>
      <c r="J52" s="5" t="s">
        <v>393</v>
      </c>
      <c r="K52" s="11" t="s">
        <v>3041</v>
      </c>
      <c r="L52" s="5" t="s">
        <v>34</v>
      </c>
      <c r="M52" s="5" t="s">
        <v>2423</v>
      </c>
      <c r="N52" s="82">
        <v>39874</v>
      </c>
      <c r="O52" s="5" t="s">
        <v>3042</v>
      </c>
      <c r="P52" s="26" t="s">
        <v>1041</v>
      </c>
      <c r="Q52" s="5" t="s">
        <v>1041</v>
      </c>
    </row>
    <row r="53" spans="1:20" s="4" customFormat="1" ht="17.25" customHeight="1" x14ac:dyDescent="0.2">
      <c r="A53" s="79" t="s">
        <v>4436</v>
      </c>
      <c r="B53" s="11" t="s">
        <v>3043</v>
      </c>
      <c r="C53" s="11" t="s">
        <v>3044</v>
      </c>
      <c r="D53" s="27">
        <v>38432</v>
      </c>
      <c r="E53" s="30">
        <v>57.4</v>
      </c>
      <c r="F53" s="30">
        <v>57.4</v>
      </c>
      <c r="G53" s="5" t="s">
        <v>124</v>
      </c>
      <c r="H53" s="11" t="s">
        <v>2732</v>
      </c>
      <c r="I53" s="11" t="s">
        <v>2713</v>
      </c>
      <c r="J53" s="5" t="s">
        <v>393</v>
      </c>
      <c r="K53" s="11" t="s">
        <v>317</v>
      </c>
      <c r="L53" s="5" t="s">
        <v>34</v>
      </c>
      <c r="M53" s="5" t="s">
        <v>2423</v>
      </c>
      <c r="N53" s="82">
        <v>40908</v>
      </c>
      <c r="O53" s="5" t="s">
        <v>3045</v>
      </c>
      <c r="P53" s="26" t="s">
        <v>1041</v>
      </c>
      <c r="Q53" s="26" t="s">
        <v>1041</v>
      </c>
    </row>
    <row r="54" spans="1:20" s="4" customFormat="1" ht="17.25" customHeight="1" x14ac:dyDescent="0.2">
      <c r="A54" s="79" t="s">
        <v>4437</v>
      </c>
      <c r="B54" s="11" t="s">
        <v>4934</v>
      </c>
      <c r="C54" s="11" t="s">
        <v>3046</v>
      </c>
      <c r="D54" s="27">
        <v>38440</v>
      </c>
      <c r="E54" s="30">
        <v>120</v>
      </c>
      <c r="F54" s="30">
        <v>120</v>
      </c>
      <c r="G54" s="5" t="s">
        <v>611</v>
      </c>
      <c r="H54" s="11" t="s">
        <v>2798</v>
      </c>
      <c r="I54" s="11" t="s">
        <v>2713</v>
      </c>
      <c r="J54" s="5" t="s">
        <v>471</v>
      </c>
      <c r="K54" s="11" t="s">
        <v>3047</v>
      </c>
      <c r="L54" s="5" t="s">
        <v>41</v>
      </c>
      <c r="M54" s="5" t="s">
        <v>2423</v>
      </c>
      <c r="N54" s="82">
        <v>40359</v>
      </c>
      <c r="O54" s="5" t="s">
        <v>2977</v>
      </c>
      <c r="P54" s="5" t="s">
        <v>1041</v>
      </c>
      <c r="Q54" s="26" t="s">
        <v>1041</v>
      </c>
    </row>
    <row r="55" spans="1:20" s="4" customFormat="1" ht="17.25" customHeight="1" x14ac:dyDescent="0.2">
      <c r="A55" s="79" t="s">
        <v>4438</v>
      </c>
      <c r="B55" s="11" t="s">
        <v>217</v>
      </c>
      <c r="C55" s="11" t="s">
        <v>3048</v>
      </c>
      <c r="D55" s="27">
        <v>38559</v>
      </c>
      <c r="E55" s="30">
        <v>42.5</v>
      </c>
      <c r="F55" s="30">
        <v>42.5</v>
      </c>
      <c r="G55" s="5" t="s">
        <v>124</v>
      </c>
      <c r="H55" s="11" t="s">
        <v>2732</v>
      </c>
      <c r="I55" s="11" t="s">
        <v>2713</v>
      </c>
      <c r="J55" s="5" t="s">
        <v>393</v>
      </c>
      <c r="K55" s="11" t="s">
        <v>3049</v>
      </c>
      <c r="L55" s="5" t="s">
        <v>34</v>
      </c>
      <c r="M55" s="5" t="s">
        <v>2423</v>
      </c>
      <c r="N55" s="82">
        <v>39911</v>
      </c>
      <c r="O55" s="5" t="s">
        <v>3050</v>
      </c>
      <c r="P55" s="26" t="s">
        <v>1041</v>
      </c>
      <c r="Q55" s="5" t="s">
        <v>1041</v>
      </c>
    </row>
    <row r="56" spans="1:20" customFormat="1" x14ac:dyDescent="0.2">
      <c r="A56" s="79" t="s">
        <v>4439</v>
      </c>
      <c r="B56" s="11" t="s">
        <v>3051</v>
      </c>
      <c r="C56" s="11" t="s">
        <v>3052</v>
      </c>
      <c r="D56" s="27">
        <v>38597</v>
      </c>
      <c r="E56" s="30">
        <v>17.600000000000001</v>
      </c>
      <c r="F56" s="30">
        <v>17.600000000000001</v>
      </c>
      <c r="G56" s="5" t="s">
        <v>440</v>
      </c>
      <c r="H56" s="11" t="s">
        <v>401</v>
      </c>
      <c r="I56" s="11" t="s">
        <v>2713</v>
      </c>
      <c r="J56" s="5" t="s">
        <v>393</v>
      </c>
      <c r="K56" s="11" t="s">
        <v>901</v>
      </c>
      <c r="L56" s="5" t="s">
        <v>34</v>
      </c>
      <c r="M56" s="5" t="s">
        <v>2423</v>
      </c>
      <c r="N56" s="82">
        <v>39560</v>
      </c>
      <c r="O56" s="5"/>
      <c r="P56" s="26" t="s">
        <v>1041</v>
      </c>
      <c r="Q56" s="5" t="s">
        <v>1041</v>
      </c>
      <c r="R56" s="16"/>
      <c r="S56" s="16"/>
      <c r="T56" s="16"/>
    </row>
    <row r="57" spans="1:20" ht="17.25" customHeight="1" x14ac:dyDescent="0.2">
      <c r="A57" s="79" t="s">
        <v>4440</v>
      </c>
      <c r="B57" s="11" t="s">
        <v>3053</v>
      </c>
      <c r="C57" s="11" t="s">
        <v>3054</v>
      </c>
      <c r="D57" s="27">
        <v>38610</v>
      </c>
      <c r="E57" s="30">
        <v>2</v>
      </c>
      <c r="F57" s="30">
        <v>4</v>
      </c>
      <c r="G57" s="5" t="s">
        <v>440</v>
      </c>
      <c r="H57" s="11" t="s">
        <v>2759</v>
      </c>
      <c r="I57" s="11" t="s">
        <v>2713</v>
      </c>
      <c r="J57" s="5" t="s">
        <v>471</v>
      </c>
      <c r="K57" s="11" t="s">
        <v>901</v>
      </c>
      <c r="L57" s="5" t="s">
        <v>157</v>
      </c>
      <c r="M57" s="5" t="s">
        <v>2423</v>
      </c>
      <c r="N57" s="82">
        <v>39735</v>
      </c>
      <c r="O57" s="5"/>
      <c r="P57" s="26" t="s">
        <v>1041</v>
      </c>
      <c r="Q57" s="5" t="s">
        <v>1041</v>
      </c>
    </row>
    <row r="58" spans="1:20" s="4" customFormat="1" ht="17.25" customHeight="1" x14ac:dyDescent="0.2">
      <c r="A58" s="87" t="s">
        <v>4441</v>
      </c>
      <c r="B58" s="88" t="s">
        <v>1541</v>
      </c>
      <c r="C58" s="88" t="s">
        <v>2634</v>
      </c>
      <c r="D58" s="89">
        <v>38700</v>
      </c>
      <c r="E58" s="90">
        <v>660</v>
      </c>
      <c r="F58" s="90">
        <v>660</v>
      </c>
      <c r="G58" s="15" t="s">
        <v>253</v>
      </c>
      <c r="H58" s="88" t="s">
        <v>3157</v>
      </c>
      <c r="I58" s="88" t="s">
        <v>3156</v>
      </c>
      <c r="J58" s="15" t="s">
        <v>533</v>
      </c>
      <c r="K58" s="88" t="s">
        <v>4838</v>
      </c>
      <c r="L58" s="15" t="s">
        <v>86</v>
      </c>
      <c r="M58" s="15" t="s">
        <v>2423</v>
      </c>
      <c r="N58" s="92">
        <v>41455</v>
      </c>
      <c r="O58" s="97" t="s">
        <v>684</v>
      </c>
      <c r="P58" s="98" t="s">
        <v>1041</v>
      </c>
      <c r="Q58" s="98" t="s">
        <v>1041</v>
      </c>
    </row>
    <row r="59" spans="1:20" ht="17.25" customHeight="1" x14ac:dyDescent="0.2">
      <c r="A59" s="23" t="s">
        <v>4779</v>
      </c>
      <c r="B59" s="11" t="s">
        <v>444</v>
      </c>
      <c r="C59" s="11" t="s">
        <v>670</v>
      </c>
      <c r="D59" s="27">
        <v>38776</v>
      </c>
      <c r="E59" s="30">
        <v>6.4</v>
      </c>
      <c r="F59" s="30">
        <v>6.4</v>
      </c>
      <c r="G59" s="5" t="s">
        <v>440</v>
      </c>
      <c r="H59" s="11" t="s">
        <v>2731</v>
      </c>
      <c r="I59" s="11" t="s">
        <v>2713</v>
      </c>
      <c r="J59" s="5" t="s">
        <v>393</v>
      </c>
      <c r="K59" s="11" t="s">
        <v>901</v>
      </c>
      <c r="L59" s="5" t="s">
        <v>34</v>
      </c>
      <c r="M59" s="5" t="s">
        <v>2423</v>
      </c>
      <c r="N59" s="82">
        <v>39735</v>
      </c>
      <c r="O59" s="5"/>
      <c r="P59" s="26" t="s">
        <v>1041</v>
      </c>
      <c r="Q59" s="5" t="s">
        <v>1041</v>
      </c>
    </row>
    <row r="60" spans="1:20" s="4" customFormat="1" ht="17.25" customHeight="1" x14ac:dyDescent="0.2">
      <c r="A60" s="79" t="s">
        <v>4442</v>
      </c>
      <c r="B60" s="11" t="s">
        <v>291</v>
      </c>
      <c r="C60" s="11" t="s">
        <v>3055</v>
      </c>
      <c r="D60" s="27">
        <v>38810</v>
      </c>
      <c r="E60" s="30">
        <v>21</v>
      </c>
      <c r="F60" s="30">
        <v>21</v>
      </c>
      <c r="G60" s="5" t="s">
        <v>124</v>
      </c>
      <c r="H60" s="11" t="s">
        <v>2735</v>
      </c>
      <c r="I60" s="11" t="s">
        <v>2713</v>
      </c>
      <c r="J60" s="5" t="s">
        <v>420</v>
      </c>
      <c r="K60" s="11" t="s">
        <v>333</v>
      </c>
      <c r="L60" s="5" t="s">
        <v>41</v>
      </c>
      <c r="M60" s="5" t="s">
        <v>2423</v>
      </c>
      <c r="N60" s="82">
        <v>39735</v>
      </c>
      <c r="O60" s="5" t="s">
        <v>3050</v>
      </c>
      <c r="P60" s="26" t="s">
        <v>1041</v>
      </c>
      <c r="Q60" s="5" t="s">
        <v>1041</v>
      </c>
    </row>
    <row r="61" spans="1:20" s="4" customFormat="1" ht="17.25" customHeight="1" x14ac:dyDescent="0.2">
      <c r="A61" s="79" t="s">
        <v>4443</v>
      </c>
      <c r="B61" s="11" t="s">
        <v>291</v>
      </c>
      <c r="C61" s="11" t="s">
        <v>3056</v>
      </c>
      <c r="D61" s="27">
        <v>38810</v>
      </c>
      <c r="E61" s="30">
        <v>28.5</v>
      </c>
      <c r="F61" s="30">
        <v>28.5</v>
      </c>
      <c r="G61" s="5" t="s">
        <v>124</v>
      </c>
      <c r="H61" s="11" t="s">
        <v>2098</v>
      </c>
      <c r="I61" s="11" t="s">
        <v>2713</v>
      </c>
      <c r="J61" s="5" t="s">
        <v>531</v>
      </c>
      <c r="K61" s="11" t="s">
        <v>421</v>
      </c>
      <c r="L61" s="95" t="s">
        <v>351</v>
      </c>
      <c r="M61" s="5" t="s">
        <v>2423</v>
      </c>
      <c r="N61" s="82">
        <v>39735</v>
      </c>
      <c r="O61" s="5" t="s">
        <v>3050</v>
      </c>
      <c r="P61" s="26" t="s">
        <v>1041</v>
      </c>
      <c r="Q61" s="5" t="s">
        <v>1041</v>
      </c>
    </row>
    <row r="62" spans="1:20" ht="17.25" customHeight="1" x14ac:dyDescent="0.2">
      <c r="A62" s="79" t="s">
        <v>4444</v>
      </c>
      <c r="B62" s="11" t="s">
        <v>3057</v>
      </c>
      <c r="C62" s="11" t="s">
        <v>3058</v>
      </c>
      <c r="D62" s="27">
        <v>38810</v>
      </c>
      <c r="E62" s="30">
        <v>106.5</v>
      </c>
      <c r="F62" s="30">
        <v>106.5</v>
      </c>
      <c r="G62" s="5" t="s">
        <v>124</v>
      </c>
      <c r="H62" s="11" t="s">
        <v>2747</v>
      </c>
      <c r="I62" s="11" t="s">
        <v>2713</v>
      </c>
      <c r="J62" s="5" t="s">
        <v>420</v>
      </c>
      <c r="K62" s="11" t="s">
        <v>288</v>
      </c>
      <c r="L62" s="5" t="s">
        <v>41</v>
      </c>
      <c r="M62" s="5" t="s">
        <v>2423</v>
      </c>
      <c r="N62" s="82">
        <v>39874</v>
      </c>
      <c r="O62" s="5" t="s">
        <v>3045</v>
      </c>
      <c r="P62" s="26" t="s">
        <v>1041</v>
      </c>
      <c r="Q62" s="5" t="s">
        <v>1041</v>
      </c>
    </row>
    <row r="63" spans="1:20" ht="17.25" customHeight="1" x14ac:dyDescent="0.2">
      <c r="A63" s="87" t="s">
        <v>4445</v>
      </c>
      <c r="B63" s="88" t="s">
        <v>2635</v>
      </c>
      <c r="C63" s="88" t="s">
        <v>2636</v>
      </c>
      <c r="D63" s="89">
        <v>38842</v>
      </c>
      <c r="E63" s="90">
        <v>168</v>
      </c>
      <c r="F63" s="90">
        <v>168</v>
      </c>
      <c r="G63" s="15" t="s">
        <v>258</v>
      </c>
      <c r="H63" s="88" t="s">
        <v>590</v>
      </c>
      <c r="I63" s="11" t="s">
        <v>2713</v>
      </c>
      <c r="J63" s="15" t="s">
        <v>393</v>
      </c>
      <c r="K63" s="88" t="s">
        <v>2637</v>
      </c>
      <c r="L63" s="15" t="s">
        <v>157</v>
      </c>
      <c r="M63" s="15" t="s">
        <v>2423</v>
      </c>
      <c r="N63" s="92">
        <v>41364</v>
      </c>
      <c r="O63" s="15" t="s">
        <v>255</v>
      </c>
      <c r="P63" s="99" t="s">
        <v>1041</v>
      </c>
      <c r="Q63" s="15" t="s">
        <v>1041</v>
      </c>
    </row>
    <row r="64" spans="1:20" ht="17.25" customHeight="1" x14ac:dyDescent="0.2">
      <c r="A64" s="79" t="s">
        <v>4446</v>
      </c>
      <c r="B64" s="11" t="s">
        <v>3059</v>
      </c>
      <c r="C64" s="11" t="s">
        <v>3060</v>
      </c>
      <c r="D64" s="27">
        <v>38898</v>
      </c>
      <c r="E64" s="81" t="s">
        <v>54</v>
      </c>
      <c r="F64" s="81" t="s">
        <v>54</v>
      </c>
      <c r="G64" s="5" t="s">
        <v>256</v>
      </c>
      <c r="H64" s="43" t="s">
        <v>3158</v>
      </c>
      <c r="I64" s="11" t="s">
        <v>2713</v>
      </c>
      <c r="J64" s="44" t="s">
        <v>692</v>
      </c>
      <c r="K64" s="11" t="s">
        <v>3061</v>
      </c>
      <c r="L64" s="100" t="s">
        <v>3021</v>
      </c>
      <c r="M64" s="5" t="s">
        <v>2423</v>
      </c>
      <c r="N64" s="82">
        <v>39911</v>
      </c>
      <c r="O64" s="5" t="s">
        <v>433</v>
      </c>
      <c r="P64" s="26" t="s">
        <v>1041</v>
      </c>
      <c r="Q64" s="5" t="s">
        <v>54</v>
      </c>
    </row>
    <row r="65" spans="1:17" ht="17.25" customHeight="1" x14ac:dyDescent="0.2">
      <c r="A65" s="79" t="s">
        <v>4447</v>
      </c>
      <c r="B65" s="11" t="s">
        <v>3062</v>
      </c>
      <c r="C65" s="11" t="s">
        <v>3063</v>
      </c>
      <c r="D65" s="27">
        <v>38954</v>
      </c>
      <c r="E65" s="30">
        <v>6.4</v>
      </c>
      <c r="F65" s="30">
        <v>6.4</v>
      </c>
      <c r="G65" s="5" t="s">
        <v>440</v>
      </c>
      <c r="H65" s="11" t="s">
        <v>2758</v>
      </c>
      <c r="I65" s="11" t="s">
        <v>2713</v>
      </c>
      <c r="J65" s="5" t="s">
        <v>393</v>
      </c>
      <c r="K65" s="11" t="s">
        <v>4836</v>
      </c>
      <c r="L65" s="5" t="s">
        <v>34</v>
      </c>
      <c r="M65" s="5" t="s">
        <v>2423</v>
      </c>
      <c r="N65" s="82">
        <v>39804</v>
      </c>
      <c r="O65" s="5"/>
      <c r="P65" s="26" t="s">
        <v>1041</v>
      </c>
      <c r="Q65" s="5" t="s">
        <v>1041</v>
      </c>
    </row>
    <row r="66" spans="1:17" s="4" customFormat="1" ht="17.25" customHeight="1" x14ac:dyDescent="0.2">
      <c r="A66" s="79" t="s">
        <v>4448</v>
      </c>
      <c r="B66" s="11" t="s">
        <v>4933</v>
      </c>
      <c r="C66" s="11" t="s">
        <v>3064</v>
      </c>
      <c r="D66" s="27">
        <v>38967</v>
      </c>
      <c r="E66" s="81" t="s">
        <v>54</v>
      </c>
      <c r="F66" s="81" t="s">
        <v>54</v>
      </c>
      <c r="G66" s="5" t="s">
        <v>256</v>
      </c>
      <c r="H66" s="11" t="s">
        <v>2805</v>
      </c>
      <c r="I66" s="11" t="s">
        <v>2713</v>
      </c>
      <c r="J66" s="5" t="s">
        <v>393</v>
      </c>
      <c r="K66" s="11" t="s">
        <v>3065</v>
      </c>
      <c r="L66" s="5" t="s">
        <v>34</v>
      </c>
      <c r="M66" s="5" t="s">
        <v>2423</v>
      </c>
      <c r="N66" s="82">
        <v>40574</v>
      </c>
      <c r="O66" s="5" t="s">
        <v>433</v>
      </c>
      <c r="P66" s="26" t="s">
        <v>1041</v>
      </c>
      <c r="Q66" s="5" t="s">
        <v>54</v>
      </c>
    </row>
    <row r="67" spans="1:17" s="4" customFormat="1" ht="17.25" customHeight="1" x14ac:dyDescent="0.2">
      <c r="A67" s="87" t="s">
        <v>4449</v>
      </c>
      <c r="B67" s="88" t="s">
        <v>2638</v>
      </c>
      <c r="C67" s="88" t="s">
        <v>1036</v>
      </c>
      <c r="D67" s="89">
        <v>39048</v>
      </c>
      <c r="E67" s="90">
        <v>500</v>
      </c>
      <c r="F67" s="90">
        <v>500</v>
      </c>
      <c r="G67" s="15" t="s">
        <v>420</v>
      </c>
      <c r="H67" s="88" t="s">
        <v>320</v>
      </c>
      <c r="I67" s="88" t="s">
        <v>2781</v>
      </c>
      <c r="J67" s="15" t="s">
        <v>533</v>
      </c>
      <c r="K67" s="88" t="s">
        <v>507</v>
      </c>
      <c r="L67" s="15" t="s">
        <v>403</v>
      </c>
      <c r="M67" s="15" t="s">
        <v>2423</v>
      </c>
      <c r="N67" s="92">
        <v>41364</v>
      </c>
      <c r="O67" s="97" t="s">
        <v>3066</v>
      </c>
      <c r="P67" s="98" t="s">
        <v>1041</v>
      </c>
      <c r="Q67" s="15" t="s">
        <v>1041</v>
      </c>
    </row>
    <row r="68" spans="1:17" s="4" customFormat="1" ht="17.25" customHeight="1" x14ac:dyDescent="0.2">
      <c r="A68" s="79" t="s">
        <v>4450</v>
      </c>
      <c r="B68" s="11" t="s">
        <v>3067</v>
      </c>
      <c r="C68" s="11" t="s">
        <v>3068</v>
      </c>
      <c r="D68" s="27">
        <v>39048</v>
      </c>
      <c r="E68" s="30">
        <v>8.5</v>
      </c>
      <c r="F68" s="30">
        <v>8.5</v>
      </c>
      <c r="G68" s="5" t="s">
        <v>318</v>
      </c>
      <c r="H68" s="11" t="s">
        <v>3159</v>
      </c>
      <c r="I68" s="11" t="s">
        <v>2713</v>
      </c>
      <c r="J68" s="5" t="s">
        <v>471</v>
      </c>
      <c r="K68" s="11" t="s">
        <v>3069</v>
      </c>
      <c r="L68" s="5" t="s">
        <v>157</v>
      </c>
      <c r="M68" s="5" t="s">
        <v>2423</v>
      </c>
      <c r="N68" s="82">
        <v>40225</v>
      </c>
      <c r="O68" s="5" t="s">
        <v>3070</v>
      </c>
      <c r="P68" s="5" t="s">
        <v>1041</v>
      </c>
      <c r="Q68" s="26" t="s">
        <v>1041</v>
      </c>
    </row>
    <row r="69" spans="1:17" s="4" customFormat="1" ht="17.25" customHeight="1" x14ac:dyDescent="0.2">
      <c r="A69" s="79" t="s">
        <v>4451</v>
      </c>
      <c r="B69" s="11" t="s">
        <v>3071</v>
      </c>
      <c r="C69" s="11" t="s">
        <v>3072</v>
      </c>
      <c r="D69" s="27">
        <v>39059</v>
      </c>
      <c r="E69" s="30">
        <v>15</v>
      </c>
      <c r="F69" s="30">
        <v>15</v>
      </c>
      <c r="G69" s="5" t="s">
        <v>124</v>
      </c>
      <c r="H69" s="11" t="s">
        <v>2775</v>
      </c>
      <c r="I69" s="11" t="s">
        <v>2713</v>
      </c>
      <c r="J69" s="5" t="s">
        <v>531</v>
      </c>
      <c r="K69" s="11" t="s">
        <v>3073</v>
      </c>
      <c r="L69" s="5" t="s">
        <v>157</v>
      </c>
      <c r="M69" s="5" t="s">
        <v>2423</v>
      </c>
      <c r="N69" s="82">
        <v>40939</v>
      </c>
      <c r="O69" s="5" t="s">
        <v>3074</v>
      </c>
      <c r="P69" s="26" t="s">
        <v>1041</v>
      </c>
      <c r="Q69" s="5" t="s">
        <v>1041</v>
      </c>
    </row>
    <row r="70" spans="1:17" ht="17.25" customHeight="1" x14ac:dyDescent="0.2">
      <c r="A70" s="79" t="s">
        <v>4452</v>
      </c>
      <c r="B70" s="11" t="s">
        <v>2669</v>
      </c>
      <c r="C70" s="11" t="s">
        <v>3075</v>
      </c>
      <c r="D70" s="27">
        <v>39093</v>
      </c>
      <c r="E70" s="30">
        <v>6.4</v>
      </c>
      <c r="F70" s="30">
        <v>6.4</v>
      </c>
      <c r="G70" s="5" t="s">
        <v>440</v>
      </c>
      <c r="H70" s="11" t="s">
        <v>2728</v>
      </c>
      <c r="I70" s="11" t="s">
        <v>2713</v>
      </c>
      <c r="J70" s="5" t="s">
        <v>531</v>
      </c>
      <c r="K70" s="11" t="s">
        <v>4839</v>
      </c>
      <c r="L70" s="5" t="s">
        <v>157</v>
      </c>
      <c r="M70" s="5" t="s">
        <v>2423</v>
      </c>
      <c r="N70" s="82">
        <v>40114</v>
      </c>
      <c r="O70" s="5" t="s">
        <v>3076</v>
      </c>
      <c r="P70" s="5" t="s">
        <v>1041</v>
      </c>
      <c r="Q70" s="5" t="s">
        <v>1041</v>
      </c>
    </row>
    <row r="71" spans="1:17" ht="17.25" customHeight="1" x14ac:dyDescent="0.2">
      <c r="A71" s="87" t="s">
        <v>4453</v>
      </c>
      <c r="B71" s="88" t="s">
        <v>431</v>
      </c>
      <c r="C71" s="88" t="s">
        <v>2639</v>
      </c>
      <c r="D71" s="89">
        <v>39189</v>
      </c>
      <c r="E71" s="90">
        <v>3.2</v>
      </c>
      <c r="F71" s="90">
        <v>3.2</v>
      </c>
      <c r="G71" s="15" t="s">
        <v>440</v>
      </c>
      <c r="H71" s="88" t="s">
        <v>3160</v>
      </c>
      <c r="I71" s="11" t="s">
        <v>2713</v>
      </c>
      <c r="J71" s="15" t="s">
        <v>471</v>
      </c>
      <c r="K71" s="88" t="s">
        <v>4840</v>
      </c>
      <c r="L71" s="15" t="s">
        <v>157</v>
      </c>
      <c r="M71" s="15" t="s">
        <v>2423</v>
      </c>
      <c r="N71" s="92">
        <v>40877</v>
      </c>
      <c r="O71" s="5" t="s">
        <v>3077</v>
      </c>
      <c r="P71" s="98" t="s">
        <v>1041</v>
      </c>
      <c r="Q71" s="5" t="s">
        <v>1041</v>
      </c>
    </row>
    <row r="72" spans="1:17" s="4" customFormat="1" ht="17.25" customHeight="1" x14ac:dyDescent="0.2">
      <c r="A72" s="87" t="s">
        <v>4454</v>
      </c>
      <c r="B72" s="88" t="s">
        <v>400</v>
      </c>
      <c r="C72" s="88" t="s">
        <v>2640</v>
      </c>
      <c r="D72" s="89">
        <v>39265</v>
      </c>
      <c r="E72" s="90">
        <v>5.6</v>
      </c>
      <c r="F72" s="90">
        <v>5.6</v>
      </c>
      <c r="G72" s="15" t="s">
        <v>440</v>
      </c>
      <c r="H72" s="88" t="s">
        <v>2640</v>
      </c>
      <c r="I72" s="11" t="s">
        <v>2713</v>
      </c>
      <c r="J72" s="15" t="s">
        <v>393</v>
      </c>
      <c r="K72" s="88" t="s">
        <v>4841</v>
      </c>
      <c r="L72" s="15" t="s">
        <v>34</v>
      </c>
      <c r="M72" s="15" t="s">
        <v>2423</v>
      </c>
      <c r="N72" s="92">
        <v>41364</v>
      </c>
      <c r="O72" s="5" t="s">
        <v>3078</v>
      </c>
      <c r="P72" s="15" t="s">
        <v>1041</v>
      </c>
      <c r="Q72" s="15" t="s">
        <v>1041</v>
      </c>
    </row>
    <row r="73" spans="1:17" s="4" customFormat="1" ht="17.25" customHeight="1" x14ac:dyDescent="0.2">
      <c r="A73" s="79" t="s">
        <v>4455</v>
      </c>
      <c r="B73" s="11" t="s">
        <v>454</v>
      </c>
      <c r="C73" s="11" t="s">
        <v>3085</v>
      </c>
      <c r="D73" s="27">
        <v>39268</v>
      </c>
      <c r="E73" s="30">
        <v>677.6</v>
      </c>
      <c r="F73" s="30">
        <v>690.6</v>
      </c>
      <c r="G73" s="5" t="s">
        <v>420</v>
      </c>
      <c r="H73" s="11" t="s">
        <v>2717</v>
      </c>
      <c r="I73" s="11" t="s">
        <v>2713</v>
      </c>
      <c r="J73" s="5" t="s">
        <v>539</v>
      </c>
      <c r="K73" s="11" t="s">
        <v>4842</v>
      </c>
      <c r="L73" s="5" t="s">
        <v>41</v>
      </c>
      <c r="M73" s="5" t="s">
        <v>2423</v>
      </c>
      <c r="N73" s="82">
        <v>43190</v>
      </c>
      <c r="O73" s="44" t="s">
        <v>684</v>
      </c>
      <c r="P73" s="15" t="s">
        <v>1041</v>
      </c>
      <c r="Q73" s="15" t="s">
        <v>1041</v>
      </c>
    </row>
    <row r="74" spans="1:17" s="4" customFormat="1" ht="17.25" customHeight="1" x14ac:dyDescent="0.2">
      <c r="A74" s="87" t="s">
        <v>4456</v>
      </c>
      <c r="B74" s="101" t="s">
        <v>2641</v>
      </c>
      <c r="C74" s="88" t="s">
        <v>2642</v>
      </c>
      <c r="D74" s="89">
        <v>39350</v>
      </c>
      <c r="E74" s="90">
        <v>20</v>
      </c>
      <c r="F74" s="90">
        <v>20</v>
      </c>
      <c r="G74" s="15" t="s">
        <v>471</v>
      </c>
      <c r="H74" s="88" t="s">
        <v>2796</v>
      </c>
      <c r="I74" s="11" t="s">
        <v>2713</v>
      </c>
      <c r="J74" s="15" t="s">
        <v>471</v>
      </c>
      <c r="K74" s="88" t="s">
        <v>2643</v>
      </c>
      <c r="L74" s="15" t="s">
        <v>34</v>
      </c>
      <c r="M74" s="15" t="s">
        <v>2423</v>
      </c>
      <c r="N74" s="92">
        <v>40877</v>
      </c>
      <c r="O74" s="5" t="s">
        <v>3079</v>
      </c>
      <c r="P74" s="98" t="s">
        <v>1041</v>
      </c>
      <c r="Q74" s="5" t="s">
        <v>1041</v>
      </c>
    </row>
    <row r="75" spans="1:17" ht="17.25" customHeight="1" x14ac:dyDescent="0.2">
      <c r="A75" s="87" t="s">
        <v>4457</v>
      </c>
      <c r="B75" s="102" t="s">
        <v>2644</v>
      </c>
      <c r="C75" s="88" t="s">
        <v>2645</v>
      </c>
      <c r="D75" s="89">
        <v>39367</v>
      </c>
      <c r="E75" s="90">
        <v>92.8</v>
      </c>
      <c r="F75" s="90">
        <v>92.8</v>
      </c>
      <c r="G75" s="15" t="s">
        <v>124</v>
      </c>
      <c r="H75" s="88" t="s">
        <v>2098</v>
      </c>
      <c r="I75" s="11" t="s">
        <v>2713</v>
      </c>
      <c r="J75" s="15" t="s">
        <v>393</v>
      </c>
      <c r="K75" s="88" t="s">
        <v>2646</v>
      </c>
      <c r="L75" s="15" t="s">
        <v>34</v>
      </c>
      <c r="M75" s="15" t="s">
        <v>2423</v>
      </c>
      <c r="N75" s="92">
        <v>41729</v>
      </c>
      <c r="O75" s="5" t="s">
        <v>3080</v>
      </c>
      <c r="P75" s="98" t="s">
        <v>1041</v>
      </c>
      <c r="Q75" s="98" t="s">
        <v>1041</v>
      </c>
    </row>
    <row r="76" spans="1:17" ht="17.25" customHeight="1" x14ac:dyDescent="0.2">
      <c r="A76" s="79" t="s">
        <v>4458</v>
      </c>
      <c r="B76" s="11" t="s">
        <v>194</v>
      </c>
      <c r="C76" s="11" t="s">
        <v>3081</v>
      </c>
      <c r="D76" s="27">
        <v>39434</v>
      </c>
      <c r="E76" s="81" t="s">
        <v>54</v>
      </c>
      <c r="F76" s="81" t="s">
        <v>54</v>
      </c>
      <c r="G76" s="5" t="s">
        <v>256</v>
      </c>
      <c r="H76" s="11" t="s">
        <v>2723</v>
      </c>
      <c r="I76" s="11" t="s">
        <v>2713</v>
      </c>
      <c r="J76" s="5" t="s">
        <v>471</v>
      </c>
      <c r="K76" s="11" t="s">
        <v>3082</v>
      </c>
      <c r="L76" s="5" t="s">
        <v>157</v>
      </c>
      <c r="M76" s="5" t="s">
        <v>2423</v>
      </c>
      <c r="N76" s="82">
        <v>39735</v>
      </c>
      <c r="O76" s="5" t="s">
        <v>433</v>
      </c>
      <c r="P76" s="26" t="s">
        <v>1041</v>
      </c>
      <c r="Q76" s="5" t="s">
        <v>54</v>
      </c>
    </row>
    <row r="77" spans="1:17" s="4" customFormat="1" ht="17.25" customHeight="1" x14ac:dyDescent="0.2">
      <c r="A77" s="87" t="s">
        <v>4459</v>
      </c>
      <c r="B77" s="88" t="s">
        <v>2647</v>
      </c>
      <c r="C77" s="88" t="s">
        <v>2648</v>
      </c>
      <c r="D77" s="89">
        <v>39513</v>
      </c>
      <c r="E77" s="90">
        <v>1.6</v>
      </c>
      <c r="F77" s="90">
        <v>1.6</v>
      </c>
      <c r="G77" s="15" t="s">
        <v>440</v>
      </c>
      <c r="H77" s="88" t="s">
        <v>2763</v>
      </c>
      <c r="I77" s="11" t="s">
        <v>2713</v>
      </c>
      <c r="J77" s="15" t="s">
        <v>393</v>
      </c>
      <c r="K77" s="88" t="s">
        <v>2649</v>
      </c>
      <c r="L77" s="15" t="s">
        <v>34</v>
      </c>
      <c r="M77" s="15" t="s">
        <v>2423</v>
      </c>
      <c r="N77" s="92">
        <v>41547</v>
      </c>
      <c r="O77" s="5" t="s">
        <v>464</v>
      </c>
      <c r="P77" s="98" t="s">
        <v>1041</v>
      </c>
      <c r="Q77" s="98" t="s">
        <v>1041</v>
      </c>
    </row>
    <row r="78" spans="1:17" s="4" customFormat="1" ht="17.25" customHeight="1" x14ac:dyDescent="0.2">
      <c r="A78" s="79" t="s">
        <v>4460</v>
      </c>
      <c r="B78" s="11" t="s">
        <v>4933</v>
      </c>
      <c r="C78" s="11" t="s">
        <v>3083</v>
      </c>
      <c r="D78" s="27">
        <v>39539</v>
      </c>
      <c r="E78" s="81" t="s">
        <v>54</v>
      </c>
      <c r="F78" s="81" t="s">
        <v>54</v>
      </c>
      <c r="G78" s="5" t="s">
        <v>256</v>
      </c>
      <c r="H78" s="11" t="s">
        <v>2732</v>
      </c>
      <c r="I78" s="11" t="s">
        <v>2713</v>
      </c>
      <c r="J78" s="5" t="s">
        <v>393</v>
      </c>
      <c r="K78" s="11" t="s">
        <v>3084</v>
      </c>
      <c r="L78" s="5" t="s">
        <v>34</v>
      </c>
      <c r="M78" s="5" t="s">
        <v>2423</v>
      </c>
      <c r="N78" s="82">
        <v>40816</v>
      </c>
      <c r="O78" s="5" t="s">
        <v>433</v>
      </c>
      <c r="P78" s="26" t="s">
        <v>1041</v>
      </c>
      <c r="Q78" s="5" t="s">
        <v>54</v>
      </c>
    </row>
    <row r="79" spans="1:17" s="4" customFormat="1" ht="17.25" customHeight="1" x14ac:dyDescent="0.2">
      <c r="A79" s="87" t="s">
        <v>4462</v>
      </c>
      <c r="B79" s="88" t="s">
        <v>544</v>
      </c>
      <c r="C79" s="88" t="s">
        <v>2653</v>
      </c>
      <c r="D79" s="89">
        <v>39567</v>
      </c>
      <c r="E79" s="96" t="s">
        <v>54</v>
      </c>
      <c r="F79" s="96" t="s">
        <v>54</v>
      </c>
      <c r="G79" s="15" t="s">
        <v>256</v>
      </c>
      <c r="H79" s="102" t="s">
        <v>3161</v>
      </c>
      <c r="I79" s="11" t="s">
        <v>2713</v>
      </c>
      <c r="J79" s="15" t="s">
        <v>539</v>
      </c>
      <c r="K79" s="88" t="s">
        <v>2654</v>
      </c>
      <c r="L79" s="15" t="s">
        <v>1162</v>
      </c>
      <c r="M79" s="15" t="s">
        <v>2423</v>
      </c>
      <c r="N79" s="92">
        <v>42124</v>
      </c>
      <c r="O79" s="15" t="s">
        <v>433</v>
      </c>
      <c r="P79" s="15" t="s">
        <v>1041</v>
      </c>
      <c r="Q79" s="5" t="s">
        <v>54</v>
      </c>
    </row>
    <row r="80" spans="1:17" ht="17.25" customHeight="1" x14ac:dyDescent="0.2">
      <c r="A80" s="87" t="s">
        <v>4463</v>
      </c>
      <c r="B80" s="88" t="s">
        <v>2655</v>
      </c>
      <c r="C80" s="88" t="s">
        <v>2656</v>
      </c>
      <c r="D80" s="89">
        <v>39680</v>
      </c>
      <c r="E80" s="90">
        <v>576</v>
      </c>
      <c r="F80" s="90">
        <v>617.20000000000005</v>
      </c>
      <c r="G80" s="15" t="s">
        <v>340</v>
      </c>
      <c r="H80" s="88" t="s">
        <v>2719</v>
      </c>
      <c r="I80" s="11" t="s">
        <v>2713</v>
      </c>
      <c r="J80" s="15" t="s">
        <v>533</v>
      </c>
      <c r="K80" s="88" t="s">
        <v>481</v>
      </c>
      <c r="L80" s="15" t="s">
        <v>41</v>
      </c>
      <c r="M80" s="15" t="s">
        <v>2423</v>
      </c>
      <c r="N80" s="92">
        <v>40877</v>
      </c>
      <c r="O80" s="15" t="s">
        <v>254</v>
      </c>
      <c r="P80" s="98" t="s">
        <v>1041</v>
      </c>
      <c r="Q80" s="5" t="s">
        <v>1041</v>
      </c>
    </row>
    <row r="81" spans="1:17" ht="17.25" customHeight="1" x14ac:dyDescent="0.2">
      <c r="A81" s="79" t="s">
        <v>4464</v>
      </c>
      <c r="B81" s="10" t="s">
        <v>597</v>
      </c>
      <c r="C81" s="11" t="s">
        <v>2708</v>
      </c>
      <c r="D81" s="27">
        <v>39785</v>
      </c>
      <c r="E81" s="10">
        <v>20</v>
      </c>
      <c r="F81" s="10">
        <v>20</v>
      </c>
      <c r="G81" s="5" t="s">
        <v>615</v>
      </c>
      <c r="H81" s="11" t="s">
        <v>2763</v>
      </c>
      <c r="I81" s="11" t="s">
        <v>2713</v>
      </c>
      <c r="J81" s="5" t="s">
        <v>393</v>
      </c>
      <c r="K81" s="11" t="s">
        <v>2709</v>
      </c>
      <c r="L81" s="5" t="s">
        <v>34</v>
      </c>
      <c r="M81" s="5" t="s">
        <v>2423</v>
      </c>
      <c r="N81" s="82">
        <v>40543</v>
      </c>
      <c r="O81" s="5" t="s">
        <v>2628</v>
      </c>
      <c r="P81" s="5" t="s">
        <v>1041</v>
      </c>
      <c r="Q81" s="5" t="s">
        <v>1041</v>
      </c>
    </row>
    <row r="82" spans="1:17" s="4" customFormat="1" ht="17.25" customHeight="1" x14ac:dyDescent="0.2">
      <c r="A82" s="87" t="s">
        <v>4465</v>
      </c>
      <c r="B82" s="83" t="s">
        <v>2657</v>
      </c>
      <c r="C82" s="88" t="s">
        <v>2658</v>
      </c>
      <c r="D82" s="89">
        <v>39881</v>
      </c>
      <c r="E82" s="90" t="s">
        <v>54</v>
      </c>
      <c r="F82" s="90" t="s">
        <v>54</v>
      </c>
      <c r="G82" s="15" t="s">
        <v>256</v>
      </c>
      <c r="H82" s="88" t="s">
        <v>2758</v>
      </c>
      <c r="I82" s="11" t="s">
        <v>2713</v>
      </c>
      <c r="J82" s="15" t="s">
        <v>540</v>
      </c>
      <c r="K82" s="88" t="s">
        <v>2659</v>
      </c>
      <c r="L82" s="15" t="s">
        <v>34</v>
      </c>
      <c r="M82" s="15" t="s">
        <v>2423</v>
      </c>
      <c r="N82" s="92">
        <v>41759</v>
      </c>
      <c r="O82" s="15" t="s">
        <v>433</v>
      </c>
      <c r="P82" s="98" t="s">
        <v>1041</v>
      </c>
      <c r="Q82" s="5" t="s">
        <v>54</v>
      </c>
    </row>
    <row r="83" spans="1:17" ht="17.25" customHeight="1" x14ac:dyDescent="0.2">
      <c r="A83" s="87" t="s">
        <v>4466</v>
      </c>
      <c r="B83" s="83" t="s">
        <v>2660</v>
      </c>
      <c r="C83" s="88" t="s">
        <v>2661</v>
      </c>
      <c r="D83" s="89">
        <v>39910</v>
      </c>
      <c r="E83" s="90">
        <v>31.5</v>
      </c>
      <c r="F83" s="90">
        <v>32</v>
      </c>
      <c r="G83" s="15" t="s">
        <v>55</v>
      </c>
      <c r="H83" s="88" t="s">
        <v>2716</v>
      </c>
      <c r="I83" s="11" t="s">
        <v>2713</v>
      </c>
      <c r="J83" s="15" t="s">
        <v>532</v>
      </c>
      <c r="K83" s="88" t="s">
        <v>2662</v>
      </c>
      <c r="L83" s="15" t="s">
        <v>87</v>
      </c>
      <c r="M83" s="15" t="s">
        <v>2423</v>
      </c>
      <c r="N83" s="92">
        <v>40877</v>
      </c>
      <c r="O83" s="15" t="s">
        <v>254</v>
      </c>
      <c r="P83" s="98" t="s">
        <v>1041</v>
      </c>
      <c r="Q83" s="5" t="s">
        <v>1041</v>
      </c>
    </row>
    <row r="84" spans="1:17" ht="17.25" customHeight="1" x14ac:dyDescent="0.2">
      <c r="A84" s="79" t="s">
        <v>4467</v>
      </c>
      <c r="B84" s="10" t="s">
        <v>194</v>
      </c>
      <c r="C84" s="11" t="s">
        <v>3092</v>
      </c>
      <c r="D84" s="27">
        <v>39925</v>
      </c>
      <c r="E84" s="25" t="s">
        <v>54</v>
      </c>
      <c r="F84" s="25" t="s">
        <v>54</v>
      </c>
      <c r="G84" s="5" t="s">
        <v>256</v>
      </c>
      <c r="H84" s="11" t="s">
        <v>2723</v>
      </c>
      <c r="I84" s="11" t="s">
        <v>2713</v>
      </c>
      <c r="J84" s="5" t="s">
        <v>471</v>
      </c>
      <c r="K84" s="11" t="s">
        <v>3093</v>
      </c>
      <c r="L84" s="5" t="s">
        <v>157</v>
      </c>
      <c r="M84" s="15" t="s">
        <v>2423</v>
      </c>
      <c r="N84" s="82">
        <v>43555</v>
      </c>
      <c r="O84" s="5" t="s">
        <v>433</v>
      </c>
      <c r="P84" s="98" t="s">
        <v>1041</v>
      </c>
      <c r="Q84" s="5" t="s">
        <v>54</v>
      </c>
    </row>
    <row r="85" spans="1:17" s="4" customFormat="1" ht="17.25" customHeight="1" x14ac:dyDescent="0.2">
      <c r="A85" s="79" t="s">
        <v>4468</v>
      </c>
      <c r="B85" s="10" t="s">
        <v>194</v>
      </c>
      <c r="C85" s="11" t="s">
        <v>3094</v>
      </c>
      <c r="D85" s="27">
        <v>39938</v>
      </c>
      <c r="E85" s="25" t="s">
        <v>54</v>
      </c>
      <c r="F85" s="25" t="s">
        <v>54</v>
      </c>
      <c r="G85" s="5" t="s">
        <v>256</v>
      </c>
      <c r="H85" s="11" t="s">
        <v>2741</v>
      </c>
      <c r="I85" s="11" t="s">
        <v>2713</v>
      </c>
      <c r="J85" s="5" t="s">
        <v>531</v>
      </c>
      <c r="K85" s="11" t="s">
        <v>3095</v>
      </c>
      <c r="L85" s="5" t="s">
        <v>157</v>
      </c>
      <c r="M85" s="15" t="s">
        <v>2423</v>
      </c>
      <c r="N85" s="82">
        <v>43555</v>
      </c>
      <c r="O85" s="5" t="s">
        <v>433</v>
      </c>
      <c r="P85" s="98" t="s">
        <v>1041</v>
      </c>
      <c r="Q85" s="5" t="s">
        <v>54</v>
      </c>
    </row>
    <row r="86" spans="1:17" ht="17.25" customHeight="1" x14ac:dyDescent="0.2">
      <c r="A86" s="87" t="s">
        <v>4469</v>
      </c>
      <c r="B86" s="83" t="s">
        <v>2663</v>
      </c>
      <c r="C86" s="88" t="s">
        <v>2664</v>
      </c>
      <c r="D86" s="89">
        <v>40008</v>
      </c>
      <c r="E86" s="90" t="s">
        <v>54</v>
      </c>
      <c r="F86" s="90" t="s">
        <v>54</v>
      </c>
      <c r="G86" s="15" t="s">
        <v>256</v>
      </c>
      <c r="H86" s="88" t="s">
        <v>2716</v>
      </c>
      <c r="I86" s="11" t="s">
        <v>2713</v>
      </c>
      <c r="J86" s="15" t="s">
        <v>532</v>
      </c>
      <c r="K86" s="88" t="s">
        <v>2665</v>
      </c>
      <c r="L86" s="15" t="s">
        <v>87</v>
      </c>
      <c r="M86" s="15" t="s">
        <v>2423</v>
      </c>
      <c r="N86" s="92">
        <v>40574</v>
      </c>
      <c r="O86" s="15" t="s">
        <v>433</v>
      </c>
      <c r="P86" s="5" t="s">
        <v>1041</v>
      </c>
      <c r="Q86" s="5" t="s">
        <v>54</v>
      </c>
    </row>
    <row r="87" spans="1:17" s="4" customFormat="1" ht="17.25" customHeight="1" x14ac:dyDescent="0.2">
      <c r="A87" s="103" t="s">
        <v>4331</v>
      </c>
      <c r="B87" s="104" t="s">
        <v>191</v>
      </c>
      <c r="C87" s="105" t="s">
        <v>650</v>
      </c>
      <c r="D87" s="27">
        <v>40042</v>
      </c>
      <c r="E87" s="106" t="s">
        <v>54</v>
      </c>
      <c r="F87" s="106" t="s">
        <v>54</v>
      </c>
      <c r="G87" s="5" t="s">
        <v>256</v>
      </c>
      <c r="H87" s="11" t="s">
        <v>2758</v>
      </c>
      <c r="I87" s="11" t="s">
        <v>2713</v>
      </c>
      <c r="J87" s="5" t="s">
        <v>540</v>
      </c>
      <c r="K87" s="11" t="s">
        <v>667</v>
      </c>
      <c r="L87" s="5" t="s">
        <v>191</v>
      </c>
      <c r="M87" s="107" t="s">
        <v>2423</v>
      </c>
      <c r="N87" s="82">
        <v>43585</v>
      </c>
      <c r="O87" s="5" t="s">
        <v>433</v>
      </c>
      <c r="P87" s="26" t="s">
        <v>1041</v>
      </c>
      <c r="Q87" s="5" t="s">
        <v>54</v>
      </c>
    </row>
    <row r="88" spans="1:17" ht="17.25" customHeight="1" x14ac:dyDescent="0.2">
      <c r="A88" s="87" t="s">
        <v>4470</v>
      </c>
      <c r="B88" s="83" t="s">
        <v>191</v>
      </c>
      <c r="C88" s="88" t="s">
        <v>4835</v>
      </c>
      <c r="D88" s="89">
        <v>40058</v>
      </c>
      <c r="E88" s="90">
        <v>2</v>
      </c>
      <c r="F88" s="90">
        <v>2</v>
      </c>
      <c r="G88" s="15" t="s">
        <v>318</v>
      </c>
      <c r="H88" s="88" t="s">
        <v>2758</v>
      </c>
      <c r="I88" s="11" t="s">
        <v>2713</v>
      </c>
      <c r="J88" s="15" t="s">
        <v>540</v>
      </c>
      <c r="K88" s="88" t="s">
        <v>2666</v>
      </c>
      <c r="L88" s="15" t="s">
        <v>191</v>
      </c>
      <c r="M88" s="15" t="s">
        <v>2423</v>
      </c>
      <c r="N88" s="92">
        <v>40939</v>
      </c>
      <c r="O88" s="15" t="s">
        <v>2628</v>
      </c>
      <c r="P88" s="15" t="s">
        <v>1041</v>
      </c>
      <c r="Q88" s="5" t="s">
        <v>1041</v>
      </c>
    </row>
    <row r="89" spans="1:17" ht="17.25" customHeight="1" x14ac:dyDescent="0.2">
      <c r="A89" s="87" t="s">
        <v>4471</v>
      </c>
      <c r="B89" s="83" t="s">
        <v>2667</v>
      </c>
      <c r="C89" s="88" t="s">
        <v>2668</v>
      </c>
      <c r="D89" s="89">
        <v>40059</v>
      </c>
      <c r="E89" s="90">
        <v>6.4</v>
      </c>
      <c r="F89" s="90">
        <v>6.4</v>
      </c>
      <c r="G89" s="15" t="s">
        <v>440</v>
      </c>
      <c r="H89" s="88" t="s">
        <v>2759</v>
      </c>
      <c r="I89" s="11" t="s">
        <v>2713</v>
      </c>
      <c r="J89" s="15" t="s">
        <v>471</v>
      </c>
      <c r="K89" s="88" t="s">
        <v>901</v>
      </c>
      <c r="L89" s="15" t="s">
        <v>157</v>
      </c>
      <c r="M89" s="15" t="s">
        <v>2423</v>
      </c>
      <c r="N89" s="92">
        <v>41364</v>
      </c>
      <c r="O89" s="15" t="s">
        <v>2628</v>
      </c>
      <c r="P89" s="15" t="s">
        <v>1041</v>
      </c>
      <c r="Q89" s="15" t="s">
        <v>1041</v>
      </c>
    </row>
    <row r="90" spans="1:17" ht="17.25" customHeight="1" x14ac:dyDescent="0.2">
      <c r="A90" s="87" t="s">
        <v>4472</v>
      </c>
      <c r="B90" s="83" t="s">
        <v>2669</v>
      </c>
      <c r="C90" s="83" t="s">
        <v>2670</v>
      </c>
      <c r="D90" s="89">
        <v>40294</v>
      </c>
      <c r="E90" s="90">
        <v>3.2</v>
      </c>
      <c r="F90" s="90">
        <v>3.2</v>
      </c>
      <c r="G90" s="15" t="s">
        <v>440</v>
      </c>
      <c r="H90" s="88" t="s">
        <v>2728</v>
      </c>
      <c r="I90" s="11" t="s">
        <v>2713</v>
      </c>
      <c r="J90" s="15" t="s">
        <v>531</v>
      </c>
      <c r="K90" s="88" t="s">
        <v>4839</v>
      </c>
      <c r="L90" s="15" t="s">
        <v>157</v>
      </c>
      <c r="M90" s="15" t="s">
        <v>2423</v>
      </c>
      <c r="N90" s="92"/>
      <c r="O90" s="15" t="s">
        <v>2628</v>
      </c>
      <c r="P90" s="98" t="s">
        <v>1041</v>
      </c>
      <c r="Q90" s="5" t="s">
        <v>1041</v>
      </c>
    </row>
    <row r="91" spans="1:17" s="4" customFormat="1" ht="17.25" customHeight="1" x14ac:dyDescent="0.2">
      <c r="A91" s="87" t="s">
        <v>4473</v>
      </c>
      <c r="B91" s="83" t="s">
        <v>2671</v>
      </c>
      <c r="C91" s="83" t="s">
        <v>2672</v>
      </c>
      <c r="D91" s="89">
        <v>40393</v>
      </c>
      <c r="E91" s="90">
        <v>3</v>
      </c>
      <c r="F91" s="90">
        <v>3</v>
      </c>
      <c r="G91" s="15" t="s">
        <v>318</v>
      </c>
      <c r="H91" s="88" t="s">
        <v>2723</v>
      </c>
      <c r="I91" s="11" t="s">
        <v>2713</v>
      </c>
      <c r="J91" s="15" t="s">
        <v>471</v>
      </c>
      <c r="K91" s="88" t="s">
        <v>2673</v>
      </c>
      <c r="L91" s="15" t="s">
        <v>157</v>
      </c>
      <c r="M91" s="15" t="s">
        <v>2423</v>
      </c>
      <c r="N91" s="92">
        <v>42124</v>
      </c>
      <c r="O91" s="15" t="s">
        <v>255</v>
      </c>
      <c r="P91" s="98" t="s">
        <v>1041</v>
      </c>
      <c r="Q91" s="98" t="s">
        <v>1041</v>
      </c>
    </row>
    <row r="92" spans="1:17" ht="17.25" customHeight="1" x14ac:dyDescent="0.2">
      <c r="A92" s="87" t="s">
        <v>4474</v>
      </c>
      <c r="B92" s="69" t="s">
        <v>731</v>
      </c>
      <c r="C92" s="108" t="s">
        <v>2676</v>
      </c>
      <c r="D92" s="89">
        <v>40829</v>
      </c>
      <c r="E92" s="96" t="s">
        <v>54</v>
      </c>
      <c r="F92" s="96" t="s">
        <v>54</v>
      </c>
      <c r="G92" s="15" t="s">
        <v>256</v>
      </c>
      <c r="H92" s="102" t="s">
        <v>3162</v>
      </c>
      <c r="I92" s="11" t="s">
        <v>2713</v>
      </c>
      <c r="J92" s="15" t="s">
        <v>539</v>
      </c>
      <c r="K92" s="88" t="s">
        <v>2675</v>
      </c>
      <c r="L92" s="91" t="s">
        <v>2674</v>
      </c>
      <c r="M92" s="15" t="s">
        <v>2423</v>
      </c>
      <c r="N92" s="92">
        <v>42521</v>
      </c>
      <c r="O92" s="15" t="s">
        <v>433</v>
      </c>
      <c r="P92" s="98" t="s">
        <v>1041</v>
      </c>
      <c r="Q92" s="5" t="s">
        <v>54</v>
      </c>
    </row>
    <row r="93" spans="1:17" ht="17.25" customHeight="1" x14ac:dyDescent="0.2">
      <c r="A93" s="87" t="s">
        <v>4475</v>
      </c>
      <c r="B93" s="83" t="s">
        <v>4934</v>
      </c>
      <c r="C93" s="108" t="s">
        <v>2677</v>
      </c>
      <c r="D93" s="89">
        <v>40898</v>
      </c>
      <c r="E93" s="96" t="s">
        <v>54</v>
      </c>
      <c r="F93" s="96" t="s">
        <v>54</v>
      </c>
      <c r="G93" s="15" t="s">
        <v>256</v>
      </c>
      <c r="H93" s="88" t="s">
        <v>2718</v>
      </c>
      <c r="I93" s="11" t="s">
        <v>2713</v>
      </c>
      <c r="J93" s="15" t="s">
        <v>530</v>
      </c>
      <c r="K93" s="88" t="s">
        <v>2678</v>
      </c>
      <c r="L93" s="15" t="s">
        <v>34</v>
      </c>
      <c r="M93" s="15" t="s">
        <v>2423</v>
      </c>
      <c r="N93" s="92">
        <v>42247</v>
      </c>
      <c r="O93" s="15" t="s">
        <v>433</v>
      </c>
      <c r="P93" s="98" t="s">
        <v>1041</v>
      </c>
      <c r="Q93" s="5" t="s">
        <v>54</v>
      </c>
    </row>
    <row r="94" spans="1:17" s="4" customFormat="1" ht="17.25" customHeight="1" x14ac:dyDescent="0.2">
      <c r="A94" s="87" t="s">
        <v>4476</v>
      </c>
      <c r="B94" s="83" t="s">
        <v>2679</v>
      </c>
      <c r="C94" s="83" t="s">
        <v>2680</v>
      </c>
      <c r="D94" s="89">
        <v>40974</v>
      </c>
      <c r="E94" s="90">
        <v>0.8</v>
      </c>
      <c r="F94" s="90">
        <v>0.8</v>
      </c>
      <c r="G94" s="15" t="s">
        <v>318</v>
      </c>
      <c r="H94" s="88" t="s">
        <v>2718</v>
      </c>
      <c r="I94" s="11" t="s">
        <v>2713</v>
      </c>
      <c r="J94" s="15" t="s">
        <v>530</v>
      </c>
      <c r="K94" s="88" t="s">
        <v>2681</v>
      </c>
      <c r="L94" s="15" t="s">
        <v>1162</v>
      </c>
      <c r="M94" s="15" t="s">
        <v>2423</v>
      </c>
      <c r="N94" s="92">
        <v>41670</v>
      </c>
      <c r="O94" s="15" t="s">
        <v>2628</v>
      </c>
      <c r="P94" s="98" t="s">
        <v>1041</v>
      </c>
      <c r="Q94" s="98" t="s">
        <v>1041</v>
      </c>
    </row>
    <row r="95" spans="1:17" s="4" customFormat="1" ht="17.25" customHeight="1" x14ac:dyDescent="0.2">
      <c r="A95" s="87" t="s">
        <v>4477</v>
      </c>
      <c r="B95" s="83" t="s">
        <v>2682</v>
      </c>
      <c r="C95" s="83" t="s">
        <v>2683</v>
      </c>
      <c r="D95" s="89">
        <v>40997</v>
      </c>
      <c r="E95" s="90">
        <v>16.2</v>
      </c>
      <c r="F95" s="90">
        <v>16.2</v>
      </c>
      <c r="G95" s="15" t="s">
        <v>124</v>
      </c>
      <c r="H95" s="88" t="s">
        <v>2732</v>
      </c>
      <c r="I95" s="11" t="s">
        <v>2713</v>
      </c>
      <c r="J95" s="15" t="s">
        <v>393</v>
      </c>
      <c r="K95" s="88" t="s">
        <v>2684</v>
      </c>
      <c r="L95" s="15" t="s">
        <v>34</v>
      </c>
      <c r="M95" s="15" t="s">
        <v>2423</v>
      </c>
      <c r="N95" s="92">
        <v>42004</v>
      </c>
      <c r="O95" s="15" t="s">
        <v>2628</v>
      </c>
      <c r="P95" s="98" t="s">
        <v>1041</v>
      </c>
      <c r="Q95" s="98" t="s">
        <v>1041</v>
      </c>
    </row>
    <row r="96" spans="1:17" ht="17.25" customHeight="1" x14ac:dyDescent="0.2">
      <c r="A96" s="87" t="s">
        <v>4478</v>
      </c>
      <c r="B96" s="83" t="s">
        <v>4934</v>
      </c>
      <c r="C96" s="83" t="s">
        <v>2685</v>
      </c>
      <c r="D96" s="89">
        <v>41043</v>
      </c>
      <c r="E96" s="96" t="s">
        <v>54</v>
      </c>
      <c r="F96" s="96" t="s">
        <v>54</v>
      </c>
      <c r="G96" s="15" t="s">
        <v>256</v>
      </c>
      <c r="H96" s="88" t="s">
        <v>3163</v>
      </c>
      <c r="I96" s="11" t="s">
        <v>2713</v>
      </c>
      <c r="J96" s="15" t="s">
        <v>530</v>
      </c>
      <c r="K96" s="69" t="s">
        <v>2686</v>
      </c>
      <c r="L96" s="15" t="s">
        <v>34</v>
      </c>
      <c r="M96" s="15" t="s">
        <v>2423</v>
      </c>
      <c r="N96" s="92">
        <v>42582</v>
      </c>
      <c r="O96" s="15" t="s">
        <v>433</v>
      </c>
      <c r="P96" s="98" t="s">
        <v>1041</v>
      </c>
      <c r="Q96" s="5" t="s">
        <v>54</v>
      </c>
    </row>
    <row r="97" spans="1:18" s="4" customFormat="1" ht="17.25" customHeight="1" x14ac:dyDescent="0.2">
      <c r="A97" s="109" t="s">
        <v>2418</v>
      </c>
      <c r="B97" s="10" t="s">
        <v>747</v>
      </c>
      <c r="C97" s="10" t="s">
        <v>748</v>
      </c>
      <c r="D97" s="27">
        <v>41109</v>
      </c>
      <c r="E97" s="30">
        <v>126.5</v>
      </c>
      <c r="F97" s="30">
        <v>126.5</v>
      </c>
      <c r="G97" s="5" t="s">
        <v>124</v>
      </c>
      <c r="H97" s="11" t="s">
        <v>2728</v>
      </c>
      <c r="I97" s="11" t="s">
        <v>2713</v>
      </c>
      <c r="J97" s="5" t="s">
        <v>531</v>
      </c>
      <c r="K97" s="11" t="s">
        <v>4843</v>
      </c>
      <c r="L97" s="5" t="s">
        <v>157</v>
      </c>
      <c r="M97" s="107" t="s">
        <v>2423</v>
      </c>
      <c r="N97" s="82">
        <v>43982</v>
      </c>
      <c r="O97" s="5" t="s">
        <v>684</v>
      </c>
      <c r="P97" s="26" t="s">
        <v>1041</v>
      </c>
      <c r="Q97" s="26" t="s">
        <v>1041</v>
      </c>
      <c r="R97" s="26"/>
    </row>
    <row r="98" spans="1:18" ht="17.25" customHeight="1" x14ac:dyDescent="0.2">
      <c r="A98" s="87" t="s">
        <v>4380</v>
      </c>
      <c r="B98" s="83" t="s">
        <v>2687</v>
      </c>
      <c r="C98" s="83" t="s">
        <v>2688</v>
      </c>
      <c r="D98" s="89">
        <v>41166</v>
      </c>
      <c r="E98" s="96" t="s">
        <v>54</v>
      </c>
      <c r="F98" s="96" t="s">
        <v>54</v>
      </c>
      <c r="G98" s="15" t="s">
        <v>256</v>
      </c>
      <c r="H98" s="88" t="s">
        <v>2741</v>
      </c>
      <c r="I98" s="88" t="s">
        <v>3164</v>
      </c>
      <c r="J98" s="15" t="s">
        <v>531</v>
      </c>
      <c r="K98" s="88" t="s">
        <v>2689</v>
      </c>
      <c r="L98" s="110" t="s">
        <v>643</v>
      </c>
      <c r="M98" s="15" t="s">
        <v>2423</v>
      </c>
      <c r="N98" s="92">
        <v>42551</v>
      </c>
      <c r="O98" s="15" t="s">
        <v>433</v>
      </c>
      <c r="P98" s="98" t="s">
        <v>1041</v>
      </c>
      <c r="Q98" s="5" t="s">
        <v>54</v>
      </c>
    </row>
    <row r="99" spans="1:18" ht="17.25" customHeight="1" x14ac:dyDescent="0.2">
      <c r="A99" s="87" t="s">
        <v>4381</v>
      </c>
      <c r="B99" s="83" t="s">
        <v>2687</v>
      </c>
      <c r="C99" s="83" t="s">
        <v>2690</v>
      </c>
      <c r="D99" s="89">
        <v>41198</v>
      </c>
      <c r="E99" s="5" t="s">
        <v>54</v>
      </c>
      <c r="F99" s="5" t="s">
        <v>54</v>
      </c>
      <c r="G99" s="15" t="s">
        <v>256</v>
      </c>
      <c r="H99" s="88" t="s">
        <v>2756</v>
      </c>
      <c r="I99" s="88" t="s">
        <v>3164</v>
      </c>
      <c r="J99" s="15" t="s">
        <v>393</v>
      </c>
      <c r="K99" s="88" t="s">
        <v>2691</v>
      </c>
      <c r="L99" s="15" t="s">
        <v>34</v>
      </c>
      <c r="M99" s="15" t="s">
        <v>2423</v>
      </c>
      <c r="N99" s="92">
        <v>42369</v>
      </c>
      <c r="O99" s="15" t="s">
        <v>433</v>
      </c>
      <c r="P99" s="98" t="s">
        <v>1041</v>
      </c>
      <c r="Q99" s="5" t="s">
        <v>54</v>
      </c>
    </row>
    <row r="100" spans="1:18" ht="17.25" customHeight="1" x14ac:dyDescent="0.2">
      <c r="A100" s="79" t="s">
        <v>4382</v>
      </c>
      <c r="B100" s="10" t="s">
        <v>2704</v>
      </c>
      <c r="C100" s="10" t="s">
        <v>2705</v>
      </c>
      <c r="D100" s="27">
        <v>41225</v>
      </c>
      <c r="E100" s="30">
        <v>79.900000000000006</v>
      </c>
      <c r="F100" s="30">
        <v>79.900000000000006</v>
      </c>
      <c r="G100" s="5" t="s">
        <v>124</v>
      </c>
      <c r="H100" s="11" t="s">
        <v>2744</v>
      </c>
      <c r="I100" s="11" t="s">
        <v>2713</v>
      </c>
      <c r="J100" s="5" t="s">
        <v>530</v>
      </c>
      <c r="K100" s="11" t="s">
        <v>973</v>
      </c>
      <c r="L100" s="5" t="s">
        <v>157</v>
      </c>
      <c r="M100" s="5" t="s">
        <v>2423</v>
      </c>
      <c r="N100" s="82">
        <v>43555</v>
      </c>
      <c r="O100" s="44" t="s">
        <v>684</v>
      </c>
      <c r="P100" s="98" t="s">
        <v>1041</v>
      </c>
      <c r="Q100" s="26" t="s">
        <v>1041</v>
      </c>
    </row>
    <row r="101" spans="1:18" ht="17.25" customHeight="1" x14ac:dyDescent="0.2">
      <c r="A101" s="109" t="s">
        <v>2420</v>
      </c>
      <c r="B101" s="48" t="s">
        <v>770</v>
      </c>
      <c r="C101" s="48" t="s">
        <v>771</v>
      </c>
      <c r="D101" s="27">
        <v>41243</v>
      </c>
      <c r="E101" s="30">
        <v>238.8</v>
      </c>
      <c r="F101" s="30">
        <v>238.8</v>
      </c>
      <c r="G101" s="5" t="s">
        <v>124</v>
      </c>
      <c r="H101" s="11" t="s">
        <v>2732</v>
      </c>
      <c r="I101" s="11" t="s">
        <v>2713</v>
      </c>
      <c r="J101" s="5" t="s">
        <v>393</v>
      </c>
      <c r="K101" s="10" t="s">
        <v>772</v>
      </c>
      <c r="L101" s="111" t="s">
        <v>34</v>
      </c>
      <c r="M101" s="107" t="s">
        <v>4803</v>
      </c>
      <c r="N101" s="82">
        <v>44926</v>
      </c>
      <c r="O101" s="5" t="s">
        <v>684</v>
      </c>
      <c r="P101" s="26" t="s">
        <v>3153</v>
      </c>
      <c r="Q101" s="26" t="s">
        <v>1041</v>
      </c>
    </row>
    <row r="102" spans="1:18" ht="17.25" customHeight="1" x14ac:dyDescent="0.2">
      <c r="A102" s="109" t="s">
        <v>2421</v>
      </c>
      <c r="B102" s="48" t="s">
        <v>7317</v>
      </c>
      <c r="C102" s="48" t="s">
        <v>777</v>
      </c>
      <c r="D102" s="27">
        <v>41257</v>
      </c>
      <c r="E102" s="30" t="s">
        <v>54</v>
      </c>
      <c r="F102" s="30" t="s">
        <v>54</v>
      </c>
      <c r="G102" s="5" t="s">
        <v>256</v>
      </c>
      <c r="H102" s="11" t="s">
        <v>2794</v>
      </c>
      <c r="I102" s="10" t="s">
        <v>2713</v>
      </c>
      <c r="J102" s="111" t="s">
        <v>539</v>
      </c>
      <c r="K102" s="10" t="s">
        <v>778</v>
      </c>
      <c r="L102" s="82" t="s">
        <v>34</v>
      </c>
      <c r="M102" s="107">
        <v>14</v>
      </c>
      <c r="N102" s="82">
        <v>45961</v>
      </c>
      <c r="O102" s="15" t="s">
        <v>433</v>
      </c>
      <c r="P102" s="26" t="s">
        <v>1041</v>
      </c>
      <c r="Q102" s="26" t="s">
        <v>1041</v>
      </c>
    </row>
    <row r="103" spans="1:18" ht="17.25" customHeight="1" x14ac:dyDescent="0.2">
      <c r="A103" s="87" t="s">
        <v>4383</v>
      </c>
      <c r="B103" s="83" t="s">
        <v>416</v>
      </c>
      <c r="C103" s="83" t="s">
        <v>2692</v>
      </c>
      <c r="D103" s="89">
        <v>41264</v>
      </c>
      <c r="E103" s="90">
        <v>77.7</v>
      </c>
      <c r="F103" s="90">
        <v>77.7</v>
      </c>
      <c r="G103" s="15" t="s">
        <v>124</v>
      </c>
      <c r="H103" s="88" t="s">
        <v>2738</v>
      </c>
      <c r="I103" s="11" t="s">
        <v>2713</v>
      </c>
      <c r="J103" s="15" t="s">
        <v>420</v>
      </c>
      <c r="K103" s="88" t="s">
        <v>1536</v>
      </c>
      <c r="L103" s="15" t="s">
        <v>41</v>
      </c>
      <c r="M103" s="15" t="s">
        <v>2423</v>
      </c>
      <c r="N103" s="92">
        <v>42794</v>
      </c>
      <c r="O103" s="15" t="s">
        <v>255</v>
      </c>
      <c r="P103" s="98" t="s">
        <v>1041</v>
      </c>
      <c r="Q103" s="98" t="s">
        <v>1041</v>
      </c>
    </row>
    <row r="104" spans="1:18" ht="17.25" customHeight="1" x14ac:dyDescent="0.2">
      <c r="A104" s="79" t="s">
        <v>4384</v>
      </c>
      <c r="B104" s="10" t="s">
        <v>2929</v>
      </c>
      <c r="C104" s="10" t="s">
        <v>2702</v>
      </c>
      <c r="D104" s="27">
        <v>41422</v>
      </c>
      <c r="E104" s="30">
        <v>72</v>
      </c>
      <c r="F104" s="30">
        <v>51.2</v>
      </c>
      <c r="G104" s="5" t="s">
        <v>420</v>
      </c>
      <c r="H104" s="11" t="s">
        <v>2759</v>
      </c>
      <c r="I104" s="11" t="s">
        <v>2713</v>
      </c>
      <c r="J104" s="5" t="s">
        <v>471</v>
      </c>
      <c r="K104" s="11" t="s">
        <v>2703</v>
      </c>
      <c r="L104" s="5" t="s">
        <v>157</v>
      </c>
      <c r="M104" s="5" t="s">
        <v>2423</v>
      </c>
      <c r="N104" s="82">
        <v>43555</v>
      </c>
      <c r="O104" s="44" t="s">
        <v>684</v>
      </c>
      <c r="P104" s="98" t="s">
        <v>1041</v>
      </c>
      <c r="Q104" s="98" t="s">
        <v>1041</v>
      </c>
    </row>
    <row r="105" spans="1:18" ht="17.25" customHeight="1" x14ac:dyDescent="0.2">
      <c r="A105" s="109" t="s">
        <v>2422</v>
      </c>
      <c r="B105" s="112" t="s">
        <v>4832</v>
      </c>
      <c r="C105" s="10" t="s">
        <v>837</v>
      </c>
      <c r="D105" s="27">
        <v>41579</v>
      </c>
      <c r="E105" s="30">
        <v>78.400000000000006</v>
      </c>
      <c r="F105" s="30">
        <v>78.400000000000006</v>
      </c>
      <c r="G105" s="5" t="s">
        <v>124</v>
      </c>
      <c r="H105" s="11" t="s">
        <v>2728</v>
      </c>
      <c r="I105" s="11" t="s">
        <v>2713</v>
      </c>
      <c r="J105" s="5" t="s">
        <v>531</v>
      </c>
      <c r="K105" s="11" t="s">
        <v>2552</v>
      </c>
      <c r="L105" s="5" t="s">
        <v>157</v>
      </c>
      <c r="M105" s="5" t="s">
        <v>2423</v>
      </c>
      <c r="N105" s="82">
        <v>44439</v>
      </c>
      <c r="O105" s="5" t="s">
        <v>255</v>
      </c>
      <c r="P105" s="26" t="s">
        <v>3153</v>
      </c>
      <c r="Q105" s="26" t="s">
        <v>1041</v>
      </c>
    </row>
    <row r="106" spans="1:18" ht="17.25" customHeight="1" x14ac:dyDescent="0.2">
      <c r="A106" s="109" t="s">
        <v>2424</v>
      </c>
      <c r="B106" s="48" t="s">
        <v>641</v>
      </c>
      <c r="C106" s="48" t="s">
        <v>1215</v>
      </c>
      <c r="D106" s="27">
        <v>41585</v>
      </c>
      <c r="E106" s="30">
        <v>101.8</v>
      </c>
      <c r="F106" s="30">
        <v>101.8</v>
      </c>
      <c r="G106" s="5" t="s">
        <v>124</v>
      </c>
      <c r="H106" s="11" t="s">
        <v>2803</v>
      </c>
      <c r="I106" s="11" t="s">
        <v>2713</v>
      </c>
      <c r="J106" s="5" t="s">
        <v>393</v>
      </c>
      <c r="K106" s="10" t="s">
        <v>1050</v>
      </c>
      <c r="L106" s="111" t="s">
        <v>34</v>
      </c>
      <c r="M106" s="107" t="s">
        <v>2423</v>
      </c>
      <c r="N106" s="82">
        <v>44286</v>
      </c>
      <c r="O106" s="5" t="s">
        <v>684</v>
      </c>
      <c r="P106" s="26" t="s">
        <v>3153</v>
      </c>
      <c r="Q106" s="26" t="s">
        <v>1041</v>
      </c>
    </row>
    <row r="107" spans="1:18" ht="17.25" customHeight="1" x14ac:dyDescent="0.2">
      <c r="A107" s="109" t="s">
        <v>5133</v>
      </c>
      <c r="B107" s="48" t="s">
        <v>544</v>
      </c>
      <c r="C107" s="48" t="s">
        <v>850</v>
      </c>
      <c r="D107" s="27">
        <v>41682</v>
      </c>
      <c r="E107" s="30" t="s">
        <v>54</v>
      </c>
      <c r="F107" s="30" t="s">
        <v>54</v>
      </c>
      <c r="G107" s="5" t="s">
        <v>256</v>
      </c>
      <c r="H107" s="5" t="s">
        <v>2732</v>
      </c>
      <c r="I107" s="10" t="s">
        <v>2713</v>
      </c>
      <c r="J107" s="111" t="s">
        <v>539</v>
      </c>
      <c r="K107" s="10" t="s">
        <v>2425</v>
      </c>
      <c r="L107" s="82" t="s">
        <v>403</v>
      </c>
      <c r="M107" s="26" t="s">
        <v>2423</v>
      </c>
      <c r="N107" s="26" t="s">
        <v>7509</v>
      </c>
      <c r="O107" s="5" t="s">
        <v>433</v>
      </c>
      <c r="P107" s="26" t="s">
        <v>3153</v>
      </c>
      <c r="Q107" s="26" t="s">
        <v>1041</v>
      </c>
    </row>
    <row r="108" spans="1:18" ht="17.25" customHeight="1" x14ac:dyDescent="0.2">
      <c r="A108" s="109" t="s">
        <v>5134</v>
      </c>
      <c r="B108" s="48" t="s">
        <v>851</v>
      </c>
      <c r="C108" s="48" t="s">
        <v>852</v>
      </c>
      <c r="D108" s="27">
        <v>41703</v>
      </c>
      <c r="E108" s="30" t="s">
        <v>54</v>
      </c>
      <c r="F108" s="30" t="s">
        <v>54</v>
      </c>
      <c r="G108" s="5" t="s">
        <v>256</v>
      </c>
      <c r="H108" s="5" t="s">
        <v>2800</v>
      </c>
      <c r="I108" s="10" t="s">
        <v>2713</v>
      </c>
      <c r="J108" s="111" t="s">
        <v>420</v>
      </c>
      <c r="K108" s="10" t="s">
        <v>922</v>
      </c>
      <c r="L108" s="82" t="s">
        <v>157</v>
      </c>
      <c r="M108" s="26" t="s">
        <v>2423</v>
      </c>
      <c r="N108" s="26" t="s">
        <v>7509</v>
      </c>
      <c r="O108" s="5" t="s">
        <v>1385</v>
      </c>
      <c r="P108" s="26" t="s">
        <v>3153</v>
      </c>
      <c r="Q108" s="26" t="s">
        <v>1041</v>
      </c>
    </row>
    <row r="109" spans="1:18" ht="17.25" customHeight="1" x14ac:dyDescent="0.2">
      <c r="A109" s="109" t="s">
        <v>4385</v>
      </c>
      <c r="B109" s="10" t="s">
        <v>2693</v>
      </c>
      <c r="C109" s="10" t="s">
        <v>2694</v>
      </c>
      <c r="D109" s="27">
        <v>41740</v>
      </c>
      <c r="E109" s="30">
        <v>106.3</v>
      </c>
      <c r="F109" s="30">
        <v>106.3</v>
      </c>
      <c r="G109" s="5" t="s">
        <v>340</v>
      </c>
      <c r="H109" s="11" t="s">
        <v>2727</v>
      </c>
      <c r="I109" s="11" t="s">
        <v>2713</v>
      </c>
      <c r="J109" s="5" t="s">
        <v>393</v>
      </c>
      <c r="K109" s="11" t="s">
        <v>2695</v>
      </c>
      <c r="L109" s="111" t="s">
        <v>34</v>
      </c>
      <c r="M109" s="107" t="s">
        <v>2423</v>
      </c>
      <c r="N109" s="82">
        <v>43159</v>
      </c>
      <c r="O109" s="5" t="s">
        <v>1385</v>
      </c>
      <c r="P109" s="26" t="s">
        <v>2437</v>
      </c>
      <c r="Q109" s="5" t="s">
        <v>54</v>
      </c>
    </row>
    <row r="110" spans="1:18" s="4" customFormat="1" ht="17.25" customHeight="1" x14ac:dyDescent="0.2">
      <c r="A110" s="87" t="s">
        <v>4386</v>
      </c>
      <c r="B110" s="83" t="s">
        <v>4933</v>
      </c>
      <c r="C110" s="83" t="s">
        <v>2706</v>
      </c>
      <c r="D110" s="89">
        <v>41744</v>
      </c>
      <c r="E110" s="94" t="s">
        <v>54</v>
      </c>
      <c r="F110" s="94" t="s">
        <v>54</v>
      </c>
      <c r="G110" s="15" t="s">
        <v>256</v>
      </c>
      <c r="H110" s="88" t="s">
        <v>2098</v>
      </c>
      <c r="I110" s="11" t="s">
        <v>2713</v>
      </c>
      <c r="J110" s="15" t="s">
        <v>540</v>
      </c>
      <c r="K110" s="88" t="s">
        <v>2707</v>
      </c>
      <c r="L110" s="113" t="s">
        <v>34</v>
      </c>
      <c r="M110" s="15" t="s">
        <v>2423</v>
      </c>
      <c r="N110" s="92">
        <v>43312</v>
      </c>
      <c r="O110" s="15" t="s">
        <v>255</v>
      </c>
      <c r="P110" s="98" t="s">
        <v>1041</v>
      </c>
      <c r="Q110" s="98" t="s">
        <v>1041</v>
      </c>
      <c r="R110" s="26"/>
    </row>
    <row r="111" spans="1:18" ht="17.25" customHeight="1" x14ac:dyDescent="0.2">
      <c r="A111" s="79" t="s">
        <v>2426</v>
      </c>
      <c r="B111" s="10" t="s">
        <v>686</v>
      </c>
      <c r="C111" s="10" t="s">
        <v>866</v>
      </c>
      <c r="D111" s="27">
        <v>41808</v>
      </c>
      <c r="E111" s="30">
        <v>1020</v>
      </c>
      <c r="F111" s="30">
        <v>1132</v>
      </c>
      <c r="G111" s="5" t="s">
        <v>339</v>
      </c>
      <c r="H111" s="11" t="s">
        <v>2773</v>
      </c>
      <c r="I111" s="11" t="s">
        <v>2713</v>
      </c>
      <c r="J111" s="5" t="s">
        <v>539</v>
      </c>
      <c r="K111" s="11" t="s">
        <v>665</v>
      </c>
      <c r="L111" s="111" t="s">
        <v>403</v>
      </c>
      <c r="M111" s="5" t="s">
        <v>2423</v>
      </c>
      <c r="N111" s="82">
        <v>43677</v>
      </c>
      <c r="O111" s="5" t="s">
        <v>433</v>
      </c>
      <c r="P111" s="26" t="s">
        <v>1041</v>
      </c>
      <c r="Q111" s="5" t="s">
        <v>54</v>
      </c>
    </row>
    <row r="112" spans="1:18" ht="17.25" customHeight="1" x14ac:dyDescent="0.2">
      <c r="A112" s="109" t="s">
        <v>2430</v>
      </c>
      <c r="B112" s="10" t="s">
        <v>731</v>
      </c>
      <c r="C112" s="48" t="s">
        <v>933</v>
      </c>
      <c r="D112" s="27">
        <v>41974</v>
      </c>
      <c r="E112" s="30">
        <v>2</v>
      </c>
      <c r="F112" s="30">
        <v>2</v>
      </c>
      <c r="G112" s="5" t="s">
        <v>364</v>
      </c>
      <c r="H112" s="11" t="s">
        <v>2713</v>
      </c>
      <c r="I112" s="11" t="s">
        <v>2713</v>
      </c>
      <c r="J112" s="5" t="s">
        <v>533</v>
      </c>
      <c r="K112" s="11" t="s">
        <v>936</v>
      </c>
      <c r="L112" s="5" t="s">
        <v>403</v>
      </c>
      <c r="M112" s="5" t="s">
        <v>2423</v>
      </c>
      <c r="N112" s="82">
        <v>43830</v>
      </c>
      <c r="O112" s="5" t="s">
        <v>255</v>
      </c>
      <c r="P112" s="26" t="s">
        <v>3153</v>
      </c>
      <c r="Q112" s="26" t="s">
        <v>1041</v>
      </c>
    </row>
    <row r="113" spans="1:18" s="4" customFormat="1" ht="17.25" customHeight="1" x14ac:dyDescent="0.2">
      <c r="A113" s="109" t="s">
        <v>2431</v>
      </c>
      <c r="B113" s="10" t="s">
        <v>731</v>
      </c>
      <c r="C113" s="48" t="s">
        <v>934</v>
      </c>
      <c r="D113" s="27">
        <v>41974</v>
      </c>
      <c r="E113" s="30">
        <v>2</v>
      </c>
      <c r="F113" s="30">
        <v>2</v>
      </c>
      <c r="G113" s="5" t="s">
        <v>364</v>
      </c>
      <c r="H113" s="11" t="s">
        <v>2713</v>
      </c>
      <c r="I113" s="11" t="s">
        <v>2713</v>
      </c>
      <c r="J113" s="5" t="s">
        <v>533</v>
      </c>
      <c r="K113" s="10" t="s">
        <v>936</v>
      </c>
      <c r="L113" s="111" t="s">
        <v>403</v>
      </c>
      <c r="M113" s="5" t="s">
        <v>2423</v>
      </c>
      <c r="N113" s="82">
        <v>43830</v>
      </c>
      <c r="O113" s="5" t="s">
        <v>255</v>
      </c>
      <c r="P113" s="26" t="s">
        <v>3153</v>
      </c>
      <c r="Q113" s="26" t="s">
        <v>1041</v>
      </c>
    </row>
    <row r="114" spans="1:18" ht="17.25" customHeight="1" x14ac:dyDescent="0.2">
      <c r="A114" s="109" t="s">
        <v>2434</v>
      </c>
      <c r="B114" s="10" t="s">
        <v>1361</v>
      </c>
      <c r="C114" s="48" t="s">
        <v>1216</v>
      </c>
      <c r="D114" s="27">
        <v>41995</v>
      </c>
      <c r="E114" s="30">
        <v>25</v>
      </c>
      <c r="F114" s="30">
        <v>25</v>
      </c>
      <c r="G114" s="5" t="s">
        <v>55</v>
      </c>
      <c r="H114" s="11" t="s">
        <v>2716</v>
      </c>
      <c r="I114" s="11" t="s">
        <v>2713</v>
      </c>
      <c r="J114" s="5" t="s">
        <v>532</v>
      </c>
      <c r="K114" s="10" t="s">
        <v>932</v>
      </c>
      <c r="L114" s="111" t="s">
        <v>87</v>
      </c>
      <c r="M114" s="5" t="s">
        <v>2423</v>
      </c>
      <c r="N114" s="82">
        <v>43677</v>
      </c>
      <c r="O114" s="5" t="s">
        <v>255</v>
      </c>
      <c r="P114" s="26" t="s">
        <v>3153</v>
      </c>
      <c r="Q114" s="26" t="s">
        <v>1041</v>
      </c>
    </row>
    <row r="115" spans="1:18" s="4" customFormat="1" ht="17.25" customHeight="1" x14ac:dyDescent="0.2">
      <c r="A115" s="109" t="s">
        <v>2438</v>
      </c>
      <c r="B115" s="10" t="s">
        <v>953</v>
      </c>
      <c r="C115" s="48" t="s">
        <v>871</v>
      </c>
      <c r="D115" s="27">
        <v>42053</v>
      </c>
      <c r="E115" s="30">
        <v>20</v>
      </c>
      <c r="F115" s="30">
        <v>20</v>
      </c>
      <c r="G115" s="5" t="s">
        <v>55</v>
      </c>
      <c r="H115" s="11" t="s">
        <v>2716</v>
      </c>
      <c r="I115" s="11" t="s">
        <v>2713</v>
      </c>
      <c r="J115" s="5" t="s">
        <v>532</v>
      </c>
      <c r="K115" s="10" t="s">
        <v>995</v>
      </c>
      <c r="L115" s="111" t="s">
        <v>87</v>
      </c>
      <c r="M115" s="5" t="s">
        <v>2423</v>
      </c>
      <c r="N115" s="82">
        <v>43616</v>
      </c>
      <c r="O115" s="5" t="s">
        <v>255</v>
      </c>
      <c r="P115" s="26" t="s">
        <v>3153</v>
      </c>
      <c r="Q115" s="26" t="s">
        <v>1041</v>
      </c>
    </row>
    <row r="116" spans="1:18" s="4" customFormat="1" ht="17.25" customHeight="1" x14ac:dyDescent="0.2">
      <c r="A116" s="109" t="s">
        <v>4379</v>
      </c>
      <c r="B116" s="48" t="s">
        <v>4934</v>
      </c>
      <c r="C116" s="48" t="s">
        <v>2696</v>
      </c>
      <c r="D116" s="27">
        <v>42079</v>
      </c>
      <c r="E116" s="30" t="s">
        <v>54</v>
      </c>
      <c r="F116" s="30" t="s">
        <v>54</v>
      </c>
      <c r="G116" s="5" t="s">
        <v>256</v>
      </c>
      <c r="H116" s="11" t="s">
        <v>3163</v>
      </c>
      <c r="I116" s="11" t="s">
        <v>2713</v>
      </c>
      <c r="J116" s="5" t="s">
        <v>530</v>
      </c>
      <c r="K116" s="10" t="s">
        <v>2686</v>
      </c>
      <c r="L116" s="111" t="s">
        <v>309</v>
      </c>
      <c r="M116" s="107" t="s">
        <v>2423</v>
      </c>
      <c r="N116" s="82">
        <v>42582</v>
      </c>
      <c r="O116" s="5" t="s">
        <v>1384</v>
      </c>
      <c r="P116" s="26" t="s">
        <v>3153</v>
      </c>
      <c r="Q116" s="26" t="s">
        <v>1041</v>
      </c>
      <c r="R116" s="26"/>
    </row>
    <row r="117" spans="1:18" s="4" customFormat="1" ht="17.25" customHeight="1" x14ac:dyDescent="0.2">
      <c r="A117" s="109" t="s">
        <v>5779</v>
      </c>
      <c r="B117" s="48" t="s">
        <v>1675</v>
      </c>
      <c r="C117" s="48" t="s">
        <v>1027</v>
      </c>
      <c r="D117" s="27">
        <v>42157</v>
      </c>
      <c r="E117" s="25">
        <v>103</v>
      </c>
      <c r="F117" s="25">
        <v>103</v>
      </c>
      <c r="G117" s="5" t="s">
        <v>124</v>
      </c>
      <c r="H117" s="11" t="s">
        <v>2728</v>
      </c>
      <c r="I117" s="11" t="s">
        <v>2713</v>
      </c>
      <c r="J117" s="5" t="s">
        <v>531</v>
      </c>
      <c r="K117" s="10" t="s">
        <v>713</v>
      </c>
      <c r="L117" s="111" t="s">
        <v>157</v>
      </c>
      <c r="M117" s="107">
        <v>14</v>
      </c>
      <c r="N117" s="82">
        <v>45230</v>
      </c>
      <c r="O117" s="5" t="s">
        <v>684</v>
      </c>
      <c r="P117" s="26" t="s">
        <v>3153</v>
      </c>
      <c r="Q117" s="26" t="s">
        <v>1041</v>
      </c>
      <c r="R117" s="26"/>
    </row>
    <row r="118" spans="1:18" ht="17.25" customHeight="1" x14ac:dyDescent="0.2">
      <c r="A118" s="79" t="s">
        <v>2443</v>
      </c>
      <c r="B118" s="69" t="s">
        <v>1036</v>
      </c>
      <c r="C118" s="69" t="s">
        <v>1037</v>
      </c>
      <c r="D118" s="89">
        <v>42219</v>
      </c>
      <c r="E118" s="90">
        <v>120.4</v>
      </c>
      <c r="F118" s="90">
        <v>129.4</v>
      </c>
      <c r="G118" s="15" t="s">
        <v>420</v>
      </c>
      <c r="H118" s="88" t="s">
        <v>2780</v>
      </c>
      <c r="I118" s="11" t="s">
        <v>2781</v>
      </c>
      <c r="J118" s="15" t="s">
        <v>533</v>
      </c>
      <c r="K118" s="69" t="s">
        <v>507</v>
      </c>
      <c r="L118" s="111" t="s">
        <v>403</v>
      </c>
      <c r="M118" s="15" t="s">
        <v>2423</v>
      </c>
      <c r="N118" s="92">
        <v>43830</v>
      </c>
      <c r="O118" s="15" t="s">
        <v>433</v>
      </c>
      <c r="P118" s="98" t="s">
        <v>1041</v>
      </c>
      <c r="Q118" s="5" t="s">
        <v>54</v>
      </c>
    </row>
    <row r="119" spans="1:18" s="4" customFormat="1" ht="17.25" customHeight="1" x14ac:dyDescent="0.2">
      <c r="A119" s="109" t="s">
        <v>2444</v>
      </c>
      <c r="B119" s="48" t="s">
        <v>1560</v>
      </c>
      <c r="C119" s="48" t="s">
        <v>1044</v>
      </c>
      <c r="D119" s="27">
        <v>42268</v>
      </c>
      <c r="E119" s="30">
        <v>20</v>
      </c>
      <c r="F119" s="30">
        <v>20</v>
      </c>
      <c r="G119" s="5" t="s">
        <v>615</v>
      </c>
      <c r="H119" s="11" t="s">
        <v>2098</v>
      </c>
      <c r="I119" s="11" t="s">
        <v>2713</v>
      </c>
      <c r="J119" s="5" t="s">
        <v>393</v>
      </c>
      <c r="K119" s="10" t="s">
        <v>1047</v>
      </c>
      <c r="L119" s="111" t="s">
        <v>34</v>
      </c>
      <c r="M119" s="5" t="s">
        <v>2423</v>
      </c>
      <c r="N119" s="82">
        <v>44561</v>
      </c>
      <c r="O119" s="5" t="s">
        <v>255</v>
      </c>
      <c r="P119" s="26" t="s">
        <v>3153</v>
      </c>
      <c r="Q119" s="26" t="s">
        <v>1041</v>
      </c>
    </row>
    <row r="120" spans="1:18" s="4" customFormat="1" ht="17.25" customHeight="1" x14ac:dyDescent="0.2">
      <c r="A120" s="109" t="s">
        <v>4378</v>
      </c>
      <c r="B120" s="48" t="s">
        <v>194</v>
      </c>
      <c r="C120" s="48" t="s">
        <v>2697</v>
      </c>
      <c r="D120" s="27">
        <v>42291</v>
      </c>
      <c r="E120" s="30" t="s">
        <v>54</v>
      </c>
      <c r="F120" s="30" t="s">
        <v>54</v>
      </c>
      <c r="G120" s="5" t="s">
        <v>256</v>
      </c>
      <c r="H120" s="11" t="s">
        <v>2722</v>
      </c>
      <c r="I120" s="11" t="s">
        <v>2713</v>
      </c>
      <c r="J120" s="5" t="s">
        <v>531</v>
      </c>
      <c r="K120" s="10" t="s">
        <v>2698</v>
      </c>
      <c r="L120" s="111" t="s">
        <v>157</v>
      </c>
      <c r="M120" s="5" t="s">
        <v>2423</v>
      </c>
      <c r="N120" s="82">
        <v>42551</v>
      </c>
      <c r="O120" s="5" t="s">
        <v>1385</v>
      </c>
      <c r="P120" s="26" t="s">
        <v>1041</v>
      </c>
      <c r="Q120" s="26" t="s">
        <v>2495</v>
      </c>
      <c r="R120" s="26"/>
    </row>
    <row r="121" spans="1:18" s="4" customFormat="1" ht="17.25" customHeight="1" x14ac:dyDescent="0.2">
      <c r="A121" s="87" t="s">
        <v>2451</v>
      </c>
      <c r="B121" s="48" t="s">
        <v>3559</v>
      </c>
      <c r="C121" s="48" t="s">
        <v>1078</v>
      </c>
      <c r="D121" s="27">
        <v>42380</v>
      </c>
      <c r="E121" s="30">
        <v>103.9</v>
      </c>
      <c r="F121" s="30">
        <v>103.9</v>
      </c>
      <c r="G121" s="5" t="s">
        <v>124</v>
      </c>
      <c r="H121" s="11" t="s">
        <v>2744</v>
      </c>
      <c r="I121" s="11" t="s">
        <v>2713</v>
      </c>
      <c r="J121" s="5" t="s">
        <v>530</v>
      </c>
      <c r="K121" s="10" t="s">
        <v>1407</v>
      </c>
      <c r="L121" s="111" t="s">
        <v>157</v>
      </c>
      <c r="M121" s="5" t="s">
        <v>2423</v>
      </c>
      <c r="N121" s="82">
        <v>45138</v>
      </c>
      <c r="O121" s="5" t="s">
        <v>684</v>
      </c>
      <c r="P121" s="26" t="s">
        <v>3153</v>
      </c>
      <c r="Q121" s="26" t="s">
        <v>1041</v>
      </c>
      <c r="R121" s="26"/>
    </row>
    <row r="122" spans="1:18" s="4" customFormat="1" ht="17.25" customHeight="1" x14ac:dyDescent="0.2">
      <c r="A122" s="87" t="s">
        <v>5141</v>
      </c>
      <c r="B122" s="48" t="s">
        <v>194</v>
      </c>
      <c r="C122" s="48" t="s">
        <v>1095</v>
      </c>
      <c r="D122" s="27">
        <v>42494</v>
      </c>
      <c r="E122" s="30" t="s">
        <v>54</v>
      </c>
      <c r="F122" s="30" t="s">
        <v>54</v>
      </c>
      <c r="G122" s="5" t="s">
        <v>256</v>
      </c>
      <c r="H122" s="11" t="s">
        <v>2760</v>
      </c>
      <c r="I122" s="11" t="s">
        <v>2713</v>
      </c>
      <c r="J122" s="5" t="s">
        <v>794</v>
      </c>
      <c r="K122" s="10" t="s">
        <v>1104</v>
      </c>
      <c r="L122" s="111" t="s">
        <v>1103</v>
      </c>
      <c r="M122" s="5">
        <v>15</v>
      </c>
      <c r="N122" s="82">
        <v>44681</v>
      </c>
      <c r="O122" s="5" t="s">
        <v>433</v>
      </c>
      <c r="P122" s="26" t="s">
        <v>3153</v>
      </c>
      <c r="Q122" s="26" t="s">
        <v>7291</v>
      </c>
      <c r="R122" s="26"/>
    </row>
    <row r="123" spans="1:18" ht="17.100000000000001" customHeight="1" x14ac:dyDescent="0.2">
      <c r="A123" s="79" t="s">
        <v>2454</v>
      </c>
      <c r="B123" s="69" t="s">
        <v>4975</v>
      </c>
      <c r="C123" s="48" t="s">
        <v>1098</v>
      </c>
      <c r="D123" s="89">
        <v>42507</v>
      </c>
      <c r="E123" s="96" t="s">
        <v>54</v>
      </c>
      <c r="F123" s="96" t="s">
        <v>54</v>
      </c>
      <c r="G123" s="15" t="s">
        <v>256</v>
      </c>
      <c r="H123" s="88" t="s">
        <v>2786</v>
      </c>
      <c r="I123" s="11" t="s">
        <v>2713</v>
      </c>
      <c r="J123" s="15" t="s">
        <v>531</v>
      </c>
      <c r="K123" s="83" t="s">
        <v>1079</v>
      </c>
      <c r="L123" s="111" t="s">
        <v>1075</v>
      </c>
      <c r="M123" s="15" t="s">
        <v>2423</v>
      </c>
      <c r="N123" s="92">
        <v>44681</v>
      </c>
      <c r="O123" s="15" t="s">
        <v>433</v>
      </c>
      <c r="P123" s="98" t="s">
        <v>1041</v>
      </c>
      <c r="Q123" s="5" t="s">
        <v>54</v>
      </c>
    </row>
    <row r="124" spans="1:18" s="4" customFormat="1" ht="17.25" customHeight="1" x14ac:dyDescent="0.2">
      <c r="A124" s="109" t="s">
        <v>2455</v>
      </c>
      <c r="B124" s="48" t="s">
        <v>3870</v>
      </c>
      <c r="C124" s="48" t="s">
        <v>685</v>
      </c>
      <c r="D124" s="27">
        <v>42509</v>
      </c>
      <c r="E124" s="30">
        <v>79.7</v>
      </c>
      <c r="F124" s="30">
        <v>79.7</v>
      </c>
      <c r="G124" s="5" t="s">
        <v>124</v>
      </c>
      <c r="H124" s="11" t="s">
        <v>2744</v>
      </c>
      <c r="I124" s="11" t="s">
        <v>2713</v>
      </c>
      <c r="J124" s="5" t="s">
        <v>530</v>
      </c>
      <c r="K124" s="10" t="s">
        <v>4844</v>
      </c>
      <c r="L124" s="111" t="s">
        <v>157</v>
      </c>
      <c r="M124" s="107" t="s">
        <v>2423</v>
      </c>
      <c r="N124" s="82">
        <v>44592</v>
      </c>
      <c r="O124" s="5" t="s">
        <v>1385</v>
      </c>
      <c r="P124" s="26" t="s">
        <v>3153</v>
      </c>
      <c r="Q124" s="26" t="s">
        <v>1041</v>
      </c>
      <c r="R124" s="26"/>
    </row>
    <row r="125" spans="1:18" s="4" customFormat="1" ht="17.25" customHeight="1" x14ac:dyDescent="0.2">
      <c r="A125" s="109" t="s">
        <v>2456</v>
      </c>
      <c r="B125" s="48" t="s">
        <v>4976</v>
      </c>
      <c r="C125" s="48" t="s">
        <v>1129</v>
      </c>
      <c r="D125" s="27">
        <v>42557</v>
      </c>
      <c r="E125" s="25" t="s">
        <v>54</v>
      </c>
      <c r="F125" s="25" t="s">
        <v>54</v>
      </c>
      <c r="G125" s="5" t="s">
        <v>256</v>
      </c>
      <c r="H125" s="11" t="s">
        <v>2789</v>
      </c>
      <c r="I125" s="11" t="s">
        <v>2713</v>
      </c>
      <c r="J125" s="5" t="s">
        <v>945</v>
      </c>
      <c r="K125" s="10" t="s">
        <v>1102</v>
      </c>
      <c r="L125" s="111" t="s">
        <v>157</v>
      </c>
      <c r="M125" s="107" t="s">
        <v>4803</v>
      </c>
      <c r="N125" s="82">
        <v>44681</v>
      </c>
      <c r="O125" s="5" t="s">
        <v>1385</v>
      </c>
      <c r="P125" s="26" t="s">
        <v>3153</v>
      </c>
      <c r="Q125" s="26" t="s">
        <v>1041</v>
      </c>
      <c r="R125" s="26"/>
    </row>
    <row r="126" spans="1:18" s="4" customFormat="1" ht="17.25" customHeight="1" x14ac:dyDescent="0.2">
      <c r="A126" s="109" t="s">
        <v>5146</v>
      </c>
      <c r="B126" s="48" t="s">
        <v>7318</v>
      </c>
      <c r="C126" s="48" t="s">
        <v>1134</v>
      </c>
      <c r="D126" s="27">
        <v>42586</v>
      </c>
      <c r="E126" s="25" t="s">
        <v>54</v>
      </c>
      <c r="F126" s="25" t="s">
        <v>54</v>
      </c>
      <c r="G126" s="5" t="s">
        <v>256</v>
      </c>
      <c r="H126" s="5" t="s">
        <v>2801</v>
      </c>
      <c r="I126" s="10" t="s">
        <v>2713</v>
      </c>
      <c r="J126" s="5" t="s">
        <v>1140</v>
      </c>
      <c r="K126" s="10" t="s">
        <v>4078</v>
      </c>
      <c r="L126" s="111" t="s">
        <v>41</v>
      </c>
      <c r="M126" s="5">
        <v>14</v>
      </c>
      <c r="N126" s="82">
        <v>44834</v>
      </c>
      <c r="O126" s="26" t="s">
        <v>433</v>
      </c>
      <c r="P126" s="26" t="s">
        <v>3153</v>
      </c>
      <c r="Q126" s="26" t="s">
        <v>1041</v>
      </c>
    </row>
    <row r="127" spans="1:18" s="4" customFormat="1" ht="17.25" customHeight="1" x14ac:dyDescent="0.2">
      <c r="A127" s="79" t="s">
        <v>5147</v>
      </c>
      <c r="B127" s="48" t="s">
        <v>1630</v>
      </c>
      <c r="C127" s="48" t="s">
        <v>1631</v>
      </c>
      <c r="D127" s="27">
        <v>42599</v>
      </c>
      <c r="E127" s="30">
        <v>20</v>
      </c>
      <c r="F127" s="30">
        <v>20</v>
      </c>
      <c r="G127" s="5" t="s">
        <v>55</v>
      </c>
      <c r="H127" s="11" t="s">
        <v>2759</v>
      </c>
      <c r="I127" s="11" t="s">
        <v>2713</v>
      </c>
      <c r="J127" s="5" t="s">
        <v>471</v>
      </c>
      <c r="K127" s="10" t="s">
        <v>1157</v>
      </c>
      <c r="L127" s="111" t="s">
        <v>157</v>
      </c>
      <c r="M127" s="107">
        <v>14</v>
      </c>
      <c r="N127" s="82">
        <v>45291</v>
      </c>
      <c r="O127" s="5" t="s">
        <v>1385</v>
      </c>
      <c r="P127" s="26" t="s">
        <v>3153</v>
      </c>
      <c r="Q127" s="26" t="s">
        <v>1041</v>
      </c>
      <c r="R127" s="26"/>
    </row>
    <row r="128" spans="1:18" ht="17.25" customHeight="1" x14ac:dyDescent="0.2">
      <c r="A128" s="87" t="s">
        <v>5152</v>
      </c>
      <c r="B128" s="48" t="s">
        <v>1151</v>
      </c>
      <c r="C128" s="48" t="s">
        <v>1150</v>
      </c>
      <c r="D128" s="27">
        <v>42634</v>
      </c>
      <c r="E128" s="30">
        <v>111.8</v>
      </c>
      <c r="F128" s="30">
        <v>111.8</v>
      </c>
      <c r="G128" s="5" t="s">
        <v>124</v>
      </c>
      <c r="H128" s="11" t="s">
        <v>2763</v>
      </c>
      <c r="I128" s="11" t="s">
        <v>2713</v>
      </c>
      <c r="J128" s="5" t="s">
        <v>530</v>
      </c>
      <c r="K128" s="10" t="s">
        <v>1160</v>
      </c>
      <c r="L128" s="111" t="s">
        <v>34</v>
      </c>
      <c r="M128" s="107">
        <v>14</v>
      </c>
      <c r="N128" s="82">
        <v>45291</v>
      </c>
      <c r="O128" s="5" t="s">
        <v>684</v>
      </c>
      <c r="P128" s="26" t="s">
        <v>3153</v>
      </c>
      <c r="Q128" s="26" t="s">
        <v>1041</v>
      </c>
    </row>
    <row r="129" spans="1:18" s="4" customFormat="1" ht="17.25" customHeight="1" x14ac:dyDescent="0.2">
      <c r="A129" s="109" t="s">
        <v>4377</v>
      </c>
      <c r="B129" s="48" t="s">
        <v>1032</v>
      </c>
      <c r="C129" s="48" t="s">
        <v>2699</v>
      </c>
      <c r="D129" s="27">
        <v>42674</v>
      </c>
      <c r="E129" s="30">
        <v>1.3</v>
      </c>
      <c r="F129" s="30">
        <v>1.3</v>
      </c>
      <c r="G129" s="5" t="s">
        <v>318</v>
      </c>
      <c r="H129" s="11" t="s">
        <v>590</v>
      </c>
      <c r="I129" s="11" t="s">
        <v>2713</v>
      </c>
      <c r="J129" s="5" t="s">
        <v>393</v>
      </c>
      <c r="K129" s="10" t="s">
        <v>2700</v>
      </c>
      <c r="L129" s="111" t="s">
        <v>157</v>
      </c>
      <c r="M129" s="107">
        <v>14</v>
      </c>
      <c r="N129" s="82">
        <v>43190</v>
      </c>
      <c r="O129" s="5" t="s">
        <v>684</v>
      </c>
      <c r="P129" s="26" t="s">
        <v>1041</v>
      </c>
      <c r="Q129" s="26" t="s">
        <v>1041</v>
      </c>
      <c r="R129" s="26"/>
    </row>
    <row r="130" spans="1:18" ht="17.25" customHeight="1" x14ac:dyDescent="0.2">
      <c r="A130" s="109" t="s">
        <v>5161</v>
      </c>
      <c r="B130" s="48" t="s">
        <v>1637</v>
      </c>
      <c r="C130" s="48" t="s">
        <v>1638</v>
      </c>
      <c r="D130" s="27">
        <v>42745</v>
      </c>
      <c r="E130" s="30">
        <v>20</v>
      </c>
      <c r="F130" s="30">
        <v>20</v>
      </c>
      <c r="G130" s="5" t="s">
        <v>55</v>
      </c>
      <c r="H130" s="11" t="s">
        <v>2759</v>
      </c>
      <c r="I130" s="11" t="s">
        <v>2713</v>
      </c>
      <c r="J130" s="5" t="s">
        <v>471</v>
      </c>
      <c r="K130" s="10" t="s">
        <v>1157</v>
      </c>
      <c r="L130" s="111" t="s">
        <v>157</v>
      </c>
      <c r="M130" s="107">
        <v>14</v>
      </c>
      <c r="N130" s="82">
        <v>45291</v>
      </c>
      <c r="O130" s="5" t="s">
        <v>1385</v>
      </c>
      <c r="P130" s="26" t="s">
        <v>3153</v>
      </c>
      <c r="Q130" s="26" t="s">
        <v>1041</v>
      </c>
    </row>
    <row r="131" spans="1:18" s="4" customFormat="1" ht="17.25" customHeight="1" x14ac:dyDescent="0.2">
      <c r="A131" s="109" t="s">
        <v>5162</v>
      </c>
      <c r="B131" s="48" t="s">
        <v>3872</v>
      </c>
      <c r="C131" s="48" t="s">
        <v>1201</v>
      </c>
      <c r="D131" s="27">
        <v>42780</v>
      </c>
      <c r="E131" s="30">
        <v>96</v>
      </c>
      <c r="F131" s="30">
        <v>96</v>
      </c>
      <c r="G131" s="5" t="s">
        <v>7365</v>
      </c>
      <c r="H131" s="11" t="s">
        <v>2716</v>
      </c>
      <c r="I131" s="11" t="s">
        <v>2713</v>
      </c>
      <c r="J131" s="5" t="s">
        <v>532</v>
      </c>
      <c r="K131" s="10" t="s">
        <v>1202</v>
      </c>
      <c r="L131" s="111" t="s">
        <v>87</v>
      </c>
      <c r="M131" s="107">
        <v>14</v>
      </c>
      <c r="N131" s="82">
        <v>45504</v>
      </c>
      <c r="O131" s="5" t="s">
        <v>255</v>
      </c>
      <c r="P131" s="26" t="s">
        <v>3153</v>
      </c>
      <c r="Q131" s="26" t="s">
        <v>1041</v>
      </c>
      <c r="R131" s="26"/>
    </row>
    <row r="132" spans="1:18" ht="17.25" customHeight="1" x14ac:dyDescent="0.2">
      <c r="A132" s="109" t="s">
        <v>5164</v>
      </c>
      <c r="B132" s="48" t="s">
        <v>3486</v>
      </c>
      <c r="C132" s="48" t="s">
        <v>1208</v>
      </c>
      <c r="D132" s="27">
        <v>42821</v>
      </c>
      <c r="E132" s="30">
        <v>90</v>
      </c>
      <c r="F132" s="30">
        <v>90</v>
      </c>
      <c r="G132" s="5" t="s">
        <v>55</v>
      </c>
      <c r="H132" s="11" t="s">
        <v>2736</v>
      </c>
      <c r="I132" s="11" t="s">
        <v>2713</v>
      </c>
      <c r="J132" s="5" t="s">
        <v>471</v>
      </c>
      <c r="K132" s="10" t="s">
        <v>3202</v>
      </c>
      <c r="L132" s="111" t="s">
        <v>157</v>
      </c>
      <c r="M132" s="107">
        <v>14</v>
      </c>
      <c r="N132" s="82">
        <v>45504</v>
      </c>
      <c r="O132" s="5" t="s">
        <v>255</v>
      </c>
      <c r="P132" s="26" t="s">
        <v>3153</v>
      </c>
      <c r="Q132" s="26" t="s">
        <v>1041</v>
      </c>
    </row>
    <row r="133" spans="1:18" s="4" customFormat="1" ht="17.25" customHeight="1" x14ac:dyDescent="0.2">
      <c r="A133" s="109" t="s">
        <v>5940</v>
      </c>
      <c r="B133" s="48" t="s">
        <v>3487</v>
      </c>
      <c r="C133" s="48" t="s">
        <v>1209</v>
      </c>
      <c r="D133" s="27">
        <v>42821</v>
      </c>
      <c r="E133" s="30" t="s">
        <v>5794</v>
      </c>
      <c r="F133" s="30" t="s">
        <v>5794</v>
      </c>
      <c r="G133" s="5" t="s">
        <v>55</v>
      </c>
      <c r="H133" s="11" t="s">
        <v>2798</v>
      </c>
      <c r="I133" s="11" t="s">
        <v>2713</v>
      </c>
      <c r="J133" s="5" t="s">
        <v>471</v>
      </c>
      <c r="K133" s="10" t="s">
        <v>3203</v>
      </c>
      <c r="L133" s="111" t="s">
        <v>157</v>
      </c>
      <c r="M133" s="107">
        <v>14</v>
      </c>
      <c r="N133" s="82">
        <v>45412</v>
      </c>
      <c r="O133" s="5" t="s">
        <v>255</v>
      </c>
      <c r="P133" s="26" t="s">
        <v>3153</v>
      </c>
      <c r="Q133" s="26" t="s">
        <v>1041</v>
      </c>
      <c r="R133" s="26"/>
    </row>
    <row r="134" spans="1:18" ht="17.25" customHeight="1" x14ac:dyDescent="0.2">
      <c r="A134" s="114" t="s">
        <v>5166</v>
      </c>
      <c r="B134" s="83" t="s">
        <v>3493</v>
      </c>
      <c r="C134" s="83" t="s">
        <v>1239</v>
      </c>
      <c r="D134" s="89">
        <v>42857</v>
      </c>
      <c r="E134" s="96">
        <v>1000</v>
      </c>
      <c r="F134" s="96">
        <v>1000</v>
      </c>
      <c r="G134" s="15" t="s">
        <v>253</v>
      </c>
      <c r="H134" s="15" t="s">
        <v>2795</v>
      </c>
      <c r="I134" s="88" t="s">
        <v>2713</v>
      </c>
      <c r="J134" s="15" t="s">
        <v>533</v>
      </c>
      <c r="K134" s="10" t="s">
        <v>916</v>
      </c>
      <c r="L134" s="92" t="s">
        <v>41</v>
      </c>
      <c r="M134" s="26" t="s">
        <v>7396</v>
      </c>
      <c r="N134" s="82">
        <v>45107</v>
      </c>
      <c r="O134" s="5" t="s">
        <v>255</v>
      </c>
      <c r="P134" s="26" t="s">
        <v>3153</v>
      </c>
      <c r="Q134" s="26" t="s">
        <v>1041</v>
      </c>
    </row>
    <row r="135" spans="1:18" s="4" customFormat="1" ht="17.25" customHeight="1" x14ac:dyDescent="0.2">
      <c r="A135" s="87" t="s">
        <v>5168</v>
      </c>
      <c r="B135" s="48" t="s">
        <v>1674</v>
      </c>
      <c r="C135" s="48" t="s">
        <v>1261</v>
      </c>
      <c r="D135" s="27">
        <v>42927</v>
      </c>
      <c r="E135" s="30">
        <v>20</v>
      </c>
      <c r="F135" s="30">
        <v>20</v>
      </c>
      <c r="G135" s="5" t="s">
        <v>55</v>
      </c>
      <c r="H135" s="11" t="s">
        <v>2736</v>
      </c>
      <c r="I135" s="11" t="s">
        <v>2713</v>
      </c>
      <c r="J135" s="5" t="s">
        <v>471</v>
      </c>
      <c r="K135" s="10" t="s">
        <v>1394</v>
      </c>
      <c r="L135" s="111" t="s">
        <v>157</v>
      </c>
      <c r="M135" s="107">
        <v>14</v>
      </c>
      <c r="N135" s="82">
        <v>45138</v>
      </c>
      <c r="O135" s="5" t="s">
        <v>1384</v>
      </c>
      <c r="P135" s="26" t="s">
        <v>3153</v>
      </c>
      <c r="Q135" s="26" t="s">
        <v>1041</v>
      </c>
      <c r="R135" s="26"/>
    </row>
    <row r="136" spans="1:18" ht="17.25" customHeight="1" x14ac:dyDescent="0.2">
      <c r="A136" s="109" t="s">
        <v>2472</v>
      </c>
      <c r="B136" s="48" t="s">
        <v>1324</v>
      </c>
      <c r="C136" s="48" t="s">
        <v>1325</v>
      </c>
      <c r="D136" s="27">
        <v>43034</v>
      </c>
      <c r="E136" s="30">
        <v>22.9</v>
      </c>
      <c r="F136" s="30">
        <v>22.9</v>
      </c>
      <c r="G136" s="5" t="s">
        <v>55</v>
      </c>
      <c r="H136" s="11" t="s">
        <v>2716</v>
      </c>
      <c r="I136" s="11" t="s">
        <v>2713</v>
      </c>
      <c r="J136" s="5" t="s">
        <v>532</v>
      </c>
      <c r="K136" s="10" t="s">
        <v>995</v>
      </c>
      <c r="L136" s="111" t="s">
        <v>87</v>
      </c>
      <c r="M136" s="107" t="s">
        <v>2423</v>
      </c>
      <c r="N136" s="82">
        <v>44834</v>
      </c>
      <c r="O136" s="5" t="s">
        <v>1385</v>
      </c>
      <c r="P136" s="26" t="s">
        <v>3153</v>
      </c>
      <c r="Q136" s="26" t="s">
        <v>1041</v>
      </c>
    </row>
    <row r="137" spans="1:18" s="4" customFormat="1" ht="17.25" customHeight="1" x14ac:dyDescent="0.2">
      <c r="A137" s="109" t="s">
        <v>2473</v>
      </c>
      <c r="B137" s="69" t="s">
        <v>2622</v>
      </c>
      <c r="C137" s="69" t="s">
        <v>1265</v>
      </c>
      <c r="D137" s="89">
        <v>43117</v>
      </c>
      <c r="E137" s="90">
        <v>20</v>
      </c>
      <c r="F137" s="90">
        <v>20</v>
      </c>
      <c r="G137" s="15" t="s">
        <v>55</v>
      </c>
      <c r="H137" s="88" t="s">
        <v>2736</v>
      </c>
      <c r="I137" s="11" t="s">
        <v>2713</v>
      </c>
      <c r="J137" s="15" t="s">
        <v>471</v>
      </c>
      <c r="K137" s="83" t="s">
        <v>1399</v>
      </c>
      <c r="L137" s="111" t="s">
        <v>157</v>
      </c>
      <c r="M137" s="15" t="s">
        <v>2423</v>
      </c>
      <c r="N137" s="92">
        <v>44895</v>
      </c>
      <c r="O137" s="15" t="s">
        <v>2701</v>
      </c>
      <c r="P137" s="98" t="s">
        <v>1041</v>
      </c>
      <c r="Q137" s="98" t="s">
        <v>1041</v>
      </c>
      <c r="R137" s="26"/>
    </row>
    <row r="138" spans="1:18" s="4" customFormat="1" ht="17.25" customHeight="1" x14ac:dyDescent="0.2">
      <c r="A138" s="109" t="s">
        <v>5175</v>
      </c>
      <c r="B138" s="48" t="s">
        <v>3872</v>
      </c>
      <c r="C138" s="48" t="s">
        <v>1371</v>
      </c>
      <c r="D138" s="27">
        <v>43147</v>
      </c>
      <c r="E138" s="30">
        <v>40</v>
      </c>
      <c r="F138" s="30">
        <v>40</v>
      </c>
      <c r="G138" s="5" t="s">
        <v>7365</v>
      </c>
      <c r="H138" s="11" t="s">
        <v>2716</v>
      </c>
      <c r="I138" s="11" t="s">
        <v>2713</v>
      </c>
      <c r="J138" s="5" t="s">
        <v>532</v>
      </c>
      <c r="K138" s="10" t="s">
        <v>1202</v>
      </c>
      <c r="L138" s="111" t="s">
        <v>87</v>
      </c>
      <c r="M138" s="107">
        <v>14</v>
      </c>
      <c r="N138" s="82">
        <v>45504</v>
      </c>
      <c r="O138" s="5" t="s">
        <v>255</v>
      </c>
      <c r="P138" s="26" t="s">
        <v>3153</v>
      </c>
      <c r="Q138" s="26" t="s">
        <v>1041</v>
      </c>
      <c r="R138" s="26"/>
    </row>
    <row r="139" spans="1:18" ht="17.25" customHeight="1" x14ac:dyDescent="0.2">
      <c r="A139" s="109" t="s">
        <v>2476</v>
      </c>
      <c r="B139" s="48" t="s">
        <v>1373</v>
      </c>
      <c r="C139" s="48" t="s">
        <v>1374</v>
      </c>
      <c r="D139" s="27">
        <v>43180</v>
      </c>
      <c r="E139" s="30">
        <v>1.2</v>
      </c>
      <c r="F139" s="30">
        <v>1.2</v>
      </c>
      <c r="G139" s="5" t="s">
        <v>318</v>
      </c>
      <c r="H139" s="11" t="s">
        <v>2717</v>
      </c>
      <c r="I139" s="11" t="s">
        <v>2713</v>
      </c>
      <c r="J139" s="5" t="s">
        <v>539</v>
      </c>
      <c r="K139" s="10" t="s">
        <v>1417</v>
      </c>
      <c r="L139" s="111" t="s">
        <v>1162</v>
      </c>
      <c r="M139" s="107" t="s">
        <v>2423</v>
      </c>
      <c r="N139" s="82">
        <v>43616</v>
      </c>
      <c r="O139" s="5" t="s">
        <v>255</v>
      </c>
      <c r="P139" s="26" t="s">
        <v>3153</v>
      </c>
      <c r="Q139" s="26" t="s">
        <v>1041</v>
      </c>
    </row>
    <row r="140" spans="1:18" ht="17.25" customHeight="1" x14ac:dyDescent="0.2">
      <c r="A140" s="109" t="s">
        <v>2480</v>
      </c>
      <c r="B140" s="48" t="s">
        <v>1222</v>
      </c>
      <c r="C140" s="48" t="s">
        <v>1223</v>
      </c>
      <c r="D140" s="27">
        <v>43174</v>
      </c>
      <c r="E140" s="30">
        <v>20</v>
      </c>
      <c r="F140" s="30">
        <v>20</v>
      </c>
      <c r="G140" s="5" t="s">
        <v>615</v>
      </c>
      <c r="H140" s="11" t="s">
        <v>2723</v>
      </c>
      <c r="I140" s="11" t="s">
        <v>2713</v>
      </c>
      <c r="J140" s="5" t="s">
        <v>471</v>
      </c>
      <c r="K140" s="10" t="s">
        <v>4845</v>
      </c>
      <c r="L140" s="111" t="s">
        <v>34</v>
      </c>
      <c r="M140" s="107" t="s">
        <v>2423</v>
      </c>
      <c r="N140" s="82">
        <v>43830</v>
      </c>
      <c r="O140" s="5" t="s">
        <v>1384</v>
      </c>
      <c r="P140" s="26" t="s">
        <v>3153</v>
      </c>
      <c r="Q140" s="26" t="s">
        <v>1041</v>
      </c>
    </row>
    <row r="141" spans="1:18" ht="17.25" customHeight="1" x14ac:dyDescent="0.2">
      <c r="A141" s="109" t="s">
        <v>5181</v>
      </c>
      <c r="B141" s="48" t="s">
        <v>4849</v>
      </c>
      <c r="C141" s="48" t="s">
        <v>1587</v>
      </c>
      <c r="D141" s="27">
        <v>43255</v>
      </c>
      <c r="E141" s="30">
        <v>177</v>
      </c>
      <c r="F141" s="30">
        <v>177</v>
      </c>
      <c r="G141" s="5" t="s">
        <v>55</v>
      </c>
      <c r="H141" s="11" t="s">
        <v>2732</v>
      </c>
      <c r="I141" s="11" t="s">
        <v>2713</v>
      </c>
      <c r="J141" s="5" t="s">
        <v>393</v>
      </c>
      <c r="K141" s="10" t="s">
        <v>1506</v>
      </c>
      <c r="L141" s="111" t="s">
        <v>34</v>
      </c>
      <c r="M141" s="107">
        <v>14</v>
      </c>
      <c r="N141" s="82">
        <v>45565</v>
      </c>
      <c r="O141" s="5" t="s">
        <v>684</v>
      </c>
      <c r="P141" s="26" t="s">
        <v>4080</v>
      </c>
      <c r="Q141" s="26" t="s">
        <v>4081</v>
      </c>
    </row>
    <row r="142" spans="1:18" s="4" customFormat="1" ht="17.25" customHeight="1" x14ac:dyDescent="0.2">
      <c r="A142" s="109" t="s">
        <v>4942</v>
      </c>
      <c r="B142" s="48" t="s">
        <v>4941</v>
      </c>
      <c r="C142" s="48" t="s">
        <v>1508</v>
      </c>
      <c r="D142" s="27">
        <v>43262</v>
      </c>
      <c r="E142" s="30">
        <v>20</v>
      </c>
      <c r="F142" s="30">
        <v>20</v>
      </c>
      <c r="G142" s="5" t="s">
        <v>4940</v>
      </c>
      <c r="H142" s="11" t="s">
        <v>2808</v>
      </c>
      <c r="I142" s="11" t="s">
        <v>2713</v>
      </c>
      <c r="J142" s="5" t="s">
        <v>471</v>
      </c>
      <c r="K142" s="10" t="s">
        <v>1750</v>
      </c>
      <c r="L142" s="111" t="s">
        <v>157</v>
      </c>
      <c r="M142" s="107">
        <v>14</v>
      </c>
      <c r="N142" s="82">
        <v>44895</v>
      </c>
      <c r="O142" s="5" t="s">
        <v>1231</v>
      </c>
      <c r="P142" s="26" t="s">
        <v>3153</v>
      </c>
      <c r="Q142" s="26" t="s">
        <v>1041</v>
      </c>
      <c r="R142" s="26"/>
    </row>
    <row r="143" spans="1:18" ht="17.25" customHeight="1" x14ac:dyDescent="0.2">
      <c r="A143" s="109" t="s">
        <v>2490</v>
      </c>
      <c r="B143" s="48" t="s">
        <v>1751</v>
      </c>
      <c r="C143" s="48" t="s">
        <v>3148</v>
      </c>
      <c r="D143" s="27">
        <v>43262</v>
      </c>
      <c r="E143" s="30">
        <v>20</v>
      </c>
      <c r="F143" s="30">
        <v>20</v>
      </c>
      <c r="G143" s="5" t="s">
        <v>55</v>
      </c>
      <c r="H143" s="11" t="s">
        <v>2808</v>
      </c>
      <c r="I143" s="11" t="s">
        <v>2713</v>
      </c>
      <c r="J143" s="5" t="s">
        <v>471</v>
      </c>
      <c r="K143" s="10" t="s">
        <v>1504</v>
      </c>
      <c r="L143" s="111" t="s">
        <v>157</v>
      </c>
      <c r="M143" s="5" t="s">
        <v>2423</v>
      </c>
      <c r="N143" s="82">
        <v>44561</v>
      </c>
      <c r="O143" s="5"/>
      <c r="P143" s="26" t="s">
        <v>3153</v>
      </c>
      <c r="Q143" s="26" t="s">
        <v>1041</v>
      </c>
    </row>
    <row r="144" spans="1:18" ht="17.25" customHeight="1" x14ac:dyDescent="0.2">
      <c r="A144" s="109" t="s">
        <v>5590</v>
      </c>
      <c r="B144" s="48" t="s">
        <v>5591</v>
      </c>
      <c r="C144" s="48" t="s">
        <v>5592</v>
      </c>
      <c r="D144" s="27">
        <v>43263</v>
      </c>
      <c r="E144" s="30">
        <v>20</v>
      </c>
      <c r="F144" s="30">
        <v>20</v>
      </c>
      <c r="G144" s="5" t="s">
        <v>55</v>
      </c>
      <c r="H144" s="11" t="s">
        <v>2723</v>
      </c>
      <c r="I144" s="11" t="s">
        <v>2713</v>
      </c>
      <c r="J144" s="5" t="s">
        <v>471</v>
      </c>
      <c r="K144" s="10" t="s">
        <v>5593</v>
      </c>
      <c r="L144" s="111" t="s">
        <v>157</v>
      </c>
      <c r="M144" s="107">
        <v>14</v>
      </c>
      <c r="N144" s="82">
        <v>45260</v>
      </c>
      <c r="O144" s="5" t="s">
        <v>1384</v>
      </c>
      <c r="P144" s="26" t="s">
        <v>3153</v>
      </c>
      <c r="Q144" s="26" t="s">
        <v>1041</v>
      </c>
    </row>
    <row r="145" spans="1:20" ht="17.25" customHeight="1" x14ac:dyDescent="0.2">
      <c r="A145" s="109" t="s">
        <v>2496</v>
      </c>
      <c r="B145" s="48" t="s">
        <v>2623</v>
      </c>
      <c r="C145" s="48" t="s">
        <v>1322</v>
      </c>
      <c r="D145" s="27">
        <v>43321</v>
      </c>
      <c r="E145" s="30">
        <v>20</v>
      </c>
      <c r="F145" s="30">
        <v>20</v>
      </c>
      <c r="G145" s="5" t="s">
        <v>55</v>
      </c>
      <c r="H145" s="11" t="s">
        <v>2736</v>
      </c>
      <c r="I145" s="11" t="s">
        <v>2713</v>
      </c>
      <c r="J145" s="5" t="s">
        <v>471</v>
      </c>
      <c r="K145" s="10" t="s">
        <v>1502</v>
      </c>
      <c r="L145" s="111" t="s">
        <v>157</v>
      </c>
      <c r="M145" s="107" t="s">
        <v>2423</v>
      </c>
      <c r="N145" s="82">
        <v>44926</v>
      </c>
      <c r="O145" s="5"/>
      <c r="P145" s="26" t="s">
        <v>3153</v>
      </c>
      <c r="Q145" s="26" t="s">
        <v>1041</v>
      </c>
    </row>
    <row r="146" spans="1:20" s="4" customFormat="1" ht="17.25" customHeight="1" x14ac:dyDescent="0.2">
      <c r="A146" s="109" t="s">
        <v>5187</v>
      </c>
      <c r="B146" s="48" t="s">
        <v>1756</v>
      </c>
      <c r="C146" s="48" t="s">
        <v>1507</v>
      </c>
      <c r="D146" s="27">
        <v>43349</v>
      </c>
      <c r="E146" s="30">
        <v>9</v>
      </c>
      <c r="F146" s="30">
        <v>27</v>
      </c>
      <c r="G146" s="5" t="s">
        <v>339</v>
      </c>
      <c r="H146" s="11" t="s">
        <v>590</v>
      </c>
      <c r="I146" s="11" t="s">
        <v>2713</v>
      </c>
      <c r="J146" s="5" t="s">
        <v>393</v>
      </c>
      <c r="K146" s="10" t="s">
        <v>4503</v>
      </c>
      <c r="L146" s="111" t="s">
        <v>157</v>
      </c>
      <c r="M146" s="107">
        <v>14</v>
      </c>
      <c r="N146" s="82">
        <v>45291</v>
      </c>
      <c r="O146" s="5" t="s">
        <v>255</v>
      </c>
      <c r="P146" s="26" t="s">
        <v>3153</v>
      </c>
      <c r="Q146" s="26" t="s">
        <v>1041</v>
      </c>
      <c r="R146" s="26"/>
    </row>
    <row r="147" spans="1:20" ht="17.25" customHeight="1" x14ac:dyDescent="0.2">
      <c r="A147" s="109" t="s">
        <v>4943</v>
      </c>
      <c r="B147" s="48" t="s">
        <v>4944</v>
      </c>
      <c r="C147" s="48" t="s">
        <v>4945</v>
      </c>
      <c r="D147" s="27">
        <v>43349</v>
      </c>
      <c r="E147" s="30">
        <v>20</v>
      </c>
      <c r="F147" s="30">
        <v>20</v>
      </c>
      <c r="G147" s="5" t="s">
        <v>615</v>
      </c>
      <c r="H147" s="11" t="s">
        <v>2775</v>
      </c>
      <c r="I147" s="11" t="s">
        <v>2713</v>
      </c>
      <c r="J147" s="5" t="s">
        <v>531</v>
      </c>
      <c r="K147" s="10" t="s">
        <v>4946</v>
      </c>
      <c r="L147" s="111" t="s">
        <v>157</v>
      </c>
      <c r="M147" s="107">
        <v>14</v>
      </c>
      <c r="N147" s="82">
        <v>44592</v>
      </c>
      <c r="O147" s="5" t="s">
        <v>433</v>
      </c>
      <c r="P147" s="26" t="s">
        <v>3153</v>
      </c>
      <c r="Q147" s="26" t="s">
        <v>1041</v>
      </c>
    </row>
    <row r="148" spans="1:20" ht="17.25" customHeight="1" x14ac:dyDescent="0.2">
      <c r="A148" s="109" t="s">
        <v>2510</v>
      </c>
      <c r="B148" s="48" t="s">
        <v>1730</v>
      </c>
      <c r="C148" s="48" t="s">
        <v>1238</v>
      </c>
      <c r="D148" s="27">
        <v>43374</v>
      </c>
      <c r="E148" s="30">
        <v>20</v>
      </c>
      <c r="F148" s="30">
        <v>20</v>
      </c>
      <c r="G148" s="5" t="s">
        <v>55</v>
      </c>
      <c r="H148" s="11" t="s">
        <v>2772</v>
      </c>
      <c r="I148" s="11" t="s">
        <v>2713</v>
      </c>
      <c r="J148" s="5" t="s">
        <v>393</v>
      </c>
      <c r="K148" s="10" t="s">
        <v>1528</v>
      </c>
      <c r="L148" s="111" t="s">
        <v>34</v>
      </c>
      <c r="M148" s="107" t="s">
        <v>2423</v>
      </c>
      <c r="N148" s="82">
        <v>44895</v>
      </c>
      <c r="O148" s="5" t="s">
        <v>1384</v>
      </c>
      <c r="P148" s="26" t="s">
        <v>1041</v>
      </c>
      <c r="Q148" s="26" t="s">
        <v>1041</v>
      </c>
    </row>
    <row r="149" spans="1:20" customFormat="1" ht="21" customHeight="1" x14ac:dyDescent="0.2">
      <c r="A149" s="109" t="s">
        <v>2511</v>
      </c>
      <c r="B149" s="48" t="s">
        <v>4934</v>
      </c>
      <c r="C149" s="48" t="s">
        <v>1513</v>
      </c>
      <c r="D149" s="27">
        <v>43378</v>
      </c>
      <c r="E149" s="25">
        <v>20</v>
      </c>
      <c r="F149" s="25">
        <v>20</v>
      </c>
      <c r="G149" s="5" t="s">
        <v>615</v>
      </c>
      <c r="H149" s="11" t="s">
        <v>2738</v>
      </c>
      <c r="I149" s="11" t="s">
        <v>2713</v>
      </c>
      <c r="J149" s="5" t="s">
        <v>420</v>
      </c>
      <c r="K149" s="10" t="s">
        <v>4491</v>
      </c>
      <c r="L149" s="111" t="s">
        <v>41</v>
      </c>
      <c r="M149" s="107">
        <v>14</v>
      </c>
      <c r="N149" s="82">
        <v>45199</v>
      </c>
      <c r="O149" s="5" t="s">
        <v>433</v>
      </c>
      <c r="P149" s="26" t="s">
        <v>3153</v>
      </c>
      <c r="Q149" s="26" t="s">
        <v>1041</v>
      </c>
      <c r="R149" s="16"/>
      <c r="S149" s="16"/>
      <c r="T149" s="16"/>
    </row>
    <row r="150" spans="1:20" ht="17.25" customHeight="1" x14ac:dyDescent="0.2">
      <c r="A150" s="109" t="s">
        <v>2512</v>
      </c>
      <c r="B150" s="48" t="s">
        <v>1520</v>
      </c>
      <c r="C150" s="48" t="s">
        <v>1218</v>
      </c>
      <c r="D150" s="27">
        <v>43395</v>
      </c>
      <c r="E150" s="30">
        <v>20</v>
      </c>
      <c r="F150" s="30">
        <v>20</v>
      </c>
      <c r="G150" s="5" t="s">
        <v>55</v>
      </c>
      <c r="H150" s="11" t="s">
        <v>2753</v>
      </c>
      <c r="I150" s="11" t="s">
        <v>2713</v>
      </c>
      <c r="J150" s="5" t="s">
        <v>393</v>
      </c>
      <c r="K150" s="10" t="s">
        <v>4504</v>
      </c>
      <c r="L150" s="111" t="s">
        <v>34</v>
      </c>
      <c r="M150" s="107" t="s">
        <v>2423</v>
      </c>
      <c r="N150" s="82">
        <v>44834</v>
      </c>
      <c r="O150" s="5" t="s">
        <v>1385</v>
      </c>
      <c r="P150" s="26" t="s">
        <v>3153</v>
      </c>
      <c r="Q150" s="26" t="s">
        <v>1041</v>
      </c>
    </row>
    <row r="151" spans="1:20" ht="17.25" customHeight="1" x14ac:dyDescent="0.2">
      <c r="A151" s="109" t="s">
        <v>2515</v>
      </c>
      <c r="B151" s="48" t="s">
        <v>4934</v>
      </c>
      <c r="C151" s="48" t="s">
        <v>1550</v>
      </c>
      <c r="D151" s="27">
        <v>43437</v>
      </c>
      <c r="E151" s="25" t="s">
        <v>54</v>
      </c>
      <c r="F151" s="25" t="s">
        <v>54</v>
      </c>
      <c r="G151" s="5" t="s">
        <v>256</v>
      </c>
      <c r="H151" s="11" t="s">
        <v>2734</v>
      </c>
      <c r="I151" s="11" t="s">
        <v>2713</v>
      </c>
      <c r="J151" s="5" t="s">
        <v>530</v>
      </c>
      <c r="K151" s="10" t="s">
        <v>1558</v>
      </c>
      <c r="L151" s="111" t="s">
        <v>41</v>
      </c>
      <c r="M151" s="107" t="s">
        <v>2423</v>
      </c>
      <c r="N151" s="82">
        <v>43738</v>
      </c>
      <c r="O151" s="5" t="s">
        <v>1385</v>
      </c>
      <c r="P151" s="26" t="s">
        <v>3153</v>
      </c>
      <c r="Q151" s="26" t="s">
        <v>1041</v>
      </c>
    </row>
    <row r="152" spans="1:20" ht="17.25" customHeight="1" x14ac:dyDescent="0.2">
      <c r="A152" s="114" t="s">
        <v>5232</v>
      </c>
      <c r="B152" s="83" t="s">
        <v>3493</v>
      </c>
      <c r="C152" s="83" t="s">
        <v>1718</v>
      </c>
      <c r="D152" s="89">
        <v>43628</v>
      </c>
      <c r="E152" s="96">
        <v>250</v>
      </c>
      <c r="F152" s="96">
        <v>250</v>
      </c>
      <c r="G152" s="15" t="s">
        <v>253</v>
      </c>
      <c r="H152" s="15" t="s">
        <v>2849</v>
      </c>
      <c r="I152" s="88" t="s">
        <v>2713</v>
      </c>
      <c r="J152" s="15" t="s">
        <v>533</v>
      </c>
      <c r="K152" s="10" t="s">
        <v>916</v>
      </c>
      <c r="L152" s="92" t="s">
        <v>41</v>
      </c>
      <c r="M152" s="98" t="s">
        <v>2423</v>
      </c>
      <c r="N152" s="92">
        <v>45107</v>
      </c>
      <c r="O152" s="5" t="s">
        <v>255</v>
      </c>
      <c r="P152" s="26" t="s">
        <v>3153</v>
      </c>
      <c r="Q152" s="26" t="s">
        <v>1041</v>
      </c>
    </row>
    <row r="153" spans="1:20" ht="17.25" customHeight="1" x14ac:dyDescent="0.2">
      <c r="A153" s="109" t="s">
        <v>5300</v>
      </c>
      <c r="B153" s="48" t="s">
        <v>7320</v>
      </c>
      <c r="C153" s="48" t="s">
        <v>7321</v>
      </c>
      <c r="D153" s="27">
        <v>44187</v>
      </c>
      <c r="E153" s="30" t="s">
        <v>54</v>
      </c>
      <c r="F153" s="30" t="s">
        <v>54</v>
      </c>
      <c r="G153" s="5" t="s">
        <v>256</v>
      </c>
      <c r="H153" s="5" t="s">
        <v>2801</v>
      </c>
      <c r="I153" s="10" t="s">
        <v>2713</v>
      </c>
      <c r="J153" s="111" t="s">
        <v>1140</v>
      </c>
      <c r="K153" s="107" t="s">
        <v>7209</v>
      </c>
      <c r="L153" s="82" t="s">
        <v>4156</v>
      </c>
      <c r="M153" s="5">
        <v>15</v>
      </c>
      <c r="N153" s="82">
        <v>45838</v>
      </c>
      <c r="O153" s="5" t="s">
        <v>2701</v>
      </c>
      <c r="P153" s="26" t="s">
        <v>3153</v>
      </c>
      <c r="Q153" s="26" t="s">
        <v>1041</v>
      </c>
    </row>
    <row r="154" spans="1:20" ht="17.25" customHeight="1" x14ac:dyDescent="0.2">
      <c r="A154" s="114"/>
      <c r="B154" s="83"/>
      <c r="C154" s="83"/>
      <c r="D154" s="89"/>
      <c r="E154" s="96"/>
      <c r="F154" s="96"/>
      <c r="G154" s="15"/>
      <c r="H154" s="88"/>
      <c r="I154" s="88"/>
      <c r="J154" s="15"/>
      <c r="K154" s="88"/>
      <c r="L154" s="15"/>
      <c r="M154" s="15"/>
      <c r="N154" s="92"/>
      <c r="O154" s="15"/>
      <c r="P154" s="98"/>
      <c r="Q154" s="98"/>
    </row>
    <row r="155" spans="1:20" ht="17.25" customHeight="1" x14ac:dyDescent="0.2">
      <c r="A155" s="114"/>
      <c r="B155" s="83"/>
      <c r="C155" s="83"/>
      <c r="D155" s="89"/>
      <c r="E155" s="96"/>
      <c r="F155" s="96"/>
      <c r="G155" s="15"/>
      <c r="H155" s="88"/>
      <c r="I155" s="88"/>
      <c r="J155" s="15"/>
      <c r="K155" s="88"/>
      <c r="L155" s="15"/>
      <c r="M155" s="15"/>
      <c r="N155" s="92"/>
      <c r="O155" s="15"/>
      <c r="P155" s="98"/>
      <c r="Q155" s="98"/>
    </row>
    <row r="156" spans="1:20" ht="17.25" customHeight="1" x14ac:dyDescent="0.2">
      <c r="A156" s="114"/>
      <c r="B156" s="83"/>
      <c r="C156" s="83"/>
      <c r="D156" s="89"/>
      <c r="E156" s="96"/>
      <c r="F156" s="96"/>
      <c r="G156" s="15"/>
      <c r="H156" s="88"/>
      <c r="I156" s="88"/>
      <c r="J156" s="15"/>
      <c r="K156" s="88"/>
      <c r="L156" s="15"/>
      <c r="M156" s="15"/>
      <c r="N156" s="92"/>
      <c r="O156" s="15"/>
      <c r="P156" s="98"/>
      <c r="Q156" s="98"/>
    </row>
    <row r="157" spans="1:20" ht="17.25" customHeight="1" x14ac:dyDescent="0.2">
      <c r="A157" s="114"/>
      <c r="B157" s="83"/>
      <c r="C157" s="83"/>
      <c r="D157" s="89"/>
      <c r="E157" s="96"/>
      <c r="F157" s="96"/>
      <c r="G157" s="15"/>
      <c r="H157" s="88"/>
      <c r="I157" s="88"/>
      <c r="J157" s="15"/>
      <c r="K157" s="88"/>
      <c r="L157" s="15"/>
      <c r="M157" s="15"/>
      <c r="N157" s="92"/>
      <c r="O157" s="15"/>
      <c r="P157" s="98"/>
      <c r="Q157" s="98"/>
    </row>
    <row r="158" spans="1:20" ht="17.25" customHeight="1" x14ac:dyDescent="0.2">
      <c r="A158" s="114"/>
      <c r="B158" s="83"/>
      <c r="C158" s="83"/>
      <c r="D158" s="89"/>
      <c r="E158" s="96"/>
      <c r="F158" s="96"/>
      <c r="G158" s="15"/>
      <c r="H158" s="88"/>
      <c r="I158" s="88"/>
      <c r="J158" s="15"/>
      <c r="K158" s="88"/>
      <c r="L158" s="15"/>
      <c r="M158" s="15"/>
      <c r="N158" s="92"/>
      <c r="O158" s="15"/>
      <c r="P158" s="98"/>
      <c r="Q158" s="98"/>
    </row>
    <row r="159" spans="1:20" ht="17.25" customHeight="1" x14ac:dyDescent="0.2">
      <c r="A159" s="114"/>
      <c r="B159" s="83"/>
      <c r="C159" s="83"/>
      <c r="D159" s="89"/>
      <c r="E159" s="96"/>
      <c r="F159" s="96"/>
      <c r="G159" s="15"/>
      <c r="H159" s="88"/>
      <c r="I159" s="88"/>
      <c r="J159" s="15"/>
      <c r="K159" s="88"/>
      <c r="L159" s="15"/>
      <c r="M159" s="15"/>
      <c r="N159" s="92"/>
      <c r="O159" s="15"/>
      <c r="P159" s="98"/>
      <c r="Q159" s="98"/>
    </row>
  </sheetData>
  <autoFilter ref="A2:T153" xr:uid="{00000000-0001-0000-0200-000000000000}"/>
  <sortState xmlns:xlrd2="http://schemas.microsoft.com/office/spreadsheetml/2017/richdata2" ref="A3:Q151">
    <sortCondition ref="A3:A151"/>
  </sortState>
  <mergeCells count="3">
    <mergeCell ref="J1:J2"/>
    <mergeCell ref="N1:N2"/>
    <mergeCell ref="H1:I1"/>
  </mergeCells>
  <conditionalFormatting sqref="A1:A1048576">
    <cfRule type="duplicateValues" dxfId="6" priority="64"/>
  </conditionalFormatting>
  <conditionalFormatting sqref="A145 A45">
    <cfRule type="duplicateValues" dxfId="5" priority="136"/>
    <cfRule type="duplicateValues" dxfId="4" priority="137"/>
    <cfRule type="duplicateValues" dxfId="3" priority="138"/>
    <cfRule type="duplicateValues" dxfId="2" priority="139"/>
  </conditionalFormatting>
  <conditionalFormatting sqref="A153 A3:A133 A135:A151">
    <cfRule type="duplicateValues" dxfId="1" priority="1380"/>
    <cfRule type="duplicateValues" dxfId="0" priority="1381"/>
  </conditionalFormatting>
  <printOptions horizontalCentered="1"/>
  <pageMargins left="0.5" right="0.5" top="0.75" bottom="0.5" header="0.4" footer="0.25"/>
  <pageSetup scale="53" fitToHeight="14" orientation="landscape" horizontalDpi="300" verticalDpi="300" r:id="rId1"/>
  <headerFooter alignWithMargins="0">
    <oddHeader xml:space="preserve">&amp;C&amp;"Arial,Bold"&amp;UInterconnection Requests and Transmission Projects &amp;R
&amp;10Page &amp;P of &amp;N&amp;12
</oddHeader>
    <oddFooter>&amp;L&amp;"Arial,Italic"&amp;10&amp;F&amp;R&amp;"Arial,Italic"&amp;10Updated: 07/31/2026</oddFooter>
  </headerFooter>
  <ignoredErrors>
    <ignoredError sqref="M135:M151 M3:M57 A3:A57 M103:M125 A153 M127:M133 A103:A133 A134:XFD134 A135:A151 M152 A152 M79:M101 A79:A101 M58:M78 A58:A7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52D4B141D11143803A88A7F9871ACD" ma:contentTypeVersion="8" ma:contentTypeDescription="Create a new document." ma:contentTypeScope="" ma:versionID="5bc4ebbd5a7c6c27851882d92a6ddd78">
  <xsd:schema xmlns:xsd="http://www.w3.org/2001/XMLSchema" xmlns:xs="http://www.w3.org/2001/XMLSchema" xmlns:p="http://schemas.microsoft.com/office/2006/metadata/properties" xmlns:ns1="http://schemas.microsoft.com/sharepoint/v3" xmlns:ns2="67ddea61-67de-4659-82a6-577e828c72b3" xmlns:ns3="59b32621-6f36-4e07-94ee-3d24e0c6063b" targetNamespace="http://schemas.microsoft.com/office/2006/metadata/properties" ma:root="true" ma:fieldsID="2c2d0afb82a9deea0be89a1ce6a6ae2a" ns1:_="" ns2:_="" ns3:_="">
    <xsd:import namespace="http://schemas.microsoft.com/sharepoint/v3"/>
    <xsd:import namespace="67ddea61-67de-4659-82a6-577e828c72b3"/>
    <xsd:import namespace="59b32621-6f36-4e07-94ee-3d24e0c606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dea61-67de-4659-82a6-577e828c72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b32621-6f36-4e07-94ee-3d24e0c6063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E75AC-6D99-49EF-BFBD-D93922C05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ddea61-67de-4659-82a6-577e828c72b3"/>
    <ds:schemaRef ds:uri="59b32621-6f36-4e07-94ee-3d24e0c606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7849F4-0781-432B-86F1-ACDFB98ED172}">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D3093318-50A5-43C4-957D-5BF8B3C9FA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NYISO Zonal Map</vt:lpstr>
      <vt:lpstr>Interconnection Queue</vt:lpstr>
      <vt:lpstr> Cluster Projects</vt:lpstr>
      <vt:lpstr>Load Projects</vt:lpstr>
      <vt:lpstr>Load Project Tracking</vt:lpstr>
      <vt:lpstr>Affected System Studies</vt:lpstr>
      <vt:lpstr>Withdrawn</vt:lpstr>
      <vt:lpstr>Cluster Projects-Withdrawn</vt:lpstr>
      <vt:lpstr>In Service</vt:lpstr>
      <vt:lpstr>'In Service'!PRINT</vt:lpstr>
      <vt:lpstr>Withdrawn!PRINT</vt:lpstr>
      <vt:lpstr>PRINT</vt:lpstr>
      <vt:lpstr>'In Service'!Print_Area</vt:lpstr>
      <vt:lpstr>'Interconnection Queue'!Print_Area</vt:lpstr>
      <vt:lpstr>Withdrawn!Print_Area</vt:lpstr>
      <vt:lpstr>Print_Area</vt:lpstr>
      <vt:lpstr>'In Service'!Print_Titles</vt:lpstr>
      <vt:lpstr>'Interconnection Queue'!Print_Titles</vt:lpstr>
      <vt:lpstr>Withdrawn!Print_Titles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Corey/NYISO</dc:creator>
  <cp:lastModifiedBy>Amsler, Katie B.</cp:lastModifiedBy>
  <cp:lastPrinted>2024-10-07T13:49:18Z</cp:lastPrinted>
  <dcterms:created xsi:type="dcterms:W3CDTF">2000-04-09T21:26:23Z</dcterms:created>
  <dcterms:modified xsi:type="dcterms:W3CDTF">2026-08-12T18:11:49Z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-1230168566</vt:i4>
  </property>
  <property fmtid="{D5CDD505-2E9C-101B-9397-08002B2CF9AE}" pid="3" name="_NewReviewCycle">
    <vt:lpwstr/>
  </property>
  <property fmtid="{D5CDD505-2E9C-101B-9397-08002B2CF9AE}" pid="4" name="_EmailSubject">
    <vt:lpwstr>Queue Update for 4/30/23</vt:lpwstr>
  </property>
  <property fmtid="{D5CDD505-2E9C-101B-9397-08002B2CF9AE}" pid="5" name="_AuthorEmail">
    <vt:lpwstr>TNguyen@nyiso.com</vt:lpwstr>
  </property>
  <property fmtid="{D5CDD505-2E9C-101B-9397-08002B2CF9AE}" pid="6" name="_AuthorEmailDisplayName">
    <vt:lpwstr>Nguyen, Thinh T.</vt:lpwstr>
  </property>
  <property fmtid="{D5CDD505-2E9C-101B-9397-08002B2CF9AE}" pid="7" name="_PreviousAdHocReviewCycleID">
    <vt:i4>412150473</vt:i4>
  </property>
  <property fmtid="{D5CDD505-2E9C-101B-9397-08002B2CF9AE}" pid="8" name="MSIP_Label_a5049dce-8671-4c79-90d7-f6ec79470f4e_Enabled">
    <vt:lpwstr>true</vt:lpwstr>
  </property>
  <property fmtid="{D5CDD505-2E9C-101B-9397-08002B2CF9AE}" pid="9" name="MSIP_Label_a5049dce-8671-4c79-90d7-f6ec79470f4e_SetDate">
    <vt:lpwstr>2022-11-14T20:30:47Z</vt:lpwstr>
  </property>
  <property fmtid="{D5CDD505-2E9C-101B-9397-08002B2CF9AE}" pid="10" name="MSIP_Label_a5049dce-8671-4c79-90d7-f6ec79470f4e_Method">
    <vt:lpwstr>Privileged</vt:lpwstr>
  </property>
  <property fmtid="{D5CDD505-2E9C-101B-9397-08002B2CF9AE}" pid="11" name="MSIP_Label_a5049dce-8671-4c79-90d7-f6ec79470f4e_Name">
    <vt:lpwstr>Public</vt:lpwstr>
  </property>
  <property fmtid="{D5CDD505-2E9C-101B-9397-08002B2CF9AE}" pid="12" name="MSIP_Label_a5049dce-8671-4c79-90d7-f6ec79470f4e_SiteId">
    <vt:lpwstr>7658602a-f7b9-4209-bc62-d2bfc30dea0d</vt:lpwstr>
  </property>
  <property fmtid="{D5CDD505-2E9C-101B-9397-08002B2CF9AE}" pid="13" name="MSIP_Label_a5049dce-8671-4c79-90d7-f6ec79470f4e_ActionId">
    <vt:lpwstr>695c928f-4eed-4e1e-894e-896b19a99626</vt:lpwstr>
  </property>
  <property fmtid="{D5CDD505-2E9C-101B-9397-08002B2CF9AE}" pid="14" name="MSIP_Label_a5049dce-8671-4c79-90d7-f6ec79470f4e_ContentBits">
    <vt:lpwstr>0</vt:lpwstr>
  </property>
  <property fmtid="{D5CDD505-2E9C-101B-9397-08002B2CF9AE}" pid="15" name="ContentTypeId">
    <vt:lpwstr>0x0101009452D4B141D11143803A88A7F9871ACD</vt:lpwstr>
  </property>
  <property fmtid="{D5CDD505-2E9C-101B-9397-08002B2CF9AE}" pid="16" name="_ReviewingToolsShownOnce">
    <vt:lpwstr/>
  </property>
</Properties>
</file>