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ase\NYISO DCR 32249\Analysis\Models Sent to NYISO or Underlying Report Drafts\2021.04.13 FERC Update -- Final Fossil Model Copy (Stakeholders)\Shared Inputs\"/>
    </mc:Choice>
  </mc:AlternateContent>
  <bookViews>
    <workbookView xWindow="0" yWindow="0" windowWidth="32910" windowHeight="13710"/>
  </bookViews>
  <sheets>
    <sheet name="MODEL INPUTS -&gt;" sheetId="50" r:id="rId1"/>
    <sheet name="gen_params_CTs_reserves" sheetId="42" r:id="rId2"/>
    <sheet name="CTs_runtimes_scr" sheetId="64" r:id="rId3"/>
    <sheet name="nox_limits" sheetId="73" r:id="rId4"/>
    <sheet name="tech_params_aero" sheetId="25" r:id="rId5"/>
    <sheet name="tech_params_aero_noscr" sheetId="75" r:id="rId6"/>
    <sheet name="tech_params_f" sheetId="28" r:id="rId7"/>
    <sheet name="tech_params_f_noscr" sheetId="41" r:id="rId8"/>
    <sheet name="tech_params_j25" sheetId="33" r:id="rId9"/>
    <sheet name="tech_params_j25_noscr" sheetId="52" r:id="rId10"/>
    <sheet name="tech_params_j15_noscr" sheetId="71" r:id="rId11"/>
    <sheet name="tech_params_ccj" sheetId="35" r:id="rId12"/>
    <sheet name="DATA -&gt;" sheetId="49" r:id="rId13"/>
    <sheet name="Aero_NoSCR_Filtered" sheetId="62" r:id="rId14"/>
    <sheet name="Aero_SCR_Filtered" sheetId="61" r:id="rId15"/>
    <sheet name="F-Class_NoSCR_Filtered" sheetId="60" r:id="rId16"/>
    <sheet name="F-Class_SCR_Filtered" sheetId="54" r:id="rId17"/>
    <sheet name="J-Class25ppm_NoSCR_Filtered" sheetId="51" r:id="rId18"/>
    <sheet name="J-Class25ppm_SCR_Filtered" sheetId="32" r:id="rId19"/>
    <sheet name="J-Class15ppm_NoSCR_Filtered" sheetId="68" r:id="rId20"/>
    <sheet name="J-Class_CC_Filtered" sheetId="63" r:id="rId21"/>
  </sheets>
  <definedNames>
    <definedName name="CIQWBGuid" hidden="1">"5a92be92-c377-4a97-a068-fa3341b6d316"</definedName>
    <definedName name="CIQWBInfo" hidden="1">"{ ""CIQVersion"":""9.45.614.5792"" }"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4">Aero_SCR_Filtered!$E$4:$L$39</definedName>
    <definedName name="_xlnm.Print_Area" localSheetId="15">'F-Class_NoSCR_Filtered'!$F$4:$M$38</definedName>
    <definedName name="_xlnm.Print_Area" localSheetId="16">'F-Class_SCR_Filtered'!$E$4:$L$38</definedName>
    <definedName name="_xlnm.Print_Area" localSheetId="20">'J-Class_CC_Filtered'!$E$4:$L$63</definedName>
    <definedName name="_xlnm.Print_Area" localSheetId="19">'J-Class15ppm_NoSCR_Filtered'!$F$4:$J$38</definedName>
    <definedName name="_xlnm.Print_Area" localSheetId="17">'J-Class25ppm_NoSCR_Filtered'!$F$4:$M$38</definedName>
    <definedName name="_xlnm.Print_Area" localSheetId="18">'J-Class25ppm_SCR_Filtered'!$E$4:$L$38</definedName>
  </definedNames>
  <calcPr calcId="162913"/>
</workbook>
</file>

<file path=xl/calcChain.xml><?xml version="1.0" encoding="utf-8"?>
<calcChain xmlns="http://schemas.openxmlformats.org/spreadsheetml/2006/main">
  <c r="J2" i="25" l="1"/>
  <c r="J3" i="25"/>
  <c r="J4" i="25"/>
  <c r="J5" i="25"/>
  <c r="J6" i="25"/>
  <c r="J7" i="25"/>
  <c r="J2" i="75"/>
  <c r="J3" i="75"/>
  <c r="J4" i="75"/>
  <c r="J5" i="75"/>
  <c r="J6" i="75"/>
  <c r="J7" i="75"/>
  <c r="I2" i="28"/>
  <c r="I3" i="28"/>
  <c r="I4" i="28"/>
  <c r="I5" i="28"/>
  <c r="I6" i="28"/>
  <c r="I7" i="28"/>
  <c r="I2" i="41"/>
  <c r="I3" i="41"/>
  <c r="I4" i="41"/>
  <c r="I5" i="41"/>
  <c r="I6" i="41"/>
  <c r="I7" i="41"/>
  <c r="I2" i="33"/>
  <c r="I3" i="33"/>
  <c r="I4" i="33"/>
  <c r="I5" i="33"/>
  <c r="I6" i="33"/>
  <c r="I7" i="33"/>
  <c r="I2" i="52"/>
  <c r="I3" i="52"/>
  <c r="I4" i="52"/>
  <c r="I5" i="52"/>
  <c r="I6" i="52"/>
  <c r="I7" i="52"/>
  <c r="I2" i="71"/>
  <c r="I3" i="71"/>
  <c r="I4" i="71"/>
  <c r="J2" i="35"/>
  <c r="J3" i="35"/>
  <c r="J4" i="35"/>
  <c r="J5" i="35"/>
  <c r="J6" i="35"/>
  <c r="J7" i="35"/>
  <c r="K4" i="71" l="1"/>
  <c r="N4" i="71"/>
  <c r="L3" i="71"/>
  <c r="N3" i="71"/>
  <c r="V3" i="71"/>
  <c r="Q4" i="71"/>
  <c r="L4" i="71"/>
  <c r="M3" i="71"/>
  <c r="S4" i="71"/>
  <c r="O4" i="71"/>
  <c r="T4" i="71"/>
  <c r="T3" i="71"/>
  <c r="U4" i="71"/>
  <c r="U3" i="71"/>
  <c r="P3" i="71"/>
  <c r="S3" i="71"/>
  <c r="V4" i="71"/>
  <c r="P4" i="71"/>
  <c r="Q3" i="71"/>
  <c r="M4" i="71"/>
  <c r="K3" i="71"/>
  <c r="R3" i="71"/>
  <c r="R4" i="71"/>
  <c r="O3" i="71"/>
  <c r="C3" i="71"/>
  <c r="E4" i="71"/>
  <c r="F3" i="71"/>
  <c r="D4" i="71"/>
  <c r="H3" i="71"/>
  <c r="G4" i="71"/>
  <c r="H4" i="71"/>
  <c r="F4" i="71"/>
  <c r="W3" i="71"/>
  <c r="G3" i="71"/>
  <c r="C4" i="71"/>
  <c r="E3" i="71"/>
  <c r="J4" i="71"/>
  <c r="W4" i="71"/>
  <c r="D3" i="71"/>
  <c r="J3" i="71"/>
  <c r="V2" i="71" l="1"/>
  <c r="M2" i="71"/>
  <c r="R2" i="71"/>
  <c r="L2" i="71"/>
  <c r="O2" i="71"/>
  <c r="Q2" i="71"/>
  <c r="P2" i="71"/>
  <c r="T2" i="71"/>
  <c r="K2" i="71"/>
  <c r="S2" i="71"/>
  <c r="N2" i="71"/>
  <c r="U2" i="71"/>
  <c r="G2" i="71"/>
  <c r="H2" i="71"/>
  <c r="W2" i="71"/>
  <c r="J2" i="71"/>
  <c r="C2" i="71"/>
  <c r="E2" i="71"/>
  <c r="D2" i="71"/>
  <c r="F2" i="71"/>
  <c r="AB7" i="35" l="1"/>
  <c r="R5" i="35"/>
  <c r="AD5" i="35"/>
  <c r="AJ2" i="35"/>
  <c r="S4" i="35"/>
  <c r="AL5" i="35"/>
  <c r="U2" i="35"/>
  <c r="AH2" i="35"/>
  <c r="S5" i="35"/>
  <c r="AK3" i="35"/>
  <c r="T6" i="35"/>
  <c r="L7" i="35"/>
  <c r="M2" i="35"/>
  <c r="AJ3" i="35"/>
  <c r="AL2" i="35"/>
  <c r="Q4" i="35"/>
  <c r="L2" i="35"/>
  <c r="V7" i="35"/>
  <c r="O2" i="35"/>
  <c r="S7" i="35"/>
  <c r="AB5" i="35"/>
  <c r="AE5" i="35"/>
  <c r="R2" i="35"/>
  <c r="AD7" i="35"/>
  <c r="AD4" i="35"/>
  <c r="AI2" i="35"/>
  <c r="AK6" i="35"/>
  <c r="O7" i="35"/>
  <c r="Q3" i="35"/>
  <c r="AD2" i="35"/>
  <c r="AA4" i="35"/>
  <c r="AK2" i="35"/>
  <c r="N2" i="35"/>
  <c r="AI4" i="35"/>
  <c r="AJ5" i="35"/>
  <c r="AC4" i="35"/>
  <c r="T4" i="35"/>
  <c r="AE6" i="35"/>
  <c r="AI7" i="35"/>
  <c r="AF7" i="35"/>
  <c r="S3" i="35"/>
  <c r="AC3" i="35"/>
  <c r="O6" i="35"/>
  <c r="AG7" i="35"/>
  <c r="L4" i="35"/>
  <c r="AB6" i="35"/>
  <c r="T3" i="35"/>
  <c r="V3" i="35"/>
  <c r="P3" i="35"/>
  <c r="U5" i="35"/>
  <c r="W5" i="35"/>
  <c r="AB3" i="35"/>
  <c r="AL7" i="35"/>
  <c r="V4" i="35"/>
  <c r="AL6" i="35"/>
  <c r="U6" i="35"/>
  <c r="S6" i="35"/>
  <c r="AK7" i="35"/>
  <c r="AJ4" i="35"/>
  <c r="N3" i="35"/>
  <c r="R7" i="35"/>
  <c r="AE3" i="35"/>
  <c r="M3" i="35"/>
  <c r="AJ7" i="35"/>
  <c r="V6" i="35"/>
  <c r="U7" i="35"/>
  <c r="AC7" i="35"/>
  <c r="W4" i="35"/>
  <c r="V2" i="35"/>
  <c r="AB2" i="35"/>
  <c r="P6" i="35"/>
  <c r="AA2" i="35"/>
  <c r="AJ6" i="35"/>
  <c r="AB4" i="35"/>
  <c r="AH4" i="35"/>
  <c r="Q5" i="35"/>
  <c r="Q6" i="35"/>
  <c r="Q2" i="35"/>
  <c r="AF5" i="35"/>
  <c r="U3" i="35"/>
  <c r="AI3" i="35"/>
  <c r="AI5" i="35"/>
  <c r="N4" i="35"/>
  <c r="R3" i="35"/>
  <c r="W7" i="35"/>
  <c r="AK4" i="35"/>
  <c r="AC5" i="35"/>
  <c r="Q7" i="35"/>
  <c r="M4" i="35"/>
  <c r="AA5" i="35"/>
  <c r="AC2" i="35"/>
  <c r="AE7" i="35"/>
  <c r="P7" i="35"/>
  <c r="AF3" i="35"/>
  <c r="N7" i="35"/>
  <c r="AD6" i="35"/>
  <c r="N6" i="35"/>
  <c r="M7" i="35"/>
  <c r="S2" i="35"/>
  <c r="AD3" i="35"/>
  <c r="AH7" i="35"/>
  <c r="AF2" i="35"/>
  <c r="T7" i="35"/>
  <c r="T5" i="35"/>
  <c r="L5" i="35"/>
  <c r="AL4" i="35"/>
  <c r="L3" i="35"/>
  <c r="L6" i="35"/>
  <c r="O4" i="35"/>
  <c r="O5" i="35"/>
  <c r="AG3" i="35"/>
  <c r="T2" i="35"/>
  <c r="AH5" i="35"/>
  <c r="O3" i="35"/>
  <c r="AG5" i="35"/>
  <c r="W3" i="35"/>
  <c r="AI6" i="35"/>
  <c r="R6" i="35"/>
  <c r="W6" i="35"/>
  <c r="V5" i="35"/>
  <c r="W2" i="35"/>
  <c r="AA3" i="35"/>
  <c r="AG6" i="35"/>
  <c r="P2" i="35"/>
  <c r="R4" i="35"/>
  <c r="M6" i="35"/>
  <c r="AF4" i="35"/>
  <c r="U4" i="35"/>
  <c r="AE2" i="35"/>
  <c r="AE4" i="35"/>
  <c r="AK5" i="35"/>
  <c r="AA6" i="35"/>
  <c r="AG4" i="35"/>
  <c r="N5" i="35"/>
  <c r="P5" i="35"/>
  <c r="AC6" i="35"/>
  <c r="M5" i="35"/>
  <c r="AA7" i="35"/>
  <c r="AH3" i="35"/>
  <c r="AG2" i="35"/>
  <c r="AL3" i="35"/>
  <c r="AH6" i="35"/>
  <c r="P4" i="35"/>
  <c r="AF6" i="35"/>
  <c r="AN6" i="35"/>
  <c r="G5" i="35"/>
  <c r="D4" i="35"/>
  <c r="Y6" i="35"/>
  <c r="H3" i="35"/>
  <c r="AM3" i="35"/>
  <c r="Y3" i="35"/>
  <c r="G4" i="35"/>
  <c r="C5" i="35"/>
  <c r="E6" i="35"/>
  <c r="C4" i="35"/>
  <c r="AN2" i="35"/>
  <c r="K4" i="35"/>
  <c r="AM7" i="35"/>
  <c r="Y5" i="35"/>
  <c r="F3" i="35"/>
  <c r="AM5" i="35"/>
  <c r="X5" i="35"/>
  <c r="X2" i="35"/>
  <c r="X3" i="35"/>
  <c r="I5" i="35"/>
  <c r="H7" i="35"/>
  <c r="F4" i="35"/>
  <c r="AN7" i="35"/>
  <c r="C2" i="35"/>
  <c r="I2" i="35"/>
  <c r="Z3" i="35"/>
  <c r="C6" i="35"/>
  <c r="E3" i="35"/>
  <c r="X6" i="35"/>
  <c r="K2" i="35"/>
  <c r="H2" i="35"/>
  <c r="D2" i="35"/>
  <c r="Z4" i="35"/>
  <c r="X7" i="35"/>
  <c r="F7" i="35"/>
  <c r="D6" i="35"/>
  <c r="G7" i="35"/>
  <c r="Z7" i="35"/>
  <c r="Y7" i="35"/>
  <c r="E2" i="35"/>
  <c r="F2" i="35"/>
  <c r="I6" i="35"/>
  <c r="G6" i="35"/>
  <c r="X4" i="35"/>
  <c r="AM6" i="35"/>
  <c r="AN4" i="35"/>
  <c r="H5" i="35"/>
  <c r="D5" i="35"/>
  <c r="F6" i="35"/>
  <c r="AN5" i="35"/>
  <c r="K6" i="35"/>
  <c r="I7" i="35"/>
  <c r="C7" i="35"/>
  <c r="H6" i="35"/>
  <c r="K3" i="35"/>
  <c r="K7" i="35"/>
  <c r="H4" i="35"/>
  <c r="AN3" i="35"/>
  <c r="AM4" i="35"/>
  <c r="E4" i="35"/>
  <c r="I4" i="35"/>
  <c r="Z5" i="35"/>
  <c r="Y4" i="35"/>
  <c r="Z6" i="35"/>
  <c r="Y2" i="35"/>
  <c r="K5" i="35"/>
  <c r="E7" i="35"/>
  <c r="C3" i="35"/>
  <c r="G3" i="35"/>
  <c r="D3" i="35"/>
  <c r="AM2" i="35"/>
  <c r="Z2" i="35"/>
  <c r="D7" i="35"/>
  <c r="F5" i="35"/>
  <c r="I3" i="35"/>
  <c r="G2" i="35"/>
  <c r="E5" i="35"/>
  <c r="E2" i="41" l="1"/>
  <c r="H2" i="28"/>
  <c r="W4" i="41"/>
  <c r="F6" i="75"/>
  <c r="D5" i="28"/>
  <c r="E5" i="25"/>
  <c r="E3" i="75"/>
  <c r="C6" i="41"/>
  <c r="C3" i="41"/>
  <c r="D6" i="75"/>
  <c r="H6" i="25"/>
  <c r="C2" i="25"/>
  <c r="J3" i="52"/>
  <c r="C7" i="52"/>
  <c r="C2" i="41"/>
  <c r="I4" i="75"/>
  <c r="W5" i="41"/>
  <c r="E6" i="25"/>
  <c r="D2" i="25"/>
  <c r="J4" i="28"/>
  <c r="D4" i="25"/>
  <c r="H7" i="25"/>
  <c r="X3" i="75"/>
  <c r="W2" i="28"/>
  <c r="F7" i="25"/>
  <c r="H7" i="28"/>
  <c r="G5" i="41"/>
  <c r="K2" i="25"/>
  <c r="H4" i="52"/>
  <c r="F4" i="52"/>
  <c r="F5" i="28"/>
  <c r="G3" i="25"/>
  <c r="F3" i="52"/>
  <c r="H7" i="75"/>
  <c r="G2" i="28"/>
  <c r="W7" i="52"/>
  <c r="H5" i="25"/>
  <c r="E6" i="75"/>
  <c r="E4" i="28"/>
  <c r="F4" i="25"/>
  <c r="I6" i="25"/>
  <c r="D2" i="28"/>
  <c r="J7" i="28"/>
  <c r="D4" i="52"/>
  <c r="I2" i="75"/>
  <c r="D5" i="52"/>
  <c r="J3" i="28"/>
  <c r="F2" i="28"/>
  <c r="F2" i="41"/>
  <c r="G7" i="75"/>
  <c r="E4" i="75"/>
  <c r="G4" i="52"/>
  <c r="E7" i="25"/>
  <c r="F3" i="25"/>
  <c r="H4" i="41"/>
  <c r="J6" i="41"/>
  <c r="E6" i="52"/>
  <c r="G4" i="28"/>
  <c r="W5" i="52"/>
  <c r="D6" i="52"/>
  <c r="I6" i="75"/>
  <c r="W7" i="28"/>
  <c r="F5" i="41"/>
  <c r="G4" i="25"/>
  <c r="G5" i="25"/>
  <c r="C2" i="75"/>
  <c r="E7" i="28"/>
  <c r="W3" i="52"/>
  <c r="X3" i="25"/>
  <c r="G3" i="52"/>
  <c r="D2" i="75"/>
  <c r="E5" i="52"/>
  <c r="G6" i="28"/>
  <c r="D6" i="28"/>
  <c r="E5" i="75"/>
  <c r="X7" i="25"/>
  <c r="D3" i="25"/>
  <c r="G7" i="28"/>
  <c r="G5" i="52"/>
  <c r="X5" i="25"/>
  <c r="J3" i="41"/>
  <c r="D7" i="25"/>
  <c r="I7" i="75"/>
  <c r="D5" i="75"/>
  <c r="C4" i="75"/>
  <c r="H5" i="41"/>
  <c r="K7" i="25"/>
  <c r="G2" i="25"/>
  <c r="C4" i="41"/>
  <c r="D5" i="41"/>
  <c r="W2" i="52"/>
  <c r="F6" i="41"/>
  <c r="H5" i="28"/>
  <c r="H3" i="75"/>
  <c r="X6" i="75"/>
  <c r="D5" i="25"/>
  <c r="E5" i="41"/>
  <c r="H6" i="41"/>
  <c r="F2" i="25"/>
  <c r="K6" i="25"/>
  <c r="C2" i="52"/>
  <c r="C6" i="75"/>
  <c r="E4" i="25"/>
  <c r="H4" i="25"/>
  <c r="H4" i="75"/>
  <c r="W6" i="28"/>
  <c r="C7" i="25"/>
  <c r="D4" i="75"/>
  <c r="K7" i="75"/>
  <c r="J5" i="52"/>
  <c r="J5" i="41"/>
  <c r="C7" i="28"/>
  <c r="G3" i="28"/>
  <c r="W7" i="41"/>
  <c r="J7" i="41"/>
  <c r="D3" i="28"/>
  <c r="E4" i="52"/>
  <c r="H2" i="52"/>
  <c r="F7" i="41"/>
  <c r="E4" i="41"/>
  <c r="H5" i="75"/>
  <c r="X5" i="75"/>
  <c r="C6" i="25"/>
  <c r="F3" i="28"/>
  <c r="K3" i="75"/>
  <c r="F5" i="52"/>
  <c r="G5" i="28"/>
  <c r="G7" i="52"/>
  <c r="F7" i="28"/>
  <c r="G6" i="25"/>
  <c r="E2" i="52"/>
  <c r="G3" i="75"/>
  <c r="G5" i="75"/>
  <c r="D7" i="41"/>
  <c r="H2" i="75"/>
  <c r="E3" i="41"/>
  <c r="F6" i="28"/>
  <c r="H2" i="41"/>
  <c r="E6" i="41"/>
  <c r="D3" i="75"/>
  <c r="F5" i="25"/>
  <c r="G7" i="41"/>
  <c r="C5" i="28"/>
  <c r="X2" i="75"/>
  <c r="H3" i="25"/>
  <c r="C4" i="52"/>
  <c r="W6" i="52"/>
  <c r="G4" i="75"/>
  <c r="E2" i="25"/>
  <c r="H6" i="75"/>
  <c r="H5" i="52"/>
  <c r="K6" i="75"/>
  <c r="H7" i="52"/>
  <c r="D6" i="25"/>
  <c r="G2" i="75"/>
  <c r="E6" i="28"/>
  <c r="F6" i="52"/>
  <c r="C5" i="41"/>
  <c r="J6" i="52"/>
  <c r="H6" i="28"/>
  <c r="X7" i="75"/>
  <c r="C7" i="75"/>
  <c r="H3" i="41"/>
  <c r="E3" i="52"/>
  <c r="W4" i="52"/>
  <c r="F4" i="75"/>
  <c r="I7" i="25"/>
  <c r="J5" i="28"/>
  <c r="F7" i="52"/>
  <c r="G6" i="52"/>
  <c r="H3" i="28"/>
  <c r="G4" i="41"/>
  <c r="C3" i="52"/>
  <c r="K4" i="75"/>
  <c r="E2" i="75"/>
  <c r="K3" i="25"/>
  <c r="F3" i="75"/>
  <c r="C3" i="75"/>
  <c r="J4" i="41"/>
  <c r="J7" i="52"/>
  <c r="H6" i="52"/>
  <c r="J2" i="52"/>
  <c r="W6" i="41"/>
  <c r="G6" i="41"/>
  <c r="C4" i="25"/>
  <c r="I2" i="25"/>
  <c r="D3" i="41"/>
  <c r="J2" i="28"/>
  <c r="E2" i="28"/>
  <c r="W3" i="41"/>
  <c r="F3" i="41"/>
  <c r="G2" i="41"/>
  <c r="I3" i="75"/>
  <c r="X6" i="25"/>
  <c r="G6" i="75"/>
  <c r="D2" i="52"/>
  <c r="C3" i="25"/>
  <c r="D3" i="52"/>
  <c r="K5" i="25"/>
  <c r="I4" i="25"/>
  <c r="I3" i="25"/>
  <c r="G2" i="52"/>
  <c r="J2" i="41"/>
  <c r="C6" i="52"/>
  <c r="J6" i="28"/>
  <c r="E3" i="25"/>
  <c r="H4" i="28"/>
  <c r="F4" i="28"/>
  <c r="W5" i="28"/>
  <c r="K5" i="75"/>
  <c r="K2" i="75"/>
  <c r="J4" i="52"/>
  <c r="X4" i="25"/>
  <c r="E5" i="28"/>
  <c r="E7" i="52"/>
  <c r="I5" i="75"/>
  <c r="C6" i="28"/>
  <c r="H2" i="25"/>
  <c r="C4" i="28"/>
  <c r="K4" i="25"/>
  <c r="C5" i="75"/>
  <c r="D2" i="41"/>
  <c r="X4" i="75"/>
  <c r="D4" i="41"/>
  <c r="W3" i="28"/>
  <c r="I5" i="25"/>
  <c r="D6" i="41"/>
  <c r="E7" i="75"/>
  <c r="C3" i="28"/>
  <c r="C2" i="28"/>
  <c r="E7" i="41"/>
  <c r="G7" i="25"/>
  <c r="F5" i="75"/>
  <c r="D7" i="75"/>
  <c r="D4" i="28"/>
  <c r="H3" i="52"/>
  <c r="C7" i="41"/>
  <c r="E3" i="28"/>
  <c r="C5" i="25"/>
  <c r="C5" i="52"/>
  <c r="F6" i="25"/>
  <c r="X2" i="25"/>
  <c r="H7" i="41"/>
  <c r="F2" i="52"/>
  <c r="D7" i="28"/>
  <c r="G3" i="41"/>
  <c r="D7" i="52"/>
  <c r="F2" i="75"/>
  <c r="W4" i="28"/>
  <c r="F7" i="75"/>
  <c r="W2" i="41"/>
  <c r="F4" i="41"/>
  <c r="V4" i="33" l="1"/>
  <c r="O3" i="33"/>
  <c r="N2" i="33"/>
  <c r="T7" i="33"/>
  <c r="L7" i="33"/>
  <c r="U4" i="33"/>
  <c r="P4" i="33"/>
  <c r="U7" i="33"/>
  <c r="S5" i="33"/>
  <c r="Q5" i="33"/>
  <c r="S2" i="33"/>
  <c r="R6" i="33"/>
  <c r="U5" i="33"/>
  <c r="Q4" i="33"/>
  <c r="O7" i="33"/>
  <c r="O2" i="33"/>
  <c r="P6" i="33"/>
  <c r="M2" i="33"/>
  <c r="R4" i="33"/>
  <c r="T3" i="33"/>
  <c r="N3" i="33"/>
  <c r="K3" i="33"/>
  <c r="L4" i="33"/>
  <c r="K7" i="33"/>
  <c r="V3" i="33"/>
  <c r="N7" i="33"/>
  <c r="R2" i="33"/>
  <c r="S7" i="33"/>
  <c r="U2" i="33"/>
  <c r="L3" i="33"/>
  <c r="K2" i="33"/>
  <c r="T4" i="33"/>
  <c r="K4" i="33"/>
  <c r="M3" i="33"/>
  <c r="L5" i="33"/>
  <c r="U3" i="33"/>
  <c r="R3" i="33"/>
  <c r="S6" i="33"/>
  <c r="R5" i="33"/>
  <c r="Q7" i="33"/>
  <c r="O5" i="33"/>
  <c r="M4" i="33"/>
  <c r="M6" i="33"/>
  <c r="U6" i="33"/>
  <c r="M5" i="33"/>
  <c r="L2" i="33"/>
  <c r="K5" i="33"/>
  <c r="R7" i="33"/>
  <c r="N4" i="33"/>
  <c r="Q6" i="33"/>
  <c r="O4" i="33"/>
  <c r="V5" i="33"/>
  <c r="O6" i="33"/>
  <c r="L6" i="33"/>
  <c r="S4" i="33"/>
  <c r="Q2" i="33"/>
  <c r="K6" i="33"/>
  <c r="M7" i="33"/>
  <c r="T2" i="33"/>
  <c r="V7" i="33"/>
  <c r="Q3" i="33"/>
  <c r="P7" i="33"/>
  <c r="P2" i="33"/>
  <c r="T5" i="33"/>
  <c r="T6" i="33"/>
  <c r="P5" i="33"/>
  <c r="V2" i="33"/>
  <c r="N5" i="33"/>
  <c r="V6" i="33"/>
  <c r="S3" i="33"/>
  <c r="P3" i="33"/>
  <c r="N6" i="33"/>
  <c r="P7" i="41"/>
  <c r="T6" i="41"/>
  <c r="Q4" i="28"/>
  <c r="Q6" i="41"/>
  <c r="L6" i="25"/>
  <c r="V2" i="75"/>
  <c r="R4" i="41"/>
  <c r="S3" i="41"/>
  <c r="O7" i="75"/>
  <c r="H3" i="33"/>
  <c r="N3" i="25"/>
  <c r="L2" i="41"/>
  <c r="L7" i="25"/>
  <c r="S4" i="75"/>
  <c r="J4" i="33"/>
  <c r="T5" i="75"/>
  <c r="N4" i="52"/>
  <c r="P4" i="75"/>
  <c r="Q3" i="25"/>
  <c r="M3" i="41"/>
  <c r="S5" i="52"/>
  <c r="R7" i="28"/>
  <c r="N4" i="25"/>
  <c r="M4" i="52"/>
  <c r="T5" i="41"/>
  <c r="T7" i="41"/>
  <c r="U5" i="28"/>
  <c r="V2" i="52"/>
  <c r="T4" i="75"/>
  <c r="N6" i="52"/>
  <c r="E6" i="33"/>
  <c r="P5" i="25"/>
  <c r="L6" i="28"/>
  <c r="L3" i="75"/>
  <c r="P3" i="41"/>
  <c r="R6" i="25"/>
  <c r="O5" i="25"/>
  <c r="V5" i="28"/>
  <c r="T4" i="41"/>
  <c r="K2" i="28"/>
  <c r="C4" i="33"/>
  <c r="S5" i="75"/>
  <c r="U2" i="41"/>
  <c r="L3" i="28"/>
  <c r="P2" i="41"/>
  <c r="J7" i="33"/>
  <c r="F5" i="33"/>
  <c r="H4" i="33"/>
  <c r="M5" i="28"/>
  <c r="O5" i="75"/>
  <c r="P4" i="41"/>
  <c r="H2" i="33"/>
  <c r="W2" i="33"/>
  <c r="W2" i="25"/>
  <c r="R5" i="52"/>
  <c r="V6" i="41"/>
  <c r="U2" i="28"/>
  <c r="L4" i="28"/>
  <c r="S6" i="41"/>
  <c r="S6" i="25"/>
  <c r="S2" i="25"/>
  <c r="O6" i="75"/>
  <c r="U6" i="28"/>
  <c r="L5" i="52"/>
  <c r="M3" i="25"/>
  <c r="R3" i="41"/>
  <c r="C5" i="33"/>
  <c r="L4" i="75"/>
  <c r="V3" i="52"/>
  <c r="Q2" i="41"/>
  <c r="O6" i="28"/>
  <c r="Q3" i="52"/>
  <c r="V2" i="28"/>
  <c r="S4" i="25"/>
  <c r="F3" i="33"/>
  <c r="W6" i="25"/>
  <c r="E4" i="33"/>
  <c r="P7" i="25"/>
  <c r="P6" i="75"/>
  <c r="V3" i="28"/>
  <c r="S7" i="25"/>
  <c r="L6" i="52"/>
  <c r="R4" i="52"/>
  <c r="D2" i="33"/>
  <c r="L5" i="28"/>
  <c r="Q4" i="52"/>
  <c r="L3" i="41"/>
  <c r="U5" i="75"/>
  <c r="U7" i="52"/>
  <c r="Q6" i="28"/>
  <c r="O2" i="52"/>
  <c r="E3" i="33"/>
  <c r="V7" i="75"/>
  <c r="M4" i="28"/>
  <c r="R3" i="28"/>
  <c r="V5" i="25"/>
  <c r="V7" i="25"/>
  <c r="K3" i="52"/>
  <c r="V4" i="28"/>
  <c r="W3" i="75"/>
  <c r="W7" i="33"/>
  <c r="T2" i="52"/>
  <c r="O4" i="52"/>
  <c r="L7" i="75"/>
  <c r="S7" i="75"/>
  <c r="O5" i="52"/>
  <c r="R3" i="25"/>
  <c r="U2" i="75"/>
  <c r="N7" i="28"/>
  <c r="E2" i="33"/>
  <c r="U5" i="52"/>
  <c r="P4" i="52"/>
  <c r="Q7" i="75"/>
  <c r="R2" i="75"/>
  <c r="N4" i="41"/>
  <c r="M7" i="28"/>
  <c r="W5" i="33"/>
  <c r="L7" i="28"/>
  <c r="V2" i="41"/>
  <c r="T7" i="52"/>
  <c r="L5" i="25"/>
  <c r="T2" i="28"/>
  <c r="O7" i="41"/>
  <c r="U7" i="25"/>
  <c r="R7" i="52"/>
  <c r="P7" i="52"/>
  <c r="O4" i="75"/>
  <c r="Q7" i="52"/>
  <c r="K3" i="41"/>
  <c r="S5" i="41"/>
  <c r="V3" i="25"/>
  <c r="Q4" i="75"/>
  <c r="K6" i="52"/>
  <c r="M7" i="52"/>
  <c r="O7" i="25"/>
  <c r="T3" i="52"/>
  <c r="K5" i="28"/>
  <c r="U4" i="52"/>
  <c r="W4" i="75"/>
  <c r="P4" i="25"/>
  <c r="T4" i="52"/>
  <c r="L2" i="28"/>
  <c r="V4" i="52"/>
  <c r="S6" i="75"/>
  <c r="P3" i="52"/>
  <c r="T7" i="28"/>
  <c r="N2" i="41"/>
  <c r="S4" i="28"/>
  <c r="K4" i="52"/>
  <c r="O6" i="52"/>
  <c r="M4" i="75"/>
  <c r="M7" i="75"/>
  <c r="L4" i="41"/>
  <c r="U4" i="28"/>
  <c r="Q7" i="28"/>
  <c r="Q6" i="52"/>
  <c r="T4" i="28"/>
  <c r="L3" i="25"/>
  <c r="V7" i="28"/>
  <c r="F4" i="33"/>
  <c r="N2" i="75"/>
  <c r="O2" i="25"/>
  <c r="W4" i="25"/>
  <c r="S2" i="52"/>
  <c r="M6" i="75"/>
  <c r="K5" i="52"/>
  <c r="R3" i="75"/>
  <c r="S3" i="28"/>
  <c r="R2" i="25"/>
  <c r="N4" i="28"/>
  <c r="V5" i="41"/>
  <c r="E7" i="33"/>
  <c r="V7" i="52"/>
  <c r="S3" i="75"/>
  <c r="M2" i="41"/>
  <c r="O4" i="28"/>
  <c r="G7" i="33"/>
  <c r="N6" i="25"/>
  <c r="K6" i="28"/>
  <c r="Q5" i="28"/>
  <c r="J5" i="33"/>
  <c r="V7" i="41"/>
  <c r="V2" i="25"/>
  <c r="M6" i="25"/>
  <c r="T3" i="25"/>
  <c r="T2" i="75"/>
  <c r="R5" i="41"/>
  <c r="P2" i="25"/>
  <c r="K7" i="41"/>
  <c r="Q2" i="75"/>
  <c r="P3" i="75"/>
  <c r="R4" i="25"/>
  <c r="V5" i="75"/>
  <c r="S6" i="52"/>
  <c r="P5" i="41"/>
  <c r="M3" i="52"/>
  <c r="W7" i="25"/>
  <c r="M2" i="25"/>
  <c r="O6" i="41"/>
  <c r="V6" i="25"/>
  <c r="R7" i="75"/>
  <c r="O4" i="41"/>
  <c r="M3" i="28"/>
  <c r="U4" i="75"/>
  <c r="O5" i="41"/>
  <c r="U4" i="25"/>
  <c r="K6" i="41"/>
  <c r="U3" i="75"/>
  <c r="C2" i="33"/>
  <c r="R2" i="41"/>
  <c r="S5" i="28"/>
  <c r="G2" i="33"/>
  <c r="R5" i="28"/>
  <c r="J6" i="33"/>
  <c r="P7" i="75"/>
  <c r="R2" i="28"/>
  <c r="P5" i="28"/>
  <c r="M6" i="28"/>
  <c r="J2" i="33"/>
  <c r="N5" i="25"/>
  <c r="P7" i="28"/>
  <c r="V5" i="52"/>
  <c r="S5" i="25"/>
  <c r="M5" i="52"/>
  <c r="V4" i="25"/>
  <c r="O3" i="52"/>
  <c r="N7" i="41"/>
  <c r="T5" i="25"/>
  <c r="T6" i="75"/>
  <c r="N7" i="75"/>
  <c r="P3" i="28"/>
  <c r="N2" i="28"/>
  <c r="O7" i="28"/>
  <c r="O2" i="28"/>
  <c r="V3" i="75"/>
  <c r="Q5" i="25"/>
  <c r="K7" i="28"/>
  <c r="W3" i="25"/>
  <c r="Q4" i="25"/>
  <c r="D6" i="33"/>
  <c r="R7" i="25"/>
  <c r="U3" i="25"/>
  <c r="K2" i="41"/>
  <c r="S7" i="41"/>
  <c r="L4" i="52"/>
  <c r="T3" i="75"/>
  <c r="P4" i="28"/>
  <c r="R6" i="28"/>
  <c r="O3" i="75"/>
  <c r="G3" i="33"/>
  <c r="S4" i="41"/>
  <c r="U5" i="25"/>
  <c r="U2" i="52"/>
  <c r="P2" i="28"/>
  <c r="D7" i="33"/>
  <c r="M4" i="25"/>
  <c r="S4" i="52"/>
  <c r="G4" i="33"/>
  <c r="R7" i="41"/>
  <c r="Q4" i="41"/>
  <c r="P2" i="52"/>
  <c r="T7" i="75"/>
  <c r="N7" i="25"/>
  <c r="P6" i="28"/>
  <c r="R6" i="52"/>
  <c r="P6" i="41"/>
  <c r="N5" i="52"/>
  <c r="O7" i="52"/>
  <c r="O2" i="41"/>
  <c r="G6" i="33"/>
  <c r="L2" i="25"/>
  <c r="U7" i="41"/>
  <c r="L6" i="75"/>
  <c r="N5" i="28"/>
  <c r="T6" i="25"/>
  <c r="H6" i="33"/>
  <c r="O2" i="75"/>
  <c r="L7" i="52"/>
  <c r="U6" i="25"/>
  <c r="N2" i="52"/>
  <c r="W4" i="33"/>
  <c r="F6" i="33"/>
  <c r="S6" i="28"/>
  <c r="S7" i="52"/>
  <c r="D4" i="33"/>
  <c r="W5" i="25"/>
  <c r="M5" i="25"/>
  <c r="M6" i="41"/>
  <c r="M2" i="52"/>
  <c r="N2" i="25"/>
  <c r="R5" i="75"/>
  <c r="N3" i="41"/>
  <c r="N4" i="75"/>
  <c r="L2" i="75"/>
  <c r="O5" i="28"/>
  <c r="N6" i="75"/>
  <c r="Q3" i="41"/>
  <c r="T6" i="52"/>
  <c r="L5" i="41"/>
  <c r="C6" i="33"/>
  <c r="N5" i="75"/>
  <c r="K2" i="52"/>
  <c r="U6" i="75"/>
  <c r="K4" i="41"/>
  <c r="W6" i="33"/>
  <c r="P3" i="25"/>
  <c r="N5" i="41"/>
  <c r="P5" i="75"/>
  <c r="Q6" i="75"/>
  <c r="W5" i="75"/>
  <c r="N6" i="41"/>
  <c r="T6" i="28"/>
  <c r="R3" i="52"/>
  <c r="Q6" i="25"/>
  <c r="S2" i="28"/>
  <c r="Q2" i="52"/>
  <c r="U3" i="52"/>
  <c r="Q5" i="41"/>
  <c r="Q2" i="25"/>
  <c r="O3" i="25"/>
  <c r="L3" i="52"/>
  <c r="P2" i="75"/>
  <c r="M5" i="41"/>
  <c r="T2" i="25"/>
  <c r="U3" i="41"/>
  <c r="V4" i="41"/>
  <c r="N3" i="75"/>
  <c r="M2" i="75"/>
  <c r="W7" i="75"/>
  <c r="K5" i="41"/>
  <c r="O6" i="25"/>
  <c r="F7" i="33"/>
  <c r="V6" i="28"/>
  <c r="Q3" i="75"/>
  <c r="V6" i="75"/>
  <c r="P6" i="52"/>
  <c r="C7" i="33"/>
  <c r="P5" i="52"/>
  <c r="R6" i="41"/>
  <c r="V4" i="75"/>
  <c r="K7" i="52"/>
  <c r="L7" i="41"/>
  <c r="L5" i="75"/>
  <c r="U2" i="25"/>
  <c r="R4" i="28"/>
  <c r="F2" i="33"/>
  <c r="R2" i="52"/>
  <c r="W2" i="75"/>
  <c r="S3" i="25"/>
  <c r="M2" i="28"/>
  <c r="W3" i="33"/>
  <c r="H5" i="33"/>
  <c r="U4" i="41"/>
  <c r="T7" i="25"/>
  <c r="U7" i="75"/>
  <c r="W6" i="75"/>
  <c r="Q3" i="28"/>
  <c r="T5" i="28"/>
  <c r="P6" i="25"/>
  <c r="U6" i="41"/>
  <c r="T3" i="41"/>
  <c r="D5" i="33"/>
  <c r="M4" i="41"/>
  <c r="C3" i="33"/>
  <c r="U7" i="28"/>
  <c r="O3" i="41"/>
  <c r="M7" i="25"/>
  <c r="N3" i="52"/>
  <c r="S3" i="52"/>
  <c r="U3" i="28"/>
  <c r="R6" i="75"/>
  <c r="R5" i="25"/>
  <c r="T3" i="28"/>
  <c r="L6" i="41"/>
  <c r="U6" i="52"/>
  <c r="L4" i="25"/>
  <c r="Q5" i="75"/>
  <c r="J3" i="33"/>
  <c r="Q7" i="41"/>
  <c r="T5" i="52"/>
  <c r="O3" i="28"/>
  <c r="M5" i="75"/>
  <c r="V3" i="41"/>
  <c r="N6" i="28"/>
  <c r="H7" i="33"/>
  <c r="M7" i="41"/>
  <c r="Q5" i="52"/>
  <c r="S2" i="75"/>
  <c r="S2" i="41"/>
  <c r="T4" i="25"/>
  <c r="G5" i="33"/>
  <c r="M3" i="75"/>
  <c r="Q2" i="28"/>
  <c r="S7" i="28"/>
  <c r="V6" i="52"/>
  <c r="M6" i="52"/>
  <c r="N7" i="52"/>
  <c r="T2" i="41"/>
  <c r="O4" i="25"/>
  <c r="K4" i="28"/>
  <c r="Q7" i="25"/>
  <c r="L2" i="52"/>
  <c r="D3" i="33"/>
  <c r="U5" i="41"/>
  <c r="N3" i="28"/>
  <c r="E5" i="33"/>
  <c r="K3" i="28"/>
  <c r="R4" i="75"/>
</calcChain>
</file>

<file path=xl/sharedStrings.xml><?xml version="1.0" encoding="utf-8"?>
<sst xmlns="http://schemas.openxmlformats.org/spreadsheetml/2006/main" count="1167" uniqueCount="235">
  <si>
    <t>Item</t>
  </si>
  <si>
    <t>Units</t>
  </si>
  <si>
    <t>MW</t>
  </si>
  <si>
    <t>K - Long Island</t>
  </si>
  <si>
    <t>F - Capital</t>
  </si>
  <si>
    <t>C - Central</t>
  </si>
  <si>
    <t>EFORd outage rate</t>
  </si>
  <si>
    <t>MMBtu/Start</t>
  </si>
  <si>
    <t>$/Start</t>
  </si>
  <si>
    <t>$/MWh</t>
  </si>
  <si>
    <t>Btu/kWh</t>
  </si>
  <si>
    <t>%</t>
  </si>
  <si>
    <t>Performance Values (per unit)</t>
  </si>
  <si>
    <t>Net Plant Heat Rate - Summer</t>
  </si>
  <si>
    <t>Net Plant Heat Rate - Winter</t>
  </si>
  <si>
    <t>lb/hr</t>
  </si>
  <si>
    <t>ULSD Emission Rates - Winter</t>
  </si>
  <si>
    <t>Natural Gas Emission Rates - Summer</t>
  </si>
  <si>
    <t>Natural Gas Emission Rates - Winter</t>
  </si>
  <si>
    <t>Other Performance Values (per unit)</t>
  </si>
  <si>
    <t>G - LHV (Dutchess)</t>
  </si>
  <si>
    <t>G - LHV (Rockland)</t>
  </si>
  <si>
    <t>Variable Cost per Hour - NG Firing</t>
  </si>
  <si>
    <t>Variable Cost per Hour - ULSD Firing</t>
  </si>
  <si>
    <t>Yes</t>
  </si>
  <si>
    <r>
      <t>NO</t>
    </r>
    <r>
      <rPr>
        <vertAlign val="subscript"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 xml:space="preserve"> Emissions Rate</t>
    </r>
  </si>
  <si>
    <r>
      <t>SO</t>
    </r>
    <r>
      <rPr>
        <vertAlign val="subscript"/>
        <sz val="10"/>
        <color theme="1"/>
        <rFont val="Times New Roman"/>
        <family val="1"/>
      </rPr>
      <t xml:space="preserve">2 </t>
    </r>
    <r>
      <rPr>
        <sz val="10"/>
        <color theme="1"/>
        <rFont val="Times New Roman"/>
        <family val="1"/>
      </rPr>
      <t>Emissions Rate</t>
    </r>
  </si>
  <si>
    <r>
      <t>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Emissions Rate</t>
    </r>
  </si>
  <si>
    <t>J - NYC</t>
  </si>
  <si>
    <t>C</t>
  </si>
  <si>
    <t>F</t>
  </si>
  <si>
    <t>J</t>
  </si>
  <si>
    <t>K</t>
  </si>
  <si>
    <t>STARTUP_FUEL_F</t>
  </si>
  <si>
    <t>EFORd_F</t>
  </si>
  <si>
    <t>AREA</t>
  </si>
  <si>
    <t>G2</t>
  </si>
  <si>
    <t>HR_SUM_F</t>
  </si>
  <si>
    <t>HR_WIN_F</t>
  </si>
  <si>
    <t>VOC_NG_F</t>
  </si>
  <si>
    <t>VOC_OIL_F</t>
  </si>
  <si>
    <t>NOX_NG_SUM_F</t>
  </si>
  <si>
    <t>SO2_NG_SUM_F</t>
  </si>
  <si>
    <t>CO2_NG_SUM_F</t>
  </si>
  <si>
    <t>NOX_NG_WIN_F</t>
  </si>
  <si>
    <t>SO2_NG_WIN_F</t>
  </si>
  <si>
    <t>CO2_NG_WIN_F</t>
  </si>
  <si>
    <t>NOX_OIL_SUM_F</t>
  </si>
  <si>
    <t>SO2_OIL_SUM_F</t>
  </si>
  <si>
    <t>CO2_OIL_SUM_F</t>
  </si>
  <si>
    <t>NOX_OIL_WIN_F</t>
  </si>
  <si>
    <t>SO2_OIL_WIN_F</t>
  </si>
  <si>
    <t>CO2_OIL_WIN_F</t>
  </si>
  <si>
    <t>TECH_PARAMS</t>
  </si>
  <si>
    <t>G1</t>
  </si>
  <si>
    <r>
      <t>Fuel Required per Start (regular start -</t>
    </r>
    <r>
      <rPr>
        <b/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21</t>
    </r>
    <r>
      <rPr>
        <b/>
        <sz val="10"/>
        <color rgb="FFFF0000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min. to full load)</t>
    </r>
  </si>
  <si>
    <t>ns10min_f</t>
  </si>
  <si>
    <t>rt_limit_f_scr</t>
  </si>
  <si>
    <t>ZONE K</t>
  </si>
  <si>
    <t>ZONE J</t>
  </si>
  <si>
    <t>ZONE G - Dutchess</t>
  </si>
  <si>
    <t>ZONE G - Rockland</t>
  </si>
  <si>
    <t>ZONE F</t>
  </si>
  <si>
    <t>ZONE C</t>
  </si>
  <si>
    <t>Net Plant Output</t>
  </si>
  <si>
    <t xml:space="preserve">  Net Plant Output, kW</t>
  </si>
  <si>
    <t>Net Plant Heat Rate, Btu/kWh (HHV)</t>
  </si>
  <si>
    <t>Summer</t>
  </si>
  <si>
    <t>Winter</t>
  </si>
  <si>
    <t xml:space="preserve">  Net Plant Heat Rate, Btu/kWh (HHV)</t>
  </si>
  <si>
    <t xml:space="preserve">NOX </t>
  </si>
  <si>
    <t>SO2</t>
  </si>
  <si>
    <t>CO2</t>
  </si>
  <si>
    <t>Sheet</t>
  </si>
  <si>
    <t xml:space="preserve">Equivalent Forced Outage Rate Demand, % </t>
  </si>
  <si>
    <t>Major Maintenance Cost, 2020$/GT-hr or $/engine-hr</t>
  </si>
  <si>
    <t>Major Maintenance Cost, 2020$/GT-start</t>
  </si>
  <si>
    <t>Total Variable O&amp;M Cost, 2020$/MWh</t>
  </si>
  <si>
    <t>SCR Related Costs, $/MWh</t>
  </si>
  <si>
    <t>Section Row # Start</t>
  </si>
  <si>
    <t>Section Row # End</t>
  </si>
  <si>
    <t>Variable</t>
  </si>
  <si>
    <t>Raw_F-Class</t>
  </si>
  <si>
    <t>N/A</t>
  </si>
  <si>
    <t>Raw_Aeroderivative</t>
  </si>
  <si>
    <r>
      <t>Fuel Required per Start (regular start -</t>
    </r>
    <r>
      <rPr>
        <b/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30</t>
    </r>
    <r>
      <rPr>
        <b/>
        <sz val="10"/>
        <color rgb="FFFF0000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min. to full load)</t>
    </r>
  </si>
  <si>
    <t>Variable 1</t>
  </si>
  <si>
    <t>Variable 2</t>
  </si>
  <si>
    <t>Raw_J-Class_CC</t>
  </si>
  <si>
    <t>NOX</t>
  </si>
  <si>
    <t>Net Plant Output (MECL)</t>
  </si>
  <si>
    <t>Net Plant Heat Rate (HHV) (MECL)</t>
  </si>
  <si>
    <t>Net Plant Heat Rate (HHV)</t>
  </si>
  <si>
    <t>HR_SUM_AERO</t>
  </si>
  <si>
    <t>HR_WIN_AERO</t>
  </si>
  <si>
    <t>VOC_NG_AERO</t>
  </si>
  <si>
    <t>VOC_OIL_AERO</t>
  </si>
  <si>
    <t>STARTUP_FUEL_AERO</t>
  </si>
  <si>
    <t>NOX_NG_SUM_AERO</t>
  </si>
  <si>
    <t>SO2_NG_SUM_AERO</t>
  </si>
  <si>
    <t>CO2_NG_SUM_AERO</t>
  </si>
  <si>
    <t>NOX_NG_WIN_AERO</t>
  </si>
  <si>
    <t>SO2_NG_WIN_AERO</t>
  </si>
  <si>
    <t>CO2_NG_WIN_AERO</t>
  </si>
  <si>
    <t>NOX_OIL_SUM_AERO</t>
  </si>
  <si>
    <t>SO2_OIL_SUM_AERO</t>
  </si>
  <si>
    <t>CO2_OIL_SUM_AERO</t>
  </si>
  <si>
    <t>NOX_OIL_WIN_AERO</t>
  </si>
  <si>
    <t>SO2_OIL_WIN_AERO</t>
  </si>
  <si>
    <t>CO2_OIL_WIN_AERO</t>
  </si>
  <si>
    <t>EFORd_AERO</t>
  </si>
  <si>
    <t>HR_SUM_CCJ</t>
  </si>
  <si>
    <t>HR_WIN_CCJ</t>
  </si>
  <si>
    <t>VOC_NG_CCJ</t>
  </si>
  <si>
    <t>VOC_OIL_CCJ</t>
  </si>
  <si>
    <t>STARTUP_FUEL_CCJ</t>
  </si>
  <si>
    <t>NOX_NG_SUM_CCJ</t>
  </si>
  <si>
    <t>SO2_NG_SUM_CCJ</t>
  </si>
  <si>
    <t>CO2_NG_SUM_CCJ</t>
  </si>
  <si>
    <t>NOX_NG_WIN_CCJ</t>
  </si>
  <si>
    <t>SO2_NG_WIN_CCJ</t>
  </si>
  <si>
    <t>CO2_NG_WIN_CCJ</t>
  </si>
  <si>
    <t>NOX_OIL_SUM_CCJ</t>
  </si>
  <si>
    <t>SO2_OIL_SUM_CCJ</t>
  </si>
  <si>
    <t>CO2_OIL_SUM_CCJ</t>
  </si>
  <si>
    <t>NOX_OIL_WIN_CCJ</t>
  </si>
  <si>
    <t>SO2_OIL_WIN_CCJ</t>
  </si>
  <si>
    <t>CO2_OIL_WIN_CCJ</t>
  </si>
  <si>
    <t>EFORd_CCJ</t>
  </si>
  <si>
    <t>HR_SUM_MIN_CCJ</t>
  </si>
  <si>
    <t>HR_WIN_MIN_CCJ</t>
  </si>
  <si>
    <t>ns10min_aero</t>
  </si>
  <si>
    <t>rt_limit_aero_scr</t>
  </si>
  <si>
    <t>ULSD Emission Rates - Summer</t>
  </si>
  <si>
    <t>Raw_J-Class25ppm</t>
  </si>
  <si>
    <t>HR_SUM_J25</t>
  </si>
  <si>
    <t>HR_WIN_J25</t>
  </si>
  <si>
    <t>VOC_NG_J25</t>
  </si>
  <si>
    <t>VOC_OIL_J25</t>
  </si>
  <si>
    <t>STARTUP_FUEL_J25</t>
  </si>
  <si>
    <t>NOX_NG_SUM_J25</t>
  </si>
  <si>
    <t>SO2_NG_SUM_J25</t>
  </si>
  <si>
    <t>CO2_NG_SUM_J25</t>
  </si>
  <si>
    <t>NOX_NG_WIN_J25</t>
  </si>
  <si>
    <t>SO2_NG_WIN_J25</t>
  </si>
  <si>
    <t>CO2_NG_WIN_J25</t>
  </si>
  <si>
    <t>NOX_OIL_SUM_J25</t>
  </si>
  <si>
    <t>SO2_OIL_SUM_J25</t>
  </si>
  <si>
    <t>CO2_OIL_SUM_J25</t>
  </si>
  <si>
    <t>NOX_OIL_WIN_J25</t>
  </si>
  <si>
    <t>SO2_OIL_WIN_J25</t>
  </si>
  <si>
    <t>CO2_OIL_WIN_J25</t>
  </si>
  <si>
    <t>EFORd_J25</t>
  </si>
  <si>
    <t>Raw_J-Class15ppm</t>
  </si>
  <si>
    <t>rt_limit_j25_scr</t>
  </si>
  <si>
    <t>ns10min_j25</t>
  </si>
  <si>
    <t>ns10min_j15</t>
  </si>
  <si>
    <t>rt_limit_j15_scr</t>
  </si>
  <si>
    <t>MANUAL UPDATE --&gt;</t>
  </si>
  <si>
    <t>Simple Cycle Frame F-Class: GE 1x 7F.05</t>
  </si>
  <si>
    <t>Simple Cycle Aeroderivative Siemens 3x SGT-A65 (No SCR)</t>
  </si>
  <si>
    <t>Simple Cycle Frame F-Class: GE 1x 7F.05 (No SCR)</t>
  </si>
  <si>
    <t>Simple Cycle Frame J-Class GE 1x HA.02 (25ppm) (No SCR)</t>
  </si>
  <si>
    <t>Simple Cycle Frame J-Class GE 1x HA.02 (15 ppm) (No SCR)</t>
  </si>
  <si>
    <t>Simple Cycle Frame J-Class GE 1x HA.02 (25 ppm)</t>
  </si>
  <si>
    <t>Major Maintenance Cost, 2020 $/GT-hr</t>
  </si>
  <si>
    <t>Total Variable O&amp;M Cost, 2020 $/MWh</t>
  </si>
  <si>
    <t>Combined Cycle J-Class Frame 1x1 GE HA.02</t>
  </si>
  <si>
    <t>No</t>
  </si>
  <si>
    <t>Simple Cycle Aeroderivative Siemens 3x SGT-A65 (with SCR)</t>
  </si>
  <si>
    <t>rt_limit_ccj_scr</t>
  </si>
  <si>
    <t>Area</t>
  </si>
  <si>
    <t>NOx.Limit</t>
  </si>
  <si>
    <t>HR_SUM_J15</t>
  </si>
  <si>
    <t>HR_WIN_J15</t>
  </si>
  <si>
    <t>VOC_NG_J15</t>
  </si>
  <si>
    <t>VOC_OIL_J15</t>
  </si>
  <si>
    <t>STARTUP_FUEL_J15</t>
  </si>
  <si>
    <t>NOX_NG_SUM_J15</t>
  </si>
  <si>
    <t>SO2_NG_SUM_J15</t>
  </si>
  <si>
    <t>CO2_NG_SUM_J15</t>
  </si>
  <si>
    <t>NOX_NG_WIN_J15</t>
  </si>
  <si>
    <t>SO2_NG_WIN_J15</t>
  </si>
  <si>
    <t>CO2_NG_WIN_J15</t>
  </si>
  <si>
    <t>NOX_OIL_SUM_J15</t>
  </si>
  <si>
    <t>SO2_OIL_SUM_J15</t>
  </si>
  <si>
    <t>CO2_OIL_SUM_J15</t>
  </si>
  <si>
    <t>NOX_OIL_WIN_J15</t>
  </si>
  <si>
    <t>SO2_OIL_WIN_J15</t>
  </si>
  <si>
    <t>CO2_OIL_WIN_J15</t>
  </si>
  <si>
    <t>EFORd_J15</t>
  </si>
  <si>
    <t>CAP_SUM_AERO</t>
  </si>
  <si>
    <t>CAP_WIN_AERO</t>
  </si>
  <si>
    <t>CAP_SUM_F</t>
  </si>
  <si>
    <t>CAP_WIN_F</t>
  </si>
  <si>
    <t>CAP_SUM_J25</t>
  </si>
  <si>
    <t>CAP_WIN_J25</t>
  </si>
  <si>
    <t>CAP_SUM_J15</t>
  </si>
  <si>
    <t>CAP_WIN_J15</t>
  </si>
  <si>
    <t>CAP_SUM_CCJ</t>
  </si>
  <si>
    <t>CAP_WIN_CCJ</t>
  </si>
  <si>
    <t>CAP_SUM_MIN_CCJ</t>
  </si>
  <si>
    <t>CAP_WIN_MIN_CCJ</t>
  </si>
  <si>
    <t>STARTUP_MM_AERO</t>
  </si>
  <si>
    <t>STARTUP_MM_F</t>
  </si>
  <si>
    <t>STARTUP_MM_J25</t>
  </si>
  <si>
    <t>STARTUP_MM_J15</t>
  </si>
  <si>
    <t>STARTUP_MM_CCJ</t>
  </si>
  <si>
    <t>MM_COST_AERO</t>
  </si>
  <si>
    <t>$/hr</t>
  </si>
  <si>
    <t>Variable O&amp;M &amp; Maj. Maintenance Costs (per unit)</t>
  </si>
  <si>
    <t>Maj. Maintenance per Start</t>
  </si>
  <si>
    <t>Net Heat Rate - ISO Conditions</t>
  </si>
  <si>
    <t>&lt;- Used to scale emissions rates for winter/summer values</t>
  </si>
  <si>
    <t>ISO Conditions</t>
  </si>
  <si>
    <t>Maj. Maintenance per Hour</t>
  </si>
  <si>
    <t>$/GT-hr</t>
  </si>
  <si>
    <t>MM_COST_CCJ</t>
  </si>
  <si>
    <t>NOX_NG_SUM_MIN_CCJ</t>
  </si>
  <si>
    <t>Natural Gas Emission Rates - Summer (MECL)</t>
  </si>
  <si>
    <t>Natural Gas Emission Rates - Winter (MECL)</t>
  </si>
  <si>
    <t>ULSD Emission Rates - Summer (MECL)</t>
  </si>
  <si>
    <t>ULSD Emission Rates - Winter (MECL)</t>
  </si>
  <si>
    <t>SO2_NG_SUM_MIN_CCJ</t>
  </si>
  <si>
    <t>CO2_NG_SUM_MIN_CCJ</t>
  </si>
  <si>
    <t>NOX_NG_WIN_MIN_CCJ</t>
  </si>
  <si>
    <t>SO2_NG_WIN_MIN_CCJ</t>
  </si>
  <si>
    <t>CO2_NG_WIN_MIN_CCJ</t>
  </si>
  <si>
    <t>NOX_OIL_SUM_MIN_CCJ</t>
  </si>
  <si>
    <t>SO2_OIL_SUM_MIN_CCJ</t>
  </si>
  <si>
    <t>CO2_OIL_SUM_MIN_CCJ</t>
  </si>
  <si>
    <t>NOX_OIL_WIN_MIN_CCJ</t>
  </si>
  <si>
    <t>SO2_OIL_WIN_MIN_CCJ</t>
  </si>
  <si>
    <t>CO2_OIL_WIN_MIN_CCJ</t>
  </si>
  <si>
    <t>Updated 7/27/2020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</si>
</sst>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%"/>
    <numFmt numFmtId="165" formatCode="0.0"/>
    <numFmt numFmtId="166" formatCode="&quot;$&quot;#,##0.00"/>
    <numFmt numFmtId="167" formatCode="&quot;$&quot;#,##0"/>
    <numFmt numFmtId="168" formatCode="#,##0.0"/>
  </numFmts>
  <fonts count="19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vertAlign val="subscript"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0"/>
      <color rgb="FFFF0000"/>
      <name val="Arial"/>
      <family val="2"/>
    </font>
    <font>
      <sz val="10"/>
      <color rgb="FFFF0000"/>
      <name val="Times New Roman"/>
      <family val="2"/>
    </font>
    <font>
      <b/>
      <sz val="10"/>
      <color rgb="FFFF0000"/>
      <name val="Times New Roman"/>
      <family val="1"/>
    </font>
    <font>
      <i/>
      <sz val="10"/>
      <color theme="1"/>
      <name val="Times New Roman"/>
      <family val="1"/>
    </font>
    <font>
      <i/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1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4" fillId="0" borderId="0"/>
    <xf numFmtId="0" fontId="7" fillId="0" borderId="0"/>
    <xf numFmtId="0" fontId="7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1" xfId="0" applyFont="1" applyBorder="1"/>
    <xf numFmtId="0" fontId="10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0" xfId="0" applyFont="1"/>
    <xf numFmtId="0" fontId="10" fillId="0" borderId="2" xfId="0" applyFont="1" applyBorder="1"/>
    <xf numFmtId="0" fontId="10" fillId="0" borderId="9" xfId="0" applyFont="1" applyBorder="1"/>
    <xf numFmtId="0" fontId="11" fillId="0" borderId="7" xfId="4" applyFont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indent="2"/>
    </xf>
    <xf numFmtId="3" fontId="10" fillId="0" borderId="14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 wrapText="1"/>
    </xf>
    <xf numFmtId="165" fontId="10" fillId="0" borderId="14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0" fillId="0" borderId="12" xfId="0" applyNumberFormat="1" applyFont="1" applyBorder="1" applyAlignment="1">
      <alignment horizontal="center"/>
    </xf>
    <xf numFmtId="0" fontId="10" fillId="0" borderId="14" xfId="0" applyFont="1" applyBorder="1"/>
    <xf numFmtId="0" fontId="10" fillId="0" borderId="12" xfId="0" applyFont="1" applyBorder="1"/>
    <xf numFmtId="0" fontId="10" fillId="0" borderId="11" xfId="0" applyFont="1" applyBorder="1" applyAlignment="1">
      <alignment horizontal="left" vertical="center" wrapText="1" indent="2"/>
    </xf>
    <xf numFmtId="0" fontId="10" fillId="0" borderId="6" xfId="0" applyFont="1" applyBorder="1" applyAlignment="1">
      <alignment horizontal="left" vertical="center" indent="2"/>
    </xf>
    <xf numFmtId="0" fontId="10" fillId="0" borderId="10" xfId="0" applyFont="1" applyBorder="1" applyAlignment="1">
      <alignment horizontal="center"/>
    </xf>
    <xf numFmtId="0" fontId="10" fillId="0" borderId="14" xfId="0" applyFont="1" applyFill="1" applyBorder="1"/>
    <xf numFmtId="0" fontId="10" fillId="0" borderId="0" xfId="0" applyFont="1" applyFill="1" applyBorder="1"/>
    <xf numFmtId="0" fontId="10" fillId="0" borderId="12" xfId="0" applyFont="1" applyFill="1" applyBorder="1"/>
    <xf numFmtId="1" fontId="12" fillId="0" borderId="14" xfId="4" applyNumberFormat="1" applyFont="1" applyBorder="1" applyAlignment="1">
      <alignment horizontal="center" vertical="center" wrapText="1"/>
    </xf>
    <xf numFmtId="1" fontId="12" fillId="0" borderId="0" xfId="4" applyNumberFormat="1" applyFont="1" applyBorder="1" applyAlignment="1">
      <alignment horizontal="center" vertical="center" wrapText="1"/>
    </xf>
    <xf numFmtId="1" fontId="12" fillId="0" borderId="12" xfId="4" applyNumberFormat="1" applyFont="1" applyBorder="1" applyAlignment="1">
      <alignment horizontal="center" vertical="center" wrapText="1"/>
    </xf>
    <xf numFmtId="166" fontId="10" fillId="0" borderId="14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7" fontId="10" fillId="0" borderId="15" xfId="0" applyNumberFormat="1" applyFont="1" applyFill="1" applyBorder="1" applyAlignment="1">
      <alignment horizontal="center"/>
    </xf>
    <xf numFmtId="167" fontId="10" fillId="0" borderId="10" xfId="0" applyNumberFormat="1" applyFont="1" applyFill="1" applyBorder="1" applyAlignment="1">
      <alignment horizontal="center"/>
    </xf>
    <xf numFmtId="167" fontId="10" fillId="0" borderId="13" xfId="0" applyNumberFormat="1" applyFont="1" applyFill="1" applyBorder="1" applyAlignment="1">
      <alignment horizontal="center"/>
    </xf>
    <xf numFmtId="0" fontId="12" fillId="0" borderId="0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1" fontId="10" fillId="0" borderId="0" xfId="0" applyNumberFormat="1" applyFont="1"/>
    <xf numFmtId="3" fontId="10" fillId="0" borderId="0" xfId="0" applyNumberFormat="1" applyFont="1"/>
    <xf numFmtId="0" fontId="10" fillId="0" borderId="10" xfId="0" applyFont="1" applyBorder="1" applyAlignment="1">
      <alignment horizontal="center" wrapText="1"/>
    </xf>
    <xf numFmtId="0" fontId="12" fillId="0" borderId="1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164" fontId="12" fillId="0" borderId="15" xfId="0" applyNumberFormat="1" applyFont="1" applyFill="1" applyBorder="1" applyAlignment="1">
      <alignment horizontal="center"/>
    </xf>
    <xf numFmtId="164" fontId="12" fillId="0" borderId="10" xfId="0" applyNumberFormat="1" applyFont="1" applyFill="1" applyBorder="1" applyAlignment="1">
      <alignment horizontal="center"/>
    </xf>
    <xf numFmtId="164" fontId="12" fillId="0" borderId="13" xfId="0" applyNumberFormat="1" applyFont="1" applyFill="1" applyBorder="1" applyAlignment="1">
      <alignment horizontal="center"/>
    </xf>
    <xf numFmtId="0" fontId="10" fillId="2" borderId="0" xfId="0" applyFont="1" applyFill="1"/>
    <xf numFmtId="0" fontId="17" fillId="2" borderId="0" xfId="0" applyFont="1" applyFill="1"/>
    <xf numFmtId="0" fontId="17" fillId="2" borderId="0" xfId="0" applyFont="1" applyFill="1" applyAlignment="1">
      <alignment wrapText="1"/>
    </xf>
    <xf numFmtId="168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0" fontId="18" fillId="2" borderId="0" xfId="0" applyFont="1" applyFill="1" applyAlignment="1">
      <alignment horizontal="center"/>
    </xf>
    <xf numFmtId="4" fontId="10" fillId="0" borderId="0" xfId="0" applyNumberFormat="1" applyFont="1"/>
    <xf numFmtId="0" fontId="0" fillId="3" borderId="0" xfId="0" applyFill="1"/>
    <xf numFmtId="0" fontId="10" fillId="0" borderId="0" xfId="0" applyFont="1" applyFill="1"/>
    <xf numFmtId="0" fontId="18" fillId="2" borderId="0" xfId="0" applyFont="1" applyFill="1" applyAlignment="1">
      <alignment horizontal="center"/>
    </xf>
    <xf numFmtId="0" fontId="0" fillId="0" borderId="0" xfId="0" applyFill="1"/>
    <xf numFmtId="0" fontId="17" fillId="0" borderId="11" xfId="0" applyFont="1" applyBorder="1" applyAlignment="1">
      <alignment horizontal="left" vertical="center" indent="2"/>
    </xf>
    <xf numFmtId="0" fontId="17" fillId="0" borderId="0" xfId="0" applyFont="1" applyBorder="1" applyAlignment="1">
      <alignment horizontal="center"/>
    </xf>
    <xf numFmtId="3" fontId="17" fillId="0" borderId="14" xfId="0" applyNumberFormat="1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3" fontId="17" fillId="0" borderId="12" xfId="0" applyNumberFormat="1" applyFont="1" applyBorder="1" applyAlignment="1">
      <alignment horizontal="center"/>
    </xf>
    <xf numFmtId="0" fontId="18" fillId="0" borderId="0" xfId="0" applyFont="1"/>
    <xf numFmtId="168" fontId="10" fillId="0" borderId="0" xfId="0" applyNumberFormat="1" applyFont="1" applyBorder="1" applyAlignment="1">
      <alignment horizontal="center"/>
    </xf>
    <xf numFmtId="167" fontId="10" fillId="0" borderId="14" xfId="0" applyNumberFormat="1" applyFont="1" applyFill="1" applyBorder="1" applyAlignment="1">
      <alignment horizontal="center"/>
    </xf>
    <xf numFmtId="167" fontId="10" fillId="0" borderId="0" xfId="0" applyNumberFormat="1" applyFont="1" applyFill="1" applyBorder="1" applyAlignment="1">
      <alignment horizontal="center"/>
    </xf>
    <xf numFmtId="167" fontId="10" fillId="0" borderId="12" xfId="0" applyNumberFormat="1" applyFont="1" applyFill="1" applyBorder="1" applyAlignment="1">
      <alignment horizontal="center"/>
    </xf>
    <xf numFmtId="165" fontId="10" fillId="0" borderId="0" xfId="0" applyNumberFormat="1" applyFont="1"/>
    <xf numFmtId="0" fontId="13" fillId="0" borderId="3" xfId="3" applyFont="1" applyBorder="1" applyAlignment="1">
      <alignment horizontal="center"/>
    </xf>
    <xf numFmtId="0" fontId="13" fillId="0" borderId="4" xfId="3" applyFont="1" applyBorder="1" applyAlignment="1">
      <alignment horizontal="center"/>
    </xf>
    <xf numFmtId="0" fontId="13" fillId="0" borderId="5" xfId="3" applyFont="1" applyBorder="1" applyAlignment="1">
      <alignment horizontal="center"/>
    </xf>
    <xf numFmtId="0" fontId="14" fillId="0" borderId="14" xfId="4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</cellXfs>
  <cellStyles count="11">
    <cellStyle name="Comma 2" xfId="2"/>
    <cellStyle name="Normal" xfId="0" builtinId="0"/>
    <cellStyle name="Normal 10" xfId="9"/>
    <cellStyle name="Normal 2" xfId="1"/>
    <cellStyle name="Normal 3" xfId="5"/>
    <cellStyle name="Normal 4" xfId="6"/>
    <cellStyle name="Normal 47" xfId="3"/>
    <cellStyle name="Normal 47 2" xfId="7"/>
    <cellStyle name="Normal 47 3" xfId="8"/>
    <cellStyle name="Normal_S&amp;L Demand Curve cases 11-11-10_inputs to NERA for rept_" xfId="4"/>
    <cellStyle name="Percent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tabSelected="1" workbookViewId="0"/>
  </sheetViews>
  <sheetFormatPr defaultRowHeight="12.75" x14ac:dyDescent="0.2"/>
  <cols>
    <col min="1" max="16384" width="9.33203125" style="66"/>
  </cols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47" t="s">
        <v>35</v>
      </c>
      <c r="B1" s="47" t="s">
        <v>53</v>
      </c>
      <c r="C1" s="49" t="s">
        <v>135</v>
      </c>
      <c r="D1" s="49" t="s">
        <v>136</v>
      </c>
      <c r="E1" s="49" t="s">
        <v>137</v>
      </c>
      <c r="F1" s="49" t="s">
        <v>138</v>
      </c>
      <c r="G1" s="49" t="s">
        <v>195</v>
      </c>
      <c r="H1" s="49" t="s">
        <v>196</v>
      </c>
      <c r="I1" s="49" t="s">
        <v>139</v>
      </c>
      <c r="J1" s="48" t="s">
        <v>205</v>
      </c>
      <c r="K1" s="49" t="s">
        <v>140</v>
      </c>
      <c r="L1" s="49" t="s">
        <v>141</v>
      </c>
      <c r="M1" s="49" t="s">
        <v>142</v>
      </c>
      <c r="N1" s="49" t="s">
        <v>143</v>
      </c>
      <c r="O1" s="49" t="s">
        <v>144</v>
      </c>
      <c r="P1" s="49" t="s">
        <v>145</v>
      </c>
      <c r="Q1" s="49" t="s">
        <v>146</v>
      </c>
      <c r="R1" s="49" t="s">
        <v>147</v>
      </c>
      <c r="S1" s="49" t="s">
        <v>148</v>
      </c>
      <c r="T1" s="49" t="s">
        <v>149</v>
      </c>
      <c r="U1" s="49" t="s">
        <v>150</v>
      </c>
      <c r="V1" s="49" t="s">
        <v>151</v>
      </c>
      <c r="W1" s="49" t="s">
        <v>152</v>
      </c>
    </row>
    <row r="2" spans="1:23" x14ac:dyDescent="0.2">
      <c r="A2" s="10" t="s">
        <v>32</v>
      </c>
      <c r="B2" s="46" t="s">
        <v>3</v>
      </c>
      <c r="C2" s="51">
        <f>HLOOKUP($B2, 'J-Class25ppm_NoSCR_Filtered'!$G$5:$M$38, 8, FALSE)</f>
        <v>9370</v>
      </c>
      <c r="D2" s="51">
        <f>HLOOKUP($B2, 'J-Class25ppm_NoSCR_Filtered'!$G$5:$M$38, 9, FALSE)</f>
        <v>9300</v>
      </c>
      <c r="E2" s="65">
        <f>HLOOKUP($B2, 'J-Class25ppm_NoSCR_Filtered'!$G$5:$M$38, 32, FALSE)</f>
        <v>0.93000000000000016</v>
      </c>
      <c r="F2" s="65">
        <f>HLOOKUP($B2, 'J-Class25ppm_NoSCR_Filtered'!$G$5:$M$38, 33, FALSE)</f>
        <v>10.23</v>
      </c>
      <c r="G2" s="65">
        <f>HLOOKUP($B2, 'J-Class25ppm_NoSCR_Filtered'!$G$5:$M$38, 4, FALSE)</f>
        <v>359</v>
      </c>
      <c r="H2" s="65">
        <f>HLOOKUP($B2, 'J-Class25ppm_NoSCR_Filtered'!$G$5:$M$38, 5, FALSE)</f>
        <v>371.1</v>
      </c>
      <c r="I2" s="65">
        <f>HLOOKUP($B2, 'J-Class25ppm_NoSCR_Filtered'!$G$5:$M$38, 29, FALSE)</f>
        <v>490</v>
      </c>
      <c r="J2" s="65">
        <f>HLOOKUP($B2, 'J-Class25ppm_NoSCR_Filtered'!$G$5:$M$38, 34, FALSE)</f>
        <v>26600</v>
      </c>
      <c r="K2" s="65">
        <f>HLOOKUP($B2, 'J-Class25ppm_NoSCR_Filtered'!$G$5:$M$38, 12, FALSE)</f>
        <v>331.56156316916486</v>
      </c>
      <c r="L2" s="65">
        <f>HLOOKUP($B2, 'J-Class25ppm_NoSCR_Filtered'!$G$5:$M$38, 13, FALSE)</f>
        <v>6.922162740899358</v>
      </c>
      <c r="M2" s="65">
        <f>HLOOKUP($B2, 'J-Class25ppm_NoSCR_Filtered'!$G$5:$M$38, 14, FALSE)</f>
        <v>415329.76445396146</v>
      </c>
      <c r="N2" s="65">
        <f>HLOOKUP($B2, 'J-Class25ppm_NoSCR_Filtered'!$G$5:$M$38, 16, FALSE)</f>
        <v>329.08458244111347</v>
      </c>
      <c r="O2" s="65">
        <f>HLOOKUP($B2, 'J-Class25ppm_NoSCR_Filtered'!$G$5:$M$38, 17, FALSE)</f>
        <v>6.8704496788008562</v>
      </c>
      <c r="P2" s="65">
        <f>HLOOKUP($B2, 'J-Class25ppm_NoSCR_Filtered'!$G$5:$M$38, 18, FALSE)</f>
        <v>412226.98072805139</v>
      </c>
      <c r="Q2" s="65">
        <f>HLOOKUP($B2, 'J-Class25ppm_NoSCR_Filtered'!$G$5:$M$38, 20, FALSE)</f>
        <v>642.05567451820127</v>
      </c>
      <c r="R2" s="65">
        <f>HLOOKUP($B2, 'J-Class25ppm_NoSCR_Filtered'!$G$5:$M$38, 21, FALSE)</f>
        <v>5.3170235546038542</v>
      </c>
      <c r="S2" s="65">
        <f>HLOOKUP($B2, 'J-Class25ppm_NoSCR_Filtered'!$G$5:$M$38, 22, FALSE)</f>
        <v>553773.01927194861</v>
      </c>
      <c r="T2" s="65">
        <f>HLOOKUP($B2, 'J-Class25ppm_NoSCR_Filtered'!$G$5:$M$38, 24, FALSE)</f>
        <v>637.25910064239827</v>
      </c>
      <c r="U2" s="65">
        <f>HLOOKUP($B2, 'J-Class25ppm_NoSCR_Filtered'!$G$5:$M$38, 25, FALSE)</f>
        <v>5.2773019271948609</v>
      </c>
      <c r="V2" s="65">
        <f>HLOOKUP($B2, 'J-Class25ppm_NoSCR_Filtered'!$G$5:$M$38, 26, FALSE)</f>
        <v>549635.97430406848</v>
      </c>
      <c r="W2" s="65">
        <f>1-HLOOKUP($B2, 'J-Class25ppm_NoSCR_Filtered'!$G$5:$M$38, 30, FALSE)</f>
        <v>0.95660000000000001</v>
      </c>
    </row>
    <row r="3" spans="1:23" x14ac:dyDescent="0.2">
      <c r="A3" s="10" t="s">
        <v>31</v>
      </c>
      <c r="B3" s="46" t="s">
        <v>28</v>
      </c>
      <c r="C3" s="51">
        <f>HLOOKUP($B3, 'J-Class25ppm_NoSCR_Filtered'!$G$5:$M$38, 8, FALSE)</f>
        <v>9370</v>
      </c>
      <c r="D3" s="51">
        <f>HLOOKUP($B3, 'J-Class25ppm_NoSCR_Filtered'!$G$5:$M$38, 9, FALSE)</f>
        <v>9300</v>
      </c>
      <c r="E3" s="65">
        <f>HLOOKUP($B3, 'J-Class25ppm_NoSCR_Filtered'!$G$5:$M$38, 32, FALSE)</f>
        <v>0.95000000000000018</v>
      </c>
      <c r="F3" s="65">
        <f>HLOOKUP($B3, 'J-Class25ppm_NoSCR_Filtered'!$G$5:$M$38, 33, FALSE)</f>
        <v>10.76</v>
      </c>
      <c r="G3" s="65">
        <f>HLOOKUP($B3, 'J-Class25ppm_NoSCR_Filtered'!$G$5:$M$38, 4, FALSE)</f>
        <v>358.7</v>
      </c>
      <c r="H3" s="65">
        <f>HLOOKUP($B3, 'J-Class25ppm_NoSCR_Filtered'!$G$5:$M$38, 5, FALSE)</f>
        <v>370.2</v>
      </c>
      <c r="I3" s="65">
        <f>HLOOKUP($B3, 'J-Class25ppm_NoSCR_Filtered'!$G$5:$M$38, 29, FALSE)</f>
        <v>490</v>
      </c>
      <c r="J3" s="65">
        <f>HLOOKUP($B3, 'J-Class25ppm_NoSCR_Filtered'!$G$5:$M$38, 34, FALSE)</f>
        <v>26600</v>
      </c>
      <c r="K3" s="65">
        <f>HLOOKUP($B3, 'J-Class25ppm_NoSCR_Filtered'!$G$5:$M$38, 12, FALSE)</f>
        <v>331.56156316916486</v>
      </c>
      <c r="L3" s="65">
        <f>HLOOKUP($B3, 'J-Class25ppm_NoSCR_Filtered'!$G$5:$M$38, 13, FALSE)</f>
        <v>6.922162740899358</v>
      </c>
      <c r="M3" s="65">
        <f>HLOOKUP($B3, 'J-Class25ppm_NoSCR_Filtered'!$G$5:$M$38, 14, FALSE)</f>
        <v>415329.76445396146</v>
      </c>
      <c r="N3" s="65">
        <f>HLOOKUP($B3, 'J-Class25ppm_NoSCR_Filtered'!$G$5:$M$38, 16, FALSE)</f>
        <v>329.08458244111347</v>
      </c>
      <c r="O3" s="65">
        <f>HLOOKUP($B3, 'J-Class25ppm_NoSCR_Filtered'!$G$5:$M$38, 17, FALSE)</f>
        <v>6.8704496788008562</v>
      </c>
      <c r="P3" s="65">
        <f>HLOOKUP($B3, 'J-Class25ppm_NoSCR_Filtered'!$G$5:$M$38, 18, FALSE)</f>
        <v>412226.98072805139</v>
      </c>
      <c r="Q3" s="65">
        <f>HLOOKUP($B3, 'J-Class25ppm_NoSCR_Filtered'!$G$5:$M$38, 20, FALSE)</f>
        <v>642.05567451820127</v>
      </c>
      <c r="R3" s="65">
        <f>HLOOKUP($B3, 'J-Class25ppm_NoSCR_Filtered'!$G$5:$M$38, 21, FALSE)</f>
        <v>5.3170235546038542</v>
      </c>
      <c r="S3" s="65">
        <f>HLOOKUP($B3, 'J-Class25ppm_NoSCR_Filtered'!$G$5:$M$38, 22, FALSE)</f>
        <v>553773.01927194861</v>
      </c>
      <c r="T3" s="65">
        <f>HLOOKUP($B3, 'J-Class25ppm_NoSCR_Filtered'!$G$5:$M$38, 24, FALSE)</f>
        <v>637.25910064239827</v>
      </c>
      <c r="U3" s="65">
        <f>HLOOKUP($B3, 'J-Class25ppm_NoSCR_Filtered'!$G$5:$M$38, 25, FALSE)</f>
        <v>5.2773019271948609</v>
      </c>
      <c r="V3" s="65">
        <f>HLOOKUP($B3, 'J-Class25ppm_NoSCR_Filtered'!$G$5:$M$38, 26, FALSE)</f>
        <v>549635.97430406848</v>
      </c>
      <c r="W3" s="65">
        <f>1-HLOOKUP($B3, 'J-Class25ppm_NoSCR_Filtered'!$G$5:$M$38, 30, FALSE)</f>
        <v>0.95660000000000001</v>
      </c>
    </row>
    <row r="4" spans="1:23" x14ac:dyDescent="0.2">
      <c r="A4" s="10" t="s">
        <v>54</v>
      </c>
      <c r="B4" s="46" t="s">
        <v>20</v>
      </c>
      <c r="C4" s="51">
        <f>HLOOKUP($B4, 'J-Class25ppm_NoSCR_Filtered'!$G$5:$M$38, 8, FALSE)</f>
        <v>9360</v>
      </c>
      <c r="D4" s="51">
        <f>HLOOKUP($B4, 'J-Class25ppm_NoSCR_Filtered'!$G$5:$M$38, 9, FALSE)</f>
        <v>9300</v>
      </c>
      <c r="E4" s="65">
        <f>HLOOKUP($B4, 'J-Class25ppm_NoSCR_Filtered'!$G$5:$M$38, 32, FALSE)</f>
        <v>0.93000000000000016</v>
      </c>
      <c r="F4" s="65">
        <f>HLOOKUP($B4, 'J-Class25ppm_NoSCR_Filtered'!$G$5:$M$38, 33, FALSE)</f>
        <v>10.23</v>
      </c>
      <c r="G4" s="65">
        <f>HLOOKUP($B4, 'J-Class25ppm_NoSCR_Filtered'!$G$5:$M$38, 4, FALSE)</f>
        <v>357.4</v>
      </c>
      <c r="H4" s="65">
        <f>HLOOKUP($B4, 'J-Class25ppm_NoSCR_Filtered'!$G$5:$M$38, 5, FALSE)</f>
        <v>370.2</v>
      </c>
      <c r="I4" s="65">
        <f>HLOOKUP($B4, 'J-Class25ppm_NoSCR_Filtered'!$G$5:$M$38, 29, FALSE)</f>
        <v>490</v>
      </c>
      <c r="J4" s="65">
        <f>HLOOKUP($B4, 'J-Class25ppm_NoSCR_Filtered'!$G$5:$M$38, 34, FALSE)</f>
        <v>26600</v>
      </c>
      <c r="K4" s="65">
        <f>HLOOKUP($B4, 'J-Class25ppm_NoSCR_Filtered'!$G$5:$M$38, 12, FALSE)</f>
        <v>331.20770877944324</v>
      </c>
      <c r="L4" s="65">
        <f>HLOOKUP($B4, 'J-Class25ppm_NoSCR_Filtered'!$G$5:$M$38, 13, FALSE)</f>
        <v>6.9147751605995715</v>
      </c>
      <c r="M4" s="65">
        <f>HLOOKUP($B4, 'J-Class25ppm_NoSCR_Filtered'!$G$5:$M$38, 14, FALSE)</f>
        <v>412481.3704496788</v>
      </c>
      <c r="N4" s="65">
        <f>HLOOKUP($B4, 'J-Class25ppm_NoSCR_Filtered'!$G$5:$M$38, 16, FALSE)</f>
        <v>329.08458244111347</v>
      </c>
      <c r="O4" s="65">
        <f>HLOOKUP($B4, 'J-Class25ppm_NoSCR_Filtered'!$G$5:$M$38, 17, FALSE)</f>
        <v>6.8704496788008562</v>
      </c>
      <c r="P4" s="65">
        <f>HLOOKUP($B4, 'J-Class25ppm_NoSCR_Filtered'!$G$5:$M$38, 18, FALSE)</f>
        <v>409837.2591006424</v>
      </c>
      <c r="Q4" s="65">
        <f>HLOOKUP($B4, 'J-Class25ppm_NoSCR_Filtered'!$G$5:$M$38, 20, FALSE)</f>
        <v>641.37044967880081</v>
      </c>
      <c r="R4" s="65">
        <f>HLOOKUP($B4, 'J-Class25ppm_NoSCR_Filtered'!$G$5:$M$38, 21, FALSE)</f>
        <v>5.2111349036402572</v>
      </c>
      <c r="S4" s="65">
        <f>HLOOKUP($B4, 'J-Class25ppm_NoSCR_Filtered'!$G$5:$M$38, 22, FALSE)</f>
        <v>549975.16059957177</v>
      </c>
      <c r="T4" s="65">
        <f>HLOOKUP($B4, 'J-Class25ppm_NoSCR_Filtered'!$G$5:$M$38, 24, FALSE)</f>
        <v>637.25910064239827</v>
      </c>
      <c r="U4" s="65">
        <f>HLOOKUP($B4, 'J-Class25ppm_NoSCR_Filtered'!$G$5:$M$38, 25, FALSE)</f>
        <v>5.1777301927194861</v>
      </c>
      <c r="V4" s="65">
        <f>HLOOKUP($B4, 'J-Class25ppm_NoSCR_Filtered'!$G$5:$M$38, 26, FALSE)</f>
        <v>546449.67880085658</v>
      </c>
      <c r="W4" s="65">
        <f>1-HLOOKUP($B4, 'J-Class25ppm_NoSCR_Filtered'!$G$5:$M$38, 30, FALSE)</f>
        <v>0.95660000000000001</v>
      </c>
    </row>
    <row r="5" spans="1:23" x14ac:dyDescent="0.2">
      <c r="A5" s="10" t="s">
        <v>36</v>
      </c>
      <c r="B5" s="46" t="s">
        <v>21</v>
      </c>
      <c r="C5" s="51">
        <f>HLOOKUP($B5, 'J-Class25ppm_NoSCR_Filtered'!$G$5:$M$38, 8, FALSE)</f>
        <v>9360</v>
      </c>
      <c r="D5" s="51">
        <f>HLOOKUP($B5, 'J-Class25ppm_NoSCR_Filtered'!$G$5:$M$38, 9, FALSE)</f>
        <v>9300</v>
      </c>
      <c r="E5" s="65">
        <f>HLOOKUP($B5, 'J-Class25ppm_NoSCR_Filtered'!$G$5:$M$38, 32, FALSE)</f>
        <v>0.93000000000000016</v>
      </c>
      <c r="F5" s="65">
        <f>HLOOKUP($B5, 'J-Class25ppm_NoSCR_Filtered'!$G$5:$M$38, 33, FALSE)</f>
        <v>10.23</v>
      </c>
      <c r="G5" s="65">
        <f>HLOOKUP($B5, 'J-Class25ppm_NoSCR_Filtered'!$G$5:$M$38, 4, FALSE)</f>
        <v>357.4</v>
      </c>
      <c r="H5" s="65">
        <f>HLOOKUP($B5, 'J-Class25ppm_NoSCR_Filtered'!$G$5:$M$38, 5, FALSE)</f>
        <v>370.2</v>
      </c>
      <c r="I5" s="65">
        <f>HLOOKUP($B5, 'J-Class25ppm_NoSCR_Filtered'!$G$5:$M$38, 29, FALSE)</f>
        <v>490</v>
      </c>
      <c r="J5" s="65">
        <f>HLOOKUP($B5, 'J-Class25ppm_NoSCR_Filtered'!$G$5:$M$38, 34, FALSE)</f>
        <v>26600</v>
      </c>
      <c r="K5" s="65">
        <f>HLOOKUP($B5, 'J-Class25ppm_NoSCR_Filtered'!$G$5:$M$38, 12, FALSE)</f>
        <v>331.20770877944324</v>
      </c>
      <c r="L5" s="65">
        <f>HLOOKUP($B5, 'J-Class25ppm_NoSCR_Filtered'!$G$5:$M$38, 13, FALSE)</f>
        <v>6.9147751605995715</v>
      </c>
      <c r="M5" s="65">
        <f>HLOOKUP($B5, 'J-Class25ppm_NoSCR_Filtered'!$G$5:$M$38, 14, FALSE)</f>
        <v>412481.3704496788</v>
      </c>
      <c r="N5" s="65">
        <f>HLOOKUP($B5, 'J-Class25ppm_NoSCR_Filtered'!$G$5:$M$38, 16, FALSE)</f>
        <v>329.08458244111347</v>
      </c>
      <c r="O5" s="65">
        <f>HLOOKUP($B5, 'J-Class25ppm_NoSCR_Filtered'!$G$5:$M$38, 17, FALSE)</f>
        <v>6.8704496788008562</v>
      </c>
      <c r="P5" s="65">
        <f>HLOOKUP($B5, 'J-Class25ppm_NoSCR_Filtered'!$G$5:$M$38, 18, FALSE)</f>
        <v>409837.2591006424</v>
      </c>
      <c r="Q5" s="65">
        <f>HLOOKUP($B5, 'J-Class25ppm_NoSCR_Filtered'!$G$5:$M$38, 20, FALSE)</f>
        <v>641.37044967880081</v>
      </c>
      <c r="R5" s="65">
        <f>HLOOKUP($B5, 'J-Class25ppm_NoSCR_Filtered'!$G$5:$M$38, 21, FALSE)</f>
        <v>5.2111349036402572</v>
      </c>
      <c r="S5" s="65">
        <f>HLOOKUP($B5, 'J-Class25ppm_NoSCR_Filtered'!$G$5:$M$38, 22, FALSE)</f>
        <v>549975.16059957177</v>
      </c>
      <c r="T5" s="65">
        <f>HLOOKUP($B5, 'J-Class25ppm_NoSCR_Filtered'!$G$5:$M$38, 24, FALSE)</f>
        <v>637.25910064239827</v>
      </c>
      <c r="U5" s="65">
        <f>HLOOKUP($B5, 'J-Class25ppm_NoSCR_Filtered'!$G$5:$M$38, 25, FALSE)</f>
        <v>5.1777301927194861</v>
      </c>
      <c r="V5" s="65">
        <f>HLOOKUP($B5, 'J-Class25ppm_NoSCR_Filtered'!$G$5:$M$38, 26, FALSE)</f>
        <v>546449.67880085658</v>
      </c>
      <c r="W5" s="65">
        <f>1-HLOOKUP($B5, 'J-Class25ppm_NoSCR_Filtered'!$G$5:$M$38, 30, FALSE)</f>
        <v>0.95660000000000001</v>
      </c>
    </row>
    <row r="6" spans="1:23" x14ac:dyDescent="0.2">
      <c r="A6" s="10" t="s">
        <v>30</v>
      </c>
      <c r="B6" s="46" t="s">
        <v>4</v>
      </c>
      <c r="C6" s="51">
        <f>HLOOKUP($B6, 'J-Class25ppm_NoSCR_Filtered'!$G$5:$M$38, 8, FALSE)</f>
        <v>9350</v>
      </c>
      <c r="D6" s="51">
        <f>HLOOKUP($B6, 'J-Class25ppm_NoSCR_Filtered'!$G$5:$M$38, 9, FALSE)</f>
        <v>9290</v>
      </c>
      <c r="E6" s="65">
        <f>HLOOKUP($B6, 'J-Class25ppm_NoSCR_Filtered'!$G$5:$M$38, 32, FALSE)</f>
        <v>0.93000000000000016</v>
      </c>
      <c r="F6" s="65">
        <f>HLOOKUP($B6, 'J-Class25ppm_NoSCR_Filtered'!$G$5:$M$38, 33, FALSE)</f>
        <v>10.210000000000001</v>
      </c>
      <c r="G6" s="65">
        <f>HLOOKUP($B6, 'J-Class25ppm_NoSCR_Filtered'!$G$5:$M$38, 4, FALSE)</f>
        <v>357.7</v>
      </c>
      <c r="H6" s="65">
        <f>HLOOKUP($B6, 'J-Class25ppm_NoSCR_Filtered'!$G$5:$M$38, 5, FALSE)</f>
        <v>369.2</v>
      </c>
      <c r="I6" s="65">
        <f>HLOOKUP($B6, 'J-Class25ppm_NoSCR_Filtered'!$G$5:$M$38, 29, FALSE)</f>
        <v>490</v>
      </c>
      <c r="J6" s="65">
        <f>HLOOKUP($B6, 'J-Class25ppm_NoSCR_Filtered'!$G$5:$M$38, 34, FALSE)</f>
        <v>26600</v>
      </c>
      <c r="K6" s="65">
        <f>HLOOKUP($B6, 'J-Class25ppm_NoSCR_Filtered'!$G$5:$M$38, 12, FALSE)</f>
        <v>330.85385438972162</v>
      </c>
      <c r="L6" s="65">
        <f>HLOOKUP($B6, 'J-Class25ppm_NoSCR_Filtered'!$G$5:$M$38, 13, FALSE)</f>
        <v>6.8072805139186299</v>
      </c>
      <c r="M6" s="65">
        <f>HLOOKUP($B6, 'J-Class25ppm_NoSCR_Filtered'!$G$5:$M$38, 14, FALSE)</f>
        <v>410839.40042826551</v>
      </c>
      <c r="N6" s="65">
        <f>HLOOKUP($B6, 'J-Class25ppm_NoSCR_Filtered'!$G$5:$M$38, 16, FALSE)</f>
        <v>328.73072805139185</v>
      </c>
      <c r="O6" s="65">
        <f>HLOOKUP($B6, 'J-Class25ppm_NoSCR_Filtered'!$G$5:$M$38, 17, FALSE)</f>
        <v>6.7635974304068522</v>
      </c>
      <c r="P6" s="65">
        <f>HLOOKUP($B6, 'J-Class25ppm_NoSCR_Filtered'!$G$5:$M$38, 18, FALSE)</f>
        <v>408202.9978586724</v>
      </c>
      <c r="Q6" s="65">
        <f>HLOOKUP($B6, 'J-Class25ppm_NoSCR_Filtered'!$G$5:$M$38, 20, FALSE)</f>
        <v>640.68522483940046</v>
      </c>
      <c r="R6" s="65">
        <f>HLOOKUP($B6, 'J-Class25ppm_NoSCR_Filtered'!$G$5:$M$38, 21, FALSE)</f>
        <v>5.2055674518201283</v>
      </c>
      <c r="S6" s="65">
        <f>HLOOKUP($B6, 'J-Class25ppm_NoSCR_Filtered'!$G$5:$M$38, 22, FALSE)</f>
        <v>547785.86723768734</v>
      </c>
      <c r="T6" s="65">
        <f>HLOOKUP($B6, 'J-Class25ppm_NoSCR_Filtered'!$G$5:$M$38, 24, FALSE)</f>
        <v>636.5738758029978</v>
      </c>
      <c r="U6" s="65">
        <f>HLOOKUP($B6, 'J-Class25ppm_NoSCR_Filtered'!$G$5:$M$38, 25, FALSE)</f>
        <v>5.172162740899358</v>
      </c>
      <c r="V6" s="65">
        <f>HLOOKUP($B6, 'J-Class25ppm_NoSCR_Filtered'!$G$5:$M$38, 26, FALSE)</f>
        <v>544270.66381156316</v>
      </c>
      <c r="W6" s="65">
        <f>1-HLOOKUP($B6, 'J-Class25ppm_NoSCR_Filtered'!$G$5:$M$38, 30, FALSE)</f>
        <v>0.95660000000000001</v>
      </c>
    </row>
    <row r="7" spans="1:23" x14ac:dyDescent="0.2">
      <c r="A7" s="10" t="s">
        <v>29</v>
      </c>
      <c r="B7" s="46" t="s">
        <v>5</v>
      </c>
      <c r="C7" s="51">
        <f>HLOOKUP($B7, 'J-Class25ppm_NoSCR_Filtered'!$G$5:$M$38, 8, FALSE)</f>
        <v>9350</v>
      </c>
      <c r="D7" s="51">
        <f>HLOOKUP($B7, 'J-Class25ppm_NoSCR_Filtered'!$G$5:$M$38, 9, FALSE)</f>
        <v>9280</v>
      </c>
      <c r="E7" s="65">
        <f>HLOOKUP($B7, 'J-Class25ppm_NoSCR_Filtered'!$G$5:$M$38, 32, FALSE)</f>
        <v>0.92999999999999994</v>
      </c>
      <c r="F7" s="65">
        <f>HLOOKUP($B7, 'J-Class25ppm_NoSCR_Filtered'!$G$5:$M$38, 33, FALSE)</f>
        <v>10.210000000000001</v>
      </c>
      <c r="G7" s="65">
        <f>HLOOKUP($B7, 'J-Class25ppm_NoSCR_Filtered'!$G$5:$M$38, 4, FALSE)</f>
        <v>355.6</v>
      </c>
      <c r="H7" s="65">
        <f>HLOOKUP($B7, 'J-Class25ppm_NoSCR_Filtered'!$G$5:$M$38, 5, FALSE)</f>
        <v>367.4</v>
      </c>
      <c r="I7" s="65">
        <f>HLOOKUP($B7, 'J-Class25ppm_NoSCR_Filtered'!$G$5:$M$38, 29, FALSE)</f>
        <v>490</v>
      </c>
      <c r="J7" s="65">
        <f>HLOOKUP($B7, 'J-Class25ppm_NoSCR_Filtered'!$G$5:$M$38, 34, FALSE)</f>
        <v>26600</v>
      </c>
      <c r="K7" s="65">
        <f>HLOOKUP($B7, 'J-Class25ppm_NoSCR_Filtered'!$G$5:$M$38, 12, FALSE)</f>
        <v>330.85385438972162</v>
      </c>
      <c r="L7" s="65">
        <f>HLOOKUP($B7, 'J-Class25ppm_NoSCR_Filtered'!$G$5:$M$38, 13, FALSE)</f>
        <v>6.8072805139186299</v>
      </c>
      <c r="M7" s="65">
        <f>HLOOKUP($B7, 'J-Class25ppm_NoSCR_Filtered'!$G$5:$M$38, 14, FALSE)</f>
        <v>408436.83083511778</v>
      </c>
      <c r="N7" s="65">
        <f>HLOOKUP($B7, 'J-Class25ppm_NoSCR_Filtered'!$G$5:$M$38, 16, FALSE)</f>
        <v>328.37687366167023</v>
      </c>
      <c r="O7" s="65">
        <f>HLOOKUP($B7, 'J-Class25ppm_NoSCR_Filtered'!$G$5:$M$38, 17, FALSE)</f>
        <v>6.7563169164882231</v>
      </c>
      <c r="P7" s="65">
        <f>HLOOKUP($B7, 'J-Class25ppm_NoSCR_Filtered'!$G$5:$M$38, 18, FALSE)</f>
        <v>405379.01498929336</v>
      </c>
      <c r="Q7" s="65">
        <f>HLOOKUP($B7, 'J-Class25ppm_NoSCR_Filtered'!$G$5:$M$38, 20, FALSE)</f>
        <v>640.68522483940046</v>
      </c>
      <c r="R7" s="65">
        <f>HLOOKUP($B7, 'J-Class25ppm_NoSCR_Filtered'!$G$5:$M$38, 21, FALSE)</f>
        <v>5.2055674518201283</v>
      </c>
      <c r="S7" s="65">
        <f>HLOOKUP($B7, 'J-Class25ppm_NoSCR_Filtered'!$G$5:$M$38, 22, FALSE)</f>
        <v>544582.44111349038</v>
      </c>
      <c r="T7" s="65">
        <f>HLOOKUP($B7, 'J-Class25ppm_NoSCR_Filtered'!$G$5:$M$38, 24, FALSE)</f>
        <v>635.88865096359746</v>
      </c>
      <c r="U7" s="65">
        <f>HLOOKUP($B7, 'J-Class25ppm_NoSCR_Filtered'!$G$5:$M$38, 25, FALSE)</f>
        <v>5.166595289079229</v>
      </c>
      <c r="V7" s="65">
        <f>HLOOKUP($B7, 'J-Class25ppm_NoSCR_Filtered'!$G$5:$M$38, 26, FALSE)</f>
        <v>540505.35331905785</v>
      </c>
      <c r="W7" s="65">
        <f>1-HLOOKUP($B7, 'J-Class25ppm_NoSCR_Filtered'!$G$5:$M$38, 30, FALSE)</f>
        <v>0.95660000000000001</v>
      </c>
    </row>
  </sheetData>
  <pageMargins left="0.7" right="0.7" top="0.75" bottom="0.75" header="0.3" footer="0.3"/>
  <pageSetup scale="59" fitToWidth="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"/>
  <sheetViews>
    <sheetView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47" t="s">
        <v>35</v>
      </c>
      <c r="B1" s="47" t="s">
        <v>53</v>
      </c>
      <c r="C1" s="49" t="s">
        <v>173</v>
      </c>
      <c r="D1" s="49" t="s">
        <v>174</v>
      </c>
      <c r="E1" s="49" t="s">
        <v>175</v>
      </c>
      <c r="F1" s="49" t="s">
        <v>176</v>
      </c>
      <c r="G1" s="49" t="s">
        <v>197</v>
      </c>
      <c r="H1" s="49" t="s">
        <v>198</v>
      </c>
      <c r="I1" s="49" t="s">
        <v>177</v>
      </c>
      <c r="J1" s="48" t="s">
        <v>206</v>
      </c>
      <c r="K1" s="49" t="s">
        <v>178</v>
      </c>
      <c r="L1" s="49" t="s">
        <v>179</v>
      </c>
      <c r="M1" s="49" t="s">
        <v>180</v>
      </c>
      <c r="N1" s="49" t="s">
        <v>181</v>
      </c>
      <c r="O1" s="49" t="s">
        <v>182</v>
      </c>
      <c r="P1" s="49" t="s">
        <v>183</v>
      </c>
      <c r="Q1" s="49" t="s">
        <v>184</v>
      </c>
      <c r="R1" s="49" t="s">
        <v>185</v>
      </c>
      <c r="S1" s="49" t="s">
        <v>186</v>
      </c>
      <c r="T1" s="49" t="s">
        <v>187</v>
      </c>
      <c r="U1" s="49" t="s">
        <v>188</v>
      </c>
      <c r="V1" s="49" t="s">
        <v>189</v>
      </c>
      <c r="W1" s="49" t="s">
        <v>190</v>
      </c>
    </row>
    <row r="2" spans="1:23" x14ac:dyDescent="0.2">
      <c r="A2" s="10" t="s">
        <v>54</v>
      </c>
      <c r="B2" s="46" t="s">
        <v>20</v>
      </c>
      <c r="C2" s="51">
        <f>HLOOKUP($B2, 'J-Class15ppm_NoSCR_Filtered'!$G$5:$J$38, 8, FALSE)</f>
        <v>9390</v>
      </c>
      <c r="D2" s="51">
        <f>HLOOKUP($B2, 'J-Class15ppm_NoSCR_Filtered'!$G$5:$J$38, 9, FALSE)</f>
        <v>9340</v>
      </c>
      <c r="E2" s="65">
        <f>HLOOKUP($B2, 'J-Class15ppm_NoSCR_Filtered'!$G$5:$J$38, 32, FALSE)</f>
        <v>0.93</v>
      </c>
      <c r="F2" s="65">
        <f>HLOOKUP($B2, 'J-Class15ppm_NoSCR_Filtered'!$G$5:$J$38, 33, FALSE)</f>
        <v>10.210000000000001</v>
      </c>
      <c r="G2" s="65">
        <f>HLOOKUP($B2, 'J-Class15ppm_NoSCR_Filtered'!$G$5:$J$38, 4, FALSE)</f>
        <v>340.9</v>
      </c>
      <c r="H2" s="65">
        <f>HLOOKUP($B2, 'J-Class15ppm_NoSCR_Filtered'!$G$5:$J$38, 5, FALSE)</f>
        <v>350.5</v>
      </c>
      <c r="I2" s="65">
        <f>HLOOKUP($B2, 'J-Class15ppm_NoSCR_Filtered'!$G$5:$J$38, 29, FALSE)</f>
        <v>490</v>
      </c>
      <c r="J2" s="65">
        <f>HLOOKUP($B2, 'J-Class15ppm_NoSCR_Filtered'!$G$5:$J$38, 34, FALSE)</f>
        <v>26600</v>
      </c>
      <c r="K2" s="65">
        <f>HLOOKUP($B2, 'J-Class15ppm_NoSCR_Filtered'!$G$5:$J$38, 12, FALSE)</f>
        <v>189.60963597430407</v>
      </c>
      <c r="L2" s="65">
        <f>HLOOKUP($B2, 'J-Class15ppm_NoSCR_Filtered'!$G$5:$J$38, 13, FALSE)</f>
        <v>6.4342612419700211</v>
      </c>
      <c r="M2" s="65">
        <f>HLOOKUP($B2, 'J-Class15ppm_NoSCR_Filtered'!$G$5:$J$38, 14, FALSE)</f>
        <v>387262.09850107064</v>
      </c>
      <c r="N2" s="65">
        <f>HLOOKUP($B2, 'J-Class15ppm_NoSCR_Filtered'!$G$5:$J$38, 16, FALSE)</f>
        <v>188.6</v>
      </c>
      <c r="O2" s="65">
        <f>HLOOKUP($B2, 'J-Class15ppm_NoSCR_Filtered'!$G$5:$J$38, 17, FALSE)</f>
        <v>6.4</v>
      </c>
      <c r="P2" s="65">
        <f>HLOOKUP($B2, 'J-Class15ppm_NoSCR_Filtered'!$G$5:$J$38, 18, FALSE)</f>
        <v>385200</v>
      </c>
      <c r="Q2" s="65">
        <f>HLOOKUP($B2, 'J-Class15ppm_NoSCR_Filtered'!$G$5:$J$38, 20, FALSE)</f>
        <v>643.4261241970022</v>
      </c>
      <c r="R2" s="65">
        <f>HLOOKUP($B2, 'J-Class15ppm_NoSCR_Filtered'!$G$5:$J$38, 21, FALSE)</f>
        <v>4.9262312633832979</v>
      </c>
      <c r="S2" s="65">
        <f>HLOOKUP($B2, 'J-Class15ppm_NoSCR_Filtered'!$G$5:$J$38, 22, FALSE)</f>
        <v>516349.46466809424</v>
      </c>
      <c r="T2" s="65">
        <f>HLOOKUP($B2, 'J-Class15ppm_NoSCR_Filtered'!$G$5:$J$38, 24, FALSE)</f>
        <v>640</v>
      </c>
      <c r="U2" s="65">
        <f>HLOOKUP($B2, 'J-Class15ppm_NoSCR_Filtered'!$G$5:$J$38, 25, FALSE)</f>
        <v>4.9000000000000004</v>
      </c>
      <c r="V2" s="65">
        <f>HLOOKUP($B2, 'J-Class15ppm_NoSCR_Filtered'!$G$5:$J$38, 26, FALSE)</f>
        <v>513600</v>
      </c>
      <c r="W2" s="65">
        <f>1-HLOOKUP($B2, 'J-Class15ppm_NoSCR_Filtered'!$G$5:$J$38, 30, FALSE)</f>
        <v>0.95660000000000001</v>
      </c>
    </row>
    <row r="3" spans="1:23" x14ac:dyDescent="0.2">
      <c r="A3" s="10" t="s">
        <v>30</v>
      </c>
      <c r="B3" s="46" t="s">
        <v>4</v>
      </c>
      <c r="C3" s="51">
        <f>HLOOKUP($B3, 'J-Class15ppm_NoSCR_Filtered'!$G$5:$J$38, 8, FALSE)</f>
        <v>9390</v>
      </c>
      <c r="D3" s="51">
        <f>HLOOKUP($B3, 'J-Class15ppm_NoSCR_Filtered'!$G$5:$J$38, 9, FALSE)</f>
        <v>9320</v>
      </c>
      <c r="E3" s="65">
        <f>HLOOKUP($B3, 'J-Class15ppm_NoSCR_Filtered'!$G$5:$J$38, 32, FALSE)</f>
        <v>0.93</v>
      </c>
      <c r="F3" s="65">
        <f>HLOOKUP($B3, 'J-Class15ppm_NoSCR_Filtered'!$G$5:$J$38, 33, FALSE)</f>
        <v>10.210000000000001</v>
      </c>
      <c r="G3" s="65">
        <f>HLOOKUP($B3, 'J-Class15ppm_NoSCR_Filtered'!$G$5:$J$38, 4, FALSE)</f>
        <v>341.2</v>
      </c>
      <c r="H3" s="65">
        <f>HLOOKUP($B3, 'J-Class15ppm_NoSCR_Filtered'!$G$5:$J$38, 5, FALSE)</f>
        <v>351</v>
      </c>
      <c r="I3" s="65">
        <f>HLOOKUP($B3, 'J-Class15ppm_NoSCR_Filtered'!$G$5:$J$38, 29, FALSE)</f>
        <v>490</v>
      </c>
      <c r="J3" s="65">
        <f>HLOOKUP($B3, 'J-Class15ppm_NoSCR_Filtered'!$G$5:$J$38, 34, FALSE)</f>
        <v>26600</v>
      </c>
      <c r="K3" s="65">
        <f>HLOOKUP($B3, 'J-Class15ppm_NoSCR_Filtered'!$G$5:$J$38, 12, FALSE)</f>
        <v>189.4068449197861</v>
      </c>
      <c r="L3" s="65">
        <f>HLOOKUP($B3, 'J-Class15ppm_NoSCR_Filtered'!$G$5:$J$38, 13, FALSE)</f>
        <v>6.4273796791443853</v>
      </c>
      <c r="M3" s="65">
        <f>HLOOKUP($B3, 'J-Class15ppm_NoSCR_Filtered'!$G$5:$J$38, 14, FALSE)</f>
        <v>385642.78074866312</v>
      </c>
      <c r="N3" s="65">
        <f>HLOOKUP($B3, 'J-Class15ppm_NoSCR_Filtered'!$G$5:$J$38, 16, FALSE)</f>
        <v>187.99486631016043</v>
      </c>
      <c r="O3" s="65">
        <f>HLOOKUP($B3, 'J-Class15ppm_NoSCR_Filtered'!$G$5:$J$38, 17, FALSE)</f>
        <v>6.3794652406417116</v>
      </c>
      <c r="P3" s="65">
        <f>HLOOKUP($B3, 'J-Class15ppm_NoSCR_Filtered'!$G$5:$J$38, 18, FALSE)</f>
        <v>382767.91443850269</v>
      </c>
      <c r="Q3" s="65">
        <f>HLOOKUP($B3, 'J-Class15ppm_NoSCR_Filtered'!$G$5:$J$38, 20, FALSE)</f>
        <v>642.73796791443851</v>
      </c>
      <c r="R3" s="65">
        <f>HLOOKUP($B3, 'J-Class15ppm_NoSCR_Filtered'!$G$5:$J$38, 21, FALSE)</f>
        <v>4.9209625668449197</v>
      </c>
      <c r="S3" s="65">
        <f>HLOOKUP($B3, 'J-Class15ppm_NoSCR_Filtered'!$G$5:$J$38, 22, FALSE)</f>
        <v>514190.37433155079</v>
      </c>
      <c r="T3" s="65">
        <f>HLOOKUP($B3, 'J-Class15ppm_NoSCR_Filtered'!$G$5:$J$38, 24, FALSE)</f>
        <v>637.94652406417117</v>
      </c>
      <c r="U3" s="65">
        <f>HLOOKUP($B3, 'J-Class15ppm_NoSCR_Filtered'!$G$5:$J$38, 25, FALSE)</f>
        <v>4.8842780748663106</v>
      </c>
      <c r="V3" s="65">
        <f>HLOOKUP($B3, 'J-Class15ppm_NoSCR_Filtered'!$G$5:$J$38, 26, FALSE)</f>
        <v>510357.21925133688</v>
      </c>
      <c r="W3" s="65">
        <f>1-HLOOKUP($B3, 'J-Class15ppm_NoSCR_Filtered'!$G$5:$J$38, 30, FALSE)</f>
        <v>0.95660000000000001</v>
      </c>
    </row>
    <row r="4" spans="1:23" x14ac:dyDescent="0.2">
      <c r="A4" s="10" t="s">
        <v>29</v>
      </c>
      <c r="B4" s="46" t="s">
        <v>5</v>
      </c>
      <c r="C4" s="51">
        <f>HLOOKUP($B4, 'J-Class15ppm_NoSCR_Filtered'!$G$5:$J$38, 8, FALSE)</f>
        <v>9370</v>
      </c>
      <c r="D4" s="51">
        <f>HLOOKUP($B4, 'J-Class15ppm_NoSCR_Filtered'!$G$5:$J$38, 9, FALSE)</f>
        <v>9320</v>
      </c>
      <c r="E4" s="65">
        <f>HLOOKUP($B4, 'J-Class15ppm_NoSCR_Filtered'!$G$5:$J$38, 32, FALSE)</f>
        <v>0.93</v>
      </c>
      <c r="F4" s="65">
        <f>HLOOKUP($B4, 'J-Class15ppm_NoSCR_Filtered'!$G$5:$J$38, 33, FALSE)</f>
        <v>10.210000000000001</v>
      </c>
      <c r="G4" s="65">
        <f>HLOOKUP($B4, 'J-Class15ppm_NoSCR_Filtered'!$G$5:$J$38, 4, FALSE)</f>
        <v>338</v>
      </c>
      <c r="H4" s="65">
        <f>HLOOKUP($B4, 'J-Class15ppm_NoSCR_Filtered'!$G$5:$J$38, 5, FALSE)</f>
        <v>346.1</v>
      </c>
      <c r="I4" s="65">
        <f>HLOOKUP($B4, 'J-Class15ppm_NoSCR_Filtered'!$G$5:$J$38, 29, FALSE)</f>
        <v>490</v>
      </c>
      <c r="J4" s="65">
        <f>HLOOKUP($B4, 'J-Class15ppm_NoSCR_Filtered'!$G$5:$J$38, 34, FALSE)</f>
        <v>26600</v>
      </c>
      <c r="K4" s="65">
        <f>HLOOKUP($B4, 'J-Class15ppm_NoSCR_Filtered'!$G$5:$J$38, 12, FALSE)</f>
        <v>189.20578158458244</v>
      </c>
      <c r="L4" s="65">
        <f>HLOOKUP($B4, 'J-Class15ppm_NoSCR_Filtered'!$G$5:$J$38, 13, FALSE)</f>
        <v>6.4205567451820125</v>
      </c>
      <c r="M4" s="65">
        <f>HLOOKUP($B4, 'J-Class15ppm_NoSCR_Filtered'!$G$5:$J$38, 14, FALSE)</f>
        <v>382825.69593147753</v>
      </c>
      <c r="N4" s="65">
        <f>HLOOKUP($B4, 'J-Class15ppm_NoSCR_Filtered'!$G$5:$J$38, 16, FALSE)</f>
        <v>188.19614561027836</v>
      </c>
      <c r="O4" s="65">
        <f>HLOOKUP($B4, 'J-Class15ppm_NoSCR_Filtered'!$G$5:$J$38, 17, FALSE)</f>
        <v>6.3862955032119917</v>
      </c>
      <c r="P4" s="65">
        <f>HLOOKUP($B4, 'J-Class15ppm_NoSCR_Filtered'!$G$5:$J$38, 18, FALSE)</f>
        <v>380782.869379015</v>
      </c>
      <c r="Q4" s="65">
        <f>HLOOKUP($B4, 'J-Class15ppm_NoSCR_Filtered'!$G$5:$J$38, 20, FALSE)</f>
        <v>642.05567451820127</v>
      </c>
      <c r="R4" s="65">
        <f>HLOOKUP($B4, 'J-Class15ppm_NoSCR_Filtered'!$G$5:$J$38, 21, FALSE)</f>
        <v>4.8154175588865096</v>
      </c>
      <c r="S4" s="65">
        <f>HLOOKUP($B4, 'J-Class15ppm_NoSCR_Filtered'!$G$5:$J$38, 22, FALSE)</f>
        <v>510434.26124197</v>
      </c>
      <c r="T4" s="65">
        <f>HLOOKUP($B4, 'J-Class15ppm_NoSCR_Filtered'!$G$5:$J$38, 24, FALSE)</f>
        <v>638.62955032119919</v>
      </c>
      <c r="U4" s="65">
        <f>HLOOKUP($B4, 'J-Class15ppm_NoSCR_Filtered'!$G$5:$J$38, 25, FALSE)</f>
        <v>4.7897216274089933</v>
      </c>
      <c r="V4" s="65">
        <f>HLOOKUP($B4, 'J-Class15ppm_NoSCR_Filtered'!$G$5:$J$38, 26, FALSE)</f>
        <v>507710.49250535329</v>
      </c>
      <c r="W4" s="65">
        <f>1-HLOOKUP($B4, 'J-Class15ppm_NoSCR_Filtered'!$G$5:$J$38, 30, FALSE)</f>
        <v>0.95660000000000001</v>
      </c>
    </row>
  </sheetData>
  <pageMargins left="0.7" right="0.7" top="0.75" bottom="0.75" header="0.3" footer="0.3"/>
  <pageSetup scale="59" fitToWidth="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"/>
  <sheetViews>
    <sheetView workbookViewId="0"/>
  </sheetViews>
  <sheetFormatPr defaultRowHeight="12.75" x14ac:dyDescent="0.2"/>
  <cols>
    <col min="1" max="1" width="7" style="10" bestFit="1" customWidth="1"/>
    <col min="2" max="2" width="18.83203125" style="10" bestFit="1" customWidth="1"/>
    <col min="3" max="3" width="14.6640625" style="10" bestFit="1" customWidth="1"/>
    <col min="4" max="4" width="14.33203125" style="10" bestFit="1" customWidth="1"/>
    <col min="5" max="5" width="14.1640625" style="10" bestFit="1" customWidth="1"/>
    <col min="6" max="6" width="14.6640625" style="10" bestFit="1" customWidth="1"/>
    <col min="7" max="7" width="16" style="10" bestFit="1" customWidth="1"/>
    <col min="8" max="8" width="15.6640625" style="10" bestFit="1" customWidth="1"/>
    <col min="9" max="9" width="16.5" style="10" bestFit="1" customWidth="1"/>
    <col min="10" max="10" width="22" style="10" bestFit="1" customWidth="1"/>
    <col min="11" max="11" width="20.83203125" style="10" bestFit="1" customWidth="1"/>
    <col min="12" max="12" width="20.5" style="10" bestFit="1" customWidth="1"/>
    <col min="13" max="13" width="19.6640625" style="10" bestFit="1" customWidth="1"/>
    <col min="14" max="14" width="19.83203125" style="10" bestFit="1" customWidth="1"/>
    <col min="15" max="15" width="20.1640625" style="10" bestFit="1" customWidth="1"/>
    <col min="16" max="16" width="19.33203125" style="10" bestFit="1" customWidth="1"/>
    <col min="17" max="17" width="19.5" style="10" bestFit="1" customWidth="1"/>
    <col min="18" max="18" width="21" style="10" bestFit="1" customWidth="1"/>
    <col min="19" max="19" width="20.1640625" style="10" bestFit="1" customWidth="1"/>
    <col min="20" max="20" width="20.33203125" style="10" bestFit="1" customWidth="1"/>
    <col min="21" max="21" width="20.6640625" style="10" bestFit="1" customWidth="1"/>
    <col min="22" max="22" width="19.83203125" style="10" bestFit="1" customWidth="1"/>
    <col min="23" max="23" width="20" style="10" bestFit="1" customWidth="1"/>
    <col min="24" max="24" width="12.1640625" style="10" bestFit="1" customWidth="1"/>
    <col min="25" max="25" width="20.1640625" style="10" bestFit="1" customWidth="1"/>
    <col min="26" max="26" width="19.83203125" style="10" bestFit="1" customWidth="1"/>
    <col min="27" max="27" width="26.1640625" style="10" bestFit="1" customWidth="1"/>
    <col min="28" max="28" width="25.1640625" style="10" bestFit="1" customWidth="1"/>
    <col min="29" max="29" width="25.33203125" style="10" bestFit="1" customWidth="1"/>
    <col min="30" max="30" width="25.83203125" style="10" bestFit="1" customWidth="1"/>
    <col min="31" max="31" width="24.83203125" style="10" bestFit="1" customWidth="1"/>
    <col min="32" max="32" width="25" style="10" bestFit="1" customWidth="1"/>
    <col min="33" max="33" width="26.6640625" style="10" bestFit="1" customWidth="1"/>
    <col min="34" max="34" width="25.83203125" style="10" bestFit="1" customWidth="1"/>
    <col min="35" max="35" width="26" style="10" bestFit="1" customWidth="1"/>
    <col min="36" max="36" width="26.33203125" style="10" bestFit="1" customWidth="1"/>
    <col min="37" max="37" width="25.33203125" style="10" bestFit="1" customWidth="1"/>
    <col min="38" max="38" width="25.5" style="10" bestFit="1" customWidth="1"/>
    <col min="39" max="39" width="21.6640625" style="10" bestFit="1" customWidth="1"/>
    <col min="40" max="40" width="21.1640625" style="10" bestFit="1" customWidth="1"/>
    <col min="41" max="16384" width="9.33203125" style="10"/>
  </cols>
  <sheetData>
    <row r="1" spans="1:40" x14ac:dyDescent="0.2">
      <c r="A1" s="47" t="s">
        <v>35</v>
      </c>
      <c r="B1" s="47" t="s">
        <v>53</v>
      </c>
      <c r="C1" s="49" t="s">
        <v>111</v>
      </c>
      <c r="D1" s="49" t="s">
        <v>112</v>
      </c>
      <c r="E1" s="49" t="s">
        <v>113</v>
      </c>
      <c r="F1" s="49" t="s">
        <v>114</v>
      </c>
      <c r="G1" s="49" t="s">
        <v>199</v>
      </c>
      <c r="H1" s="49" t="s">
        <v>200</v>
      </c>
      <c r="I1" s="49" t="s">
        <v>217</v>
      </c>
      <c r="J1" s="49" t="s">
        <v>115</v>
      </c>
      <c r="K1" s="48" t="s">
        <v>207</v>
      </c>
      <c r="L1" s="49" t="s">
        <v>116</v>
      </c>
      <c r="M1" s="49" t="s">
        <v>117</v>
      </c>
      <c r="N1" s="49" t="s">
        <v>118</v>
      </c>
      <c r="O1" s="49" t="s">
        <v>119</v>
      </c>
      <c r="P1" s="49" t="s">
        <v>120</v>
      </c>
      <c r="Q1" s="49" t="s">
        <v>121</v>
      </c>
      <c r="R1" s="49" t="s">
        <v>122</v>
      </c>
      <c r="S1" s="49" t="s">
        <v>123</v>
      </c>
      <c r="T1" s="49" t="s">
        <v>124</v>
      </c>
      <c r="U1" s="49" t="s">
        <v>125</v>
      </c>
      <c r="V1" s="49" t="s">
        <v>126</v>
      </c>
      <c r="W1" s="49" t="s">
        <v>127</v>
      </c>
      <c r="X1" s="49" t="s">
        <v>128</v>
      </c>
      <c r="Y1" s="49" t="s">
        <v>129</v>
      </c>
      <c r="Z1" s="49" t="s">
        <v>130</v>
      </c>
      <c r="AA1" s="49" t="s">
        <v>218</v>
      </c>
      <c r="AB1" s="49" t="s">
        <v>223</v>
      </c>
      <c r="AC1" s="49" t="s">
        <v>224</v>
      </c>
      <c r="AD1" s="49" t="s">
        <v>225</v>
      </c>
      <c r="AE1" s="49" t="s">
        <v>226</v>
      </c>
      <c r="AF1" s="49" t="s">
        <v>227</v>
      </c>
      <c r="AG1" s="49" t="s">
        <v>228</v>
      </c>
      <c r="AH1" s="49" t="s">
        <v>229</v>
      </c>
      <c r="AI1" s="49" t="s">
        <v>230</v>
      </c>
      <c r="AJ1" s="49" t="s">
        <v>231</v>
      </c>
      <c r="AK1" s="49" t="s">
        <v>232</v>
      </c>
      <c r="AL1" s="49" t="s">
        <v>233</v>
      </c>
      <c r="AM1" s="49" t="s">
        <v>201</v>
      </c>
      <c r="AN1" s="49" t="s">
        <v>202</v>
      </c>
    </row>
    <row r="2" spans="1:40" x14ac:dyDescent="0.2">
      <c r="A2" s="10" t="s">
        <v>32</v>
      </c>
      <c r="B2" s="46" t="s">
        <v>3</v>
      </c>
      <c r="C2" s="51">
        <f>HLOOKUP($B2, 'J-Class_CC_Filtered'!$G$5:$L$63, 12, FALSE)</f>
        <v>6370</v>
      </c>
      <c r="D2" s="51">
        <f>HLOOKUP($B2, 'J-Class_CC_Filtered'!$G$5:$L$63, 13, FALSE)</f>
        <v>6340</v>
      </c>
      <c r="E2" s="65">
        <f>HLOOKUP($B2, 'J-Class_CC_Filtered'!$G$5:$L$63, 56, FALSE)</f>
        <v>1.58</v>
      </c>
      <c r="F2" s="65">
        <f>HLOOKUP($B2, 'J-Class_CC_Filtered'!$G$5:$L$63, 57, FALSE)</f>
        <v>2.48</v>
      </c>
      <c r="G2" s="65">
        <f>HLOOKUP($B2, 'J-Class_CC_Filtered'!$G$5:$L$63, 4, FALSE)</f>
        <v>517.9</v>
      </c>
      <c r="H2" s="65">
        <f>HLOOKUP($B2, 'J-Class_CC_Filtered'!$G$5:$L$63, 5, FALSE)</f>
        <v>547.79999999999995</v>
      </c>
      <c r="I2" s="65">
        <f>HLOOKUP($B2, 'J-Class_CC_Filtered'!$G$5:$L$63, 58, FALSE)</f>
        <v>600</v>
      </c>
      <c r="J2" s="65">
        <f>HLOOKUP($B2, 'J-Class_CC_Filtered'!$G$5:$L$63, 53, FALSE)</f>
        <v>3490</v>
      </c>
      <c r="K2" s="65">
        <f>HLOOKUP($B2, 'J-Class_CC_Filtered'!$G$5:$L$63, 59, FALSE)</f>
        <v>26600</v>
      </c>
      <c r="L2" s="65">
        <f>HLOOKUP($B2, 'J-Class_CC_Filtered'!$G$5:$L$63, 20, FALSE)</f>
        <v>26.693333333333332</v>
      </c>
      <c r="M2" s="65">
        <f>HLOOKUP($B2, 'J-Class_CC_Filtered'!$G$5:$L$63, 21, FALSE)</f>
        <v>6.8755555555555556</v>
      </c>
      <c r="N2" s="65">
        <f>HLOOKUP($B2, 'J-Class_CC_Filtered'!$G$5:$L$63, 22, FALSE)</f>
        <v>411320</v>
      </c>
      <c r="O2" s="65">
        <f>HLOOKUP($B2, 'J-Class_CC_Filtered'!$G$5:$L$63, 24, FALSE)</f>
        <v>26.567619047619047</v>
      </c>
      <c r="P2" s="65">
        <f>HLOOKUP($B2, 'J-Class_CC_Filtered'!$G$5:$L$63, 25, FALSE)</f>
        <v>6.843174603174603</v>
      </c>
      <c r="Q2" s="65">
        <f>HLOOKUP($B2, 'J-Class_CC_Filtered'!$G$5:$L$63, 26, FALSE)</f>
        <v>409382.85714285716</v>
      </c>
      <c r="R2" s="65">
        <f>HLOOKUP($B2, 'J-Class_CC_Filtered'!$G$5:$L$63, 28, FALSE)</f>
        <v>97.066666666666663</v>
      </c>
      <c r="S2" s="65">
        <f>HLOOKUP($B2, 'J-Class_CC_Filtered'!$G$5:$L$63, 29, FALSE)</f>
        <v>5.358888888888889</v>
      </c>
      <c r="T2" s="65">
        <f>HLOOKUP($B2, 'J-Class_CC_Filtered'!$G$5:$L$63, 30, FALSE)</f>
        <v>558133.33333333337</v>
      </c>
      <c r="U2" s="65">
        <f>HLOOKUP($B2, 'J-Class_CC_Filtered'!$G$5:$L$63, 32, FALSE)</f>
        <v>96.609523809523807</v>
      </c>
      <c r="V2" s="65">
        <f>HLOOKUP($B2, 'J-Class_CC_Filtered'!$G$5:$L$63, 33, FALSE)</f>
        <v>5.3336507936507935</v>
      </c>
      <c r="W2" s="65">
        <f>HLOOKUP($B2, 'J-Class_CC_Filtered'!$G$5:$L$63, 34, FALSE)</f>
        <v>555504.76190476189</v>
      </c>
      <c r="X2" s="65">
        <f>1-HLOOKUP($B2, 'J-Class_CC_Filtered'!$G$5:$L$63, 54, FALSE)</f>
        <v>0.9708</v>
      </c>
      <c r="Y2" s="65">
        <f>HLOOKUP($B2, 'J-Class_CC_Filtered'!$G$5:$L$63, 16, FALSE)</f>
        <v>7130</v>
      </c>
      <c r="Z2" s="65">
        <f>HLOOKUP($B2, 'J-Class_CC_Filtered'!$G$5:$L$63, 17, FALSE)</f>
        <v>7540</v>
      </c>
      <c r="AA2" s="65">
        <f>HLOOKUP($B2, 'J-Class_CC_Filtered'!$G$5:$L$63, 36, FALSE)</f>
        <v>29.878095238095238</v>
      </c>
      <c r="AB2" s="65">
        <f>HLOOKUP($B2, 'J-Class_CC_Filtered'!$G$5:$L$63, 37, FALSE)</f>
        <v>7.6958730158730155</v>
      </c>
      <c r="AC2" s="65">
        <f>HLOOKUP($B2, 'J-Class_CC_Filtered'!$G$5:$L$63, 38, FALSE)</f>
        <v>460394.28571428574</v>
      </c>
      <c r="AD2" s="65">
        <f>HLOOKUP($B2, 'J-Class_CC_Filtered'!$G$5:$L$63, 40, FALSE)</f>
        <v>31.596190476190475</v>
      </c>
      <c r="AE2" s="65">
        <f>HLOOKUP($B2, 'J-Class_CC_Filtered'!$G$5:$L$63, 41, FALSE)</f>
        <v>8.138412698412699</v>
      </c>
      <c r="AF2" s="65">
        <f>HLOOKUP($B2, 'J-Class_CC_Filtered'!$G$5:$L$63, 42, FALSE)</f>
        <v>486868.57142857142</v>
      </c>
      <c r="AG2" s="65">
        <f>HLOOKUP($B2, 'J-Class_CC_Filtered'!$G$5:$L$63, 44, FALSE)</f>
        <v>108.64761904761905</v>
      </c>
      <c r="AH2" s="65">
        <f>HLOOKUP($B2, 'J-Class_CC_Filtered'!$G$5:$L$63, 45, FALSE)</f>
        <v>5.9982539682539686</v>
      </c>
      <c r="AI2" s="65">
        <f>HLOOKUP($B2, 'J-Class_CC_Filtered'!$G$5:$L$63, 46, FALSE)</f>
        <v>624723.80952380947</v>
      </c>
      <c r="AJ2" s="65">
        <f>HLOOKUP($B2, 'J-Class_CC_Filtered'!$G$5:$L$63, 48, FALSE)</f>
        <v>114.8952380952381</v>
      </c>
      <c r="AK2" s="65">
        <f>HLOOKUP($B2, 'J-Class_CC_Filtered'!$G$5:$L$63, 49, FALSE)</f>
        <v>6.343174603174603</v>
      </c>
      <c r="AL2" s="65">
        <f>HLOOKUP($B2, 'J-Class_CC_Filtered'!$G$5:$L$63, 50, FALSE)</f>
        <v>660647.61904761905</v>
      </c>
      <c r="AM2" s="65">
        <f>HLOOKUP($B2, 'J-Class_CC_Filtered'!$G$5:$L$63, 8, FALSE)</f>
        <v>235.7</v>
      </c>
      <c r="AN2" s="65">
        <f>HLOOKUP($B2, 'J-Class_CC_Filtered'!$G$5:$L$63, 9, FALSE)</f>
        <v>199.5</v>
      </c>
    </row>
    <row r="3" spans="1:40" x14ac:dyDescent="0.2">
      <c r="A3" s="10" t="s">
        <v>31</v>
      </c>
      <c r="B3" s="46" t="s">
        <v>28</v>
      </c>
      <c r="C3" s="51">
        <f>HLOOKUP($B3, 'J-Class_CC_Filtered'!$G$5:$L$63, 12, FALSE)</f>
        <v>6370</v>
      </c>
      <c r="D3" s="51">
        <f>HLOOKUP($B3, 'J-Class_CC_Filtered'!$G$5:$L$63, 13, FALSE)</f>
        <v>6350</v>
      </c>
      <c r="E3" s="65">
        <f>HLOOKUP($B3, 'J-Class_CC_Filtered'!$G$5:$L$63, 56, FALSE)</f>
        <v>1.6099999999999999</v>
      </c>
      <c r="F3" s="65">
        <f>HLOOKUP($B3, 'J-Class_CC_Filtered'!$G$5:$L$63, 57, FALSE)</f>
        <v>2.84</v>
      </c>
      <c r="G3" s="65">
        <f>HLOOKUP($B3, 'J-Class_CC_Filtered'!$G$5:$L$63, 4, FALSE)</f>
        <v>512.29999999999995</v>
      </c>
      <c r="H3" s="65">
        <f>HLOOKUP($B3, 'J-Class_CC_Filtered'!$G$5:$L$63, 5, FALSE)</f>
        <v>546.70000000000005</v>
      </c>
      <c r="I3" s="65">
        <f>HLOOKUP($B3, 'J-Class_CC_Filtered'!$G$5:$L$63, 58, FALSE)</f>
        <v>600</v>
      </c>
      <c r="J3" s="65">
        <f>HLOOKUP($B3, 'J-Class_CC_Filtered'!$G$5:$L$63, 53, FALSE)</f>
        <v>3490</v>
      </c>
      <c r="K3" s="65">
        <f>HLOOKUP($B3, 'J-Class_CC_Filtered'!$G$5:$L$63, 59, FALSE)</f>
        <v>26600</v>
      </c>
      <c r="L3" s="65">
        <f>HLOOKUP($B3, 'J-Class_CC_Filtered'!$G$5:$L$63, 20, FALSE)</f>
        <v>26.651030110935025</v>
      </c>
      <c r="M3" s="65">
        <f>HLOOKUP($B3, 'J-Class_CC_Filtered'!$G$5:$L$63, 21, FALSE)</f>
        <v>6.8646592709984153</v>
      </c>
      <c r="N3" s="65">
        <f>HLOOKUP($B3, 'J-Class_CC_Filtered'!$G$5:$L$63, 22, FALSE)</f>
        <v>410668.14580031694</v>
      </c>
      <c r="O3" s="65">
        <f>HLOOKUP($B3, 'J-Class_CC_Filtered'!$G$5:$L$63, 24, FALSE)</f>
        <v>26.567353407290017</v>
      </c>
      <c r="P3" s="65">
        <f>HLOOKUP($B3, 'J-Class_CC_Filtered'!$G$5:$L$63, 25, FALSE)</f>
        <v>6.8431061806656102</v>
      </c>
      <c r="Q3" s="65">
        <f>HLOOKUP($B3, 'J-Class_CC_Filtered'!$G$5:$L$63, 26, FALSE)</f>
        <v>409378.763866878</v>
      </c>
      <c r="R3" s="65">
        <f>HLOOKUP($B3, 'J-Class_CC_Filtered'!$G$5:$L$63, 28, FALSE)</f>
        <v>96.912836767036453</v>
      </c>
      <c r="S3" s="65">
        <f>HLOOKUP($B3, 'J-Class_CC_Filtered'!$G$5:$L$63, 29, FALSE)</f>
        <v>5.3503961965134703</v>
      </c>
      <c r="T3" s="65">
        <f>HLOOKUP($B3, 'J-Class_CC_Filtered'!$G$5:$L$63, 30, FALSE)</f>
        <v>557248.81141045957</v>
      </c>
      <c r="U3" s="65">
        <f>HLOOKUP($B3, 'J-Class_CC_Filtered'!$G$5:$L$63, 32, FALSE)</f>
        <v>96.608557844690964</v>
      </c>
      <c r="V3" s="65">
        <f>HLOOKUP($B3, 'J-Class_CC_Filtered'!$G$5:$L$63, 33, FALSE)</f>
        <v>5.3335974643423141</v>
      </c>
      <c r="W3" s="65">
        <f>HLOOKUP($B3, 'J-Class_CC_Filtered'!$G$5:$L$63, 34, FALSE)</f>
        <v>555499.20760697301</v>
      </c>
      <c r="X3" s="65">
        <f>1-HLOOKUP($B3, 'J-Class_CC_Filtered'!$G$5:$L$63, 54, FALSE)</f>
        <v>0.9708</v>
      </c>
      <c r="Y3" s="65">
        <f>HLOOKUP($B3, 'J-Class_CC_Filtered'!$G$5:$L$63, 16, FALSE)</f>
        <v>7180</v>
      </c>
      <c r="Z3" s="65">
        <f>HLOOKUP($B3, 'J-Class_CC_Filtered'!$G$5:$L$63, 17, FALSE)</f>
        <v>7530</v>
      </c>
      <c r="AA3" s="65">
        <f>HLOOKUP($B3, 'J-Class_CC_Filtered'!$G$5:$L$63, 36, FALSE)</f>
        <v>30.039936608557845</v>
      </c>
      <c r="AB3" s="65">
        <f>HLOOKUP($B3, 'J-Class_CC_Filtered'!$G$5:$L$63, 37, FALSE)</f>
        <v>7.7375594294770202</v>
      </c>
      <c r="AC3" s="65">
        <f>HLOOKUP($B3, 'J-Class_CC_Filtered'!$G$5:$L$63, 38, FALSE)</f>
        <v>462888.11410459591</v>
      </c>
      <c r="AD3" s="65">
        <f>HLOOKUP($B3, 'J-Class_CC_Filtered'!$G$5:$L$63, 40, FALSE)</f>
        <v>31.504278922345485</v>
      </c>
      <c r="AE3" s="65">
        <f>HLOOKUP($B3, 'J-Class_CC_Filtered'!$G$5:$L$63, 41, FALSE)</f>
        <v>8.1147385103011089</v>
      </c>
      <c r="AF3" s="65">
        <f>HLOOKUP($B3, 'J-Class_CC_Filtered'!$G$5:$L$63, 42, FALSE)</f>
        <v>485452.29793977813</v>
      </c>
      <c r="AG3" s="65">
        <f>HLOOKUP($B3, 'J-Class_CC_Filtered'!$G$5:$L$63, 44, FALSE)</f>
        <v>109.23613312202852</v>
      </c>
      <c r="AH3" s="65">
        <f>HLOOKUP($B3, 'J-Class_CC_Filtered'!$G$5:$L$63, 45, FALSE)</f>
        <v>6.0307448494453251</v>
      </c>
      <c r="AI3" s="65">
        <f>HLOOKUP($B3, 'J-Class_CC_Filtered'!$G$5:$L$63, 46, FALSE)</f>
        <v>628107.76545166399</v>
      </c>
      <c r="AJ3" s="65">
        <f>HLOOKUP($B3, 'J-Class_CC_Filtered'!$G$5:$L$63, 48, FALSE)</f>
        <v>114.56101426307448</v>
      </c>
      <c r="AK3" s="65">
        <f>HLOOKUP($B3, 'J-Class_CC_Filtered'!$G$5:$L$63, 49, FALSE)</f>
        <v>6.3247226624405704</v>
      </c>
      <c r="AL3" s="65">
        <f>HLOOKUP($B3, 'J-Class_CC_Filtered'!$G$5:$L$63, 50, FALSE)</f>
        <v>658725.83201267826</v>
      </c>
      <c r="AM3" s="65">
        <f>HLOOKUP($B3, 'J-Class_CC_Filtered'!$G$5:$L$63, 8, FALSE)</f>
        <v>232.3</v>
      </c>
      <c r="AN3" s="65">
        <f>HLOOKUP($B3, 'J-Class_CC_Filtered'!$G$5:$L$63, 9, FALSE)</f>
        <v>199.3</v>
      </c>
    </row>
    <row r="4" spans="1:40" x14ac:dyDescent="0.2">
      <c r="A4" s="10" t="s">
        <v>54</v>
      </c>
      <c r="B4" s="46" t="s">
        <v>20</v>
      </c>
      <c r="C4" s="51">
        <f>HLOOKUP($B4, 'J-Class_CC_Filtered'!$G$5:$L$63, 12, FALSE)</f>
        <v>6360</v>
      </c>
      <c r="D4" s="51">
        <f>HLOOKUP($B4, 'J-Class_CC_Filtered'!$G$5:$L$63, 13, FALSE)</f>
        <v>6350</v>
      </c>
      <c r="E4" s="65">
        <f>HLOOKUP($B4, 'J-Class_CC_Filtered'!$G$5:$L$63, 56, FALSE)</f>
        <v>1.5899999999999999</v>
      </c>
      <c r="F4" s="65">
        <f>HLOOKUP($B4, 'J-Class_CC_Filtered'!$G$5:$L$63, 57, FALSE)</f>
        <v>2.4500000000000002</v>
      </c>
      <c r="G4" s="65">
        <f>HLOOKUP($B4, 'J-Class_CC_Filtered'!$G$5:$L$63, 4, FALSE)</f>
        <v>514.70000000000005</v>
      </c>
      <c r="H4" s="65">
        <f>HLOOKUP($B4, 'J-Class_CC_Filtered'!$G$5:$L$63, 5, FALSE)</f>
        <v>544.79999999999995</v>
      </c>
      <c r="I4" s="65">
        <f>HLOOKUP($B4, 'J-Class_CC_Filtered'!$G$5:$L$63, 58, FALSE)</f>
        <v>600</v>
      </c>
      <c r="J4" s="65">
        <f>HLOOKUP($B4, 'J-Class_CC_Filtered'!$G$5:$L$63, 53, FALSE)</f>
        <v>3490</v>
      </c>
      <c r="K4" s="65">
        <f>HLOOKUP($B4, 'J-Class_CC_Filtered'!$G$5:$L$63, 59, FALSE)</f>
        <v>26600</v>
      </c>
      <c r="L4" s="65">
        <f>HLOOKUP($B4, 'J-Class_CC_Filtered'!$G$5:$L$63, 20, FALSE)</f>
        <v>26.651428571428571</v>
      </c>
      <c r="M4" s="65">
        <f>HLOOKUP($B4, 'J-Class_CC_Filtered'!$G$5:$L$63, 21, FALSE)</f>
        <v>6.7638095238095239</v>
      </c>
      <c r="N4" s="65">
        <f>HLOOKUP($B4, 'J-Class_CC_Filtered'!$G$5:$L$63, 22, FALSE)</f>
        <v>408251.42857142858</v>
      </c>
      <c r="O4" s="65">
        <f>HLOOKUP($B4, 'J-Class_CC_Filtered'!$G$5:$L$63, 24, FALSE)</f>
        <v>26.609523809523811</v>
      </c>
      <c r="P4" s="65">
        <f>HLOOKUP($B4, 'J-Class_CC_Filtered'!$G$5:$L$63, 25, FALSE)</f>
        <v>6.7531746031746032</v>
      </c>
      <c r="Q4" s="65">
        <f>HLOOKUP($B4, 'J-Class_CC_Filtered'!$G$5:$L$63, 26, FALSE)</f>
        <v>407609.52380952379</v>
      </c>
      <c r="R4" s="65">
        <f>HLOOKUP($B4, 'J-Class_CC_Filtered'!$G$5:$L$63, 28, FALSE)</f>
        <v>96.914285714285711</v>
      </c>
      <c r="S4" s="65">
        <f>HLOOKUP($B4, 'J-Class_CC_Filtered'!$G$5:$L$63, 29, FALSE)</f>
        <v>5.2495238095238097</v>
      </c>
      <c r="T4" s="65">
        <f>HLOOKUP($B4, 'J-Class_CC_Filtered'!$G$5:$L$63, 30, FALSE)</f>
        <v>554026.66666666663</v>
      </c>
      <c r="U4" s="65">
        <f>HLOOKUP($B4, 'J-Class_CC_Filtered'!$G$5:$L$63, 32, FALSE)</f>
        <v>96.761904761904759</v>
      </c>
      <c r="V4" s="65">
        <f>HLOOKUP($B4, 'J-Class_CC_Filtered'!$G$5:$L$63, 33, FALSE)</f>
        <v>5.2412698412698413</v>
      </c>
      <c r="W4" s="65">
        <f>HLOOKUP($B4, 'J-Class_CC_Filtered'!$G$5:$L$63, 34, FALSE)</f>
        <v>553155.5555555555</v>
      </c>
      <c r="X4" s="65">
        <f>1-HLOOKUP($B4, 'J-Class_CC_Filtered'!$G$5:$L$63, 54, FALSE)</f>
        <v>0.9708</v>
      </c>
      <c r="Y4" s="65">
        <f>HLOOKUP($B4, 'J-Class_CC_Filtered'!$G$5:$L$63, 16, FALSE)</f>
        <v>7130</v>
      </c>
      <c r="Z4" s="65">
        <f>HLOOKUP($B4, 'J-Class_CC_Filtered'!$G$5:$L$63, 17, FALSE)</f>
        <v>7550</v>
      </c>
      <c r="AA4" s="65">
        <f>HLOOKUP($B4, 'J-Class_CC_Filtered'!$G$5:$L$63, 36, FALSE)</f>
        <v>29.878095238095238</v>
      </c>
      <c r="AB4" s="65">
        <f>HLOOKUP($B4, 'J-Class_CC_Filtered'!$G$5:$L$63, 37, FALSE)</f>
        <v>7.5826984126984129</v>
      </c>
      <c r="AC4" s="65">
        <f>HLOOKUP($B4, 'J-Class_CC_Filtered'!$G$5:$L$63, 38, FALSE)</f>
        <v>457678.09523809527</v>
      </c>
      <c r="AD4" s="65">
        <f>HLOOKUP($B4, 'J-Class_CC_Filtered'!$G$5:$L$63, 40, FALSE)</f>
        <v>31.638095238095239</v>
      </c>
      <c r="AE4" s="65">
        <f>HLOOKUP($B4, 'J-Class_CC_Filtered'!$G$5:$L$63, 41, FALSE)</f>
        <v>8.0293650793650801</v>
      </c>
      <c r="AF4" s="65">
        <f>HLOOKUP($B4, 'J-Class_CC_Filtered'!$G$5:$L$63, 42, FALSE)</f>
        <v>484638.09523809527</v>
      </c>
      <c r="AG4" s="65">
        <f>HLOOKUP($B4, 'J-Class_CC_Filtered'!$G$5:$L$63, 44, FALSE)</f>
        <v>108.64761904761905</v>
      </c>
      <c r="AH4" s="65">
        <f>HLOOKUP($B4, 'J-Class_CC_Filtered'!$G$5:$L$63, 45, FALSE)</f>
        <v>5.8850793650793651</v>
      </c>
      <c r="AI4" s="65">
        <f>HLOOKUP($B4, 'J-Class_CC_Filtered'!$G$5:$L$63, 46, FALSE)</f>
        <v>621102.22222222225</v>
      </c>
      <c r="AJ4" s="65">
        <f>HLOOKUP($B4, 'J-Class_CC_Filtered'!$G$5:$L$63, 48, FALSE)</f>
        <v>115.04761904761905</v>
      </c>
      <c r="AK4" s="65">
        <f>HLOOKUP($B4, 'J-Class_CC_Filtered'!$G$5:$L$63, 49, FALSE)</f>
        <v>6.2317460317460318</v>
      </c>
      <c r="AL4" s="65">
        <f>HLOOKUP($B4, 'J-Class_CC_Filtered'!$G$5:$L$63, 50, FALSE)</f>
        <v>657688.88888888888</v>
      </c>
      <c r="AM4" s="65">
        <f>HLOOKUP($B4, 'J-Class_CC_Filtered'!$G$5:$L$63, 8, FALSE)</f>
        <v>234</v>
      </c>
      <c r="AN4" s="65">
        <f>HLOOKUP($B4, 'J-Class_CC_Filtered'!$G$5:$L$63, 9, FALSE)</f>
        <v>198.7</v>
      </c>
    </row>
    <row r="5" spans="1:40" x14ac:dyDescent="0.2">
      <c r="A5" s="10" t="s">
        <v>36</v>
      </c>
      <c r="B5" s="46" t="s">
        <v>21</v>
      </c>
      <c r="C5" s="51">
        <f>HLOOKUP($B5, 'J-Class_CC_Filtered'!$G$5:$L$63, 12, FALSE)</f>
        <v>6360</v>
      </c>
      <c r="D5" s="51">
        <f>HLOOKUP($B5, 'J-Class_CC_Filtered'!$G$5:$L$63, 13, FALSE)</f>
        <v>6350</v>
      </c>
      <c r="E5" s="65">
        <f>HLOOKUP($B5, 'J-Class_CC_Filtered'!$G$5:$L$63, 56, FALSE)</f>
        <v>1.5899999999999999</v>
      </c>
      <c r="F5" s="65">
        <f>HLOOKUP($B5, 'J-Class_CC_Filtered'!$G$5:$L$63, 57, FALSE)</f>
        <v>2.4500000000000002</v>
      </c>
      <c r="G5" s="65">
        <f>HLOOKUP($B5, 'J-Class_CC_Filtered'!$G$5:$L$63, 4, FALSE)</f>
        <v>514.70000000000005</v>
      </c>
      <c r="H5" s="65">
        <f>HLOOKUP($B5, 'J-Class_CC_Filtered'!$G$5:$L$63, 5, FALSE)</f>
        <v>544.79999999999995</v>
      </c>
      <c r="I5" s="65">
        <f>HLOOKUP($B5, 'J-Class_CC_Filtered'!$G$5:$L$63, 58, FALSE)</f>
        <v>600</v>
      </c>
      <c r="J5" s="65">
        <f>HLOOKUP($B5, 'J-Class_CC_Filtered'!$G$5:$L$63, 53, FALSE)</f>
        <v>3490</v>
      </c>
      <c r="K5" s="65">
        <f>HLOOKUP($B5, 'J-Class_CC_Filtered'!$G$5:$L$63, 59, FALSE)</f>
        <v>26600</v>
      </c>
      <c r="L5" s="65">
        <f>HLOOKUP($B5, 'J-Class_CC_Filtered'!$G$5:$L$63, 20, FALSE)</f>
        <v>26.651428571428571</v>
      </c>
      <c r="M5" s="65">
        <f>HLOOKUP($B5, 'J-Class_CC_Filtered'!$G$5:$L$63, 21, FALSE)</f>
        <v>6.7638095238095239</v>
      </c>
      <c r="N5" s="65">
        <f>HLOOKUP($B5, 'J-Class_CC_Filtered'!$G$5:$L$63, 22, FALSE)</f>
        <v>408251.42857142858</v>
      </c>
      <c r="O5" s="65">
        <f>HLOOKUP($B5, 'J-Class_CC_Filtered'!$G$5:$L$63, 24, FALSE)</f>
        <v>26.609523809523811</v>
      </c>
      <c r="P5" s="65">
        <f>HLOOKUP($B5, 'J-Class_CC_Filtered'!$G$5:$L$63, 25, FALSE)</f>
        <v>6.7531746031746032</v>
      </c>
      <c r="Q5" s="65">
        <f>HLOOKUP($B5, 'J-Class_CC_Filtered'!$G$5:$L$63, 26, FALSE)</f>
        <v>407609.52380952379</v>
      </c>
      <c r="R5" s="65">
        <f>HLOOKUP($B5, 'J-Class_CC_Filtered'!$G$5:$L$63, 28, FALSE)</f>
        <v>96.914285714285711</v>
      </c>
      <c r="S5" s="65">
        <f>HLOOKUP($B5, 'J-Class_CC_Filtered'!$G$5:$L$63, 29, FALSE)</f>
        <v>5.2495238095238097</v>
      </c>
      <c r="T5" s="65">
        <f>HLOOKUP($B5, 'J-Class_CC_Filtered'!$G$5:$L$63, 30, FALSE)</f>
        <v>554026.66666666663</v>
      </c>
      <c r="U5" s="65">
        <f>HLOOKUP($B5, 'J-Class_CC_Filtered'!$G$5:$L$63, 32, FALSE)</f>
        <v>96.761904761904759</v>
      </c>
      <c r="V5" s="65">
        <f>HLOOKUP($B5, 'J-Class_CC_Filtered'!$G$5:$L$63, 33, FALSE)</f>
        <v>5.2412698412698413</v>
      </c>
      <c r="W5" s="65">
        <f>HLOOKUP($B5, 'J-Class_CC_Filtered'!$G$5:$L$63, 34, FALSE)</f>
        <v>553155.5555555555</v>
      </c>
      <c r="X5" s="65">
        <f>1-HLOOKUP($B5, 'J-Class_CC_Filtered'!$G$5:$L$63, 54, FALSE)</f>
        <v>0.9708</v>
      </c>
      <c r="Y5" s="65">
        <f>HLOOKUP($B5, 'J-Class_CC_Filtered'!$G$5:$L$63, 16, FALSE)</f>
        <v>7130</v>
      </c>
      <c r="Z5" s="65">
        <f>HLOOKUP($B5, 'J-Class_CC_Filtered'!$G$5:$L$63, 17, FALSE)</f>
        <v>7550</v>
      </c>
      <c r="AA5" s="65">
        <f>HLOOKUP($B5, 'J-Class_CC_Filtered'!$G$5:$L$63, 36, FALSE)</f>
        <v>29.878095238095238</v>
      </c>
      <c r="AB5" s="65">
        <f>HLOOKUP($B5, 'J-Class_CC_Filtered'!$G$5:$L$63, 37, FALSE)</f>
        <v>7.5826984126984129</v>
      </c>
      <c r="AC5" s="65">
        <f>HLOOKUP($B5, 'J-Class_CC_Filtered'!$G$5:$L$63, 38, FALSE)</f>
        <v>457678.09523809527</v>
      </c>
      <c r="AD5" s="65">
        <f>HLOOKUP($B5, 'J-Class_CC_Filtered'!$G$5:$L$63, 40, FALSE)</f>
        <v>31.638095238095239</v>
      </c>
      <c r="AE5" s="65">
        <f>HLOOKUP($B5, 'J-Class_CC_Filtered'!$G$5:$L$63, 41, FALSE)</f>
        <v>8.0293650793650801</v>
      </c>
      <c r="AF5" s="65">
        <f>HLOOKUP($B5, 'J-Class_CC_Filtered'!$G$5:$L$63, 42, FALSE)</f>
        <v>484638.09523809527</v>
      </c>
      <c r="AG5" s="65">
        <f>HLOOKUP($B5, 'J-Class_CC_Filtered'!$G$5:$L$63, 44, FALSE)</f>
        <v>108.64761904761905</v>
      </c>
      <c r="AH5" s="65">
        <f>HLOOKUP($B5, 'J-Class_CC_Filtered'!$G$5:$L$63, 45, FALSE)</f>
        <v>5.8850793650793651</v>
      </c>
      <c r="AI5" s="65">
        <f>HLOOKUP($B5, 'J-Class_CC_Filtered'!$G$5:$L$63, 46, FALSE)</f>
        <v>621102.22222222225</v>
      </c>
      <c r="AJ5" s="65">
        <f>HLOOKUP($B5, 'J-Class_CC_Filtered'!$G$5:$L$63, 48, FALSE)</f>
        <v>115.04761904761905</v>
      </c>
      <c r="AK5" s="65">
        <f>HLOOKUP($B5, 'J-Class_CC_Filtered'!$G$5:$L$63, 49, FALSE)</f>
        <v>6.2317460317460318</v>
      </c>
      <c r="AL5" s="65">
        <f>HLOOKUP($B5, 'J-Class_CC_Filtered'!$G$5:$L$63, 50, FALSE)</f>
        <v>657688.88888888888</v>
      </c>
      <c r="AM5" s="65">
        <f>HLOOKUP($B5, 'J-Class_CC_Filtered'!$G$5:$L$63, 8, FALSE)</f>
        <v>234</v>
      </c>
      <c r="AN5" s="65">
        <f>HLOOKUP($B5, 'J-Class_CC_Filtered'!$G$5:$L$63, 9, FALSE)</f>
        <v>198.7</v>
      </c>
    </row>
    <row r="6" spans="1:40" x14ac:dyDescent="0.2">
      <c r="A6" s="10" t="s">
        <v>30</v>
      </c>
      <c r="B6" s="46" t="s">
        <v>4</v>
      </c>
      <c r="C6" s="51">
        <f>HLOOKUP($B6, 'J-Class_CC_Filtered'!$G$5:$L$63, 12, FALSE)</f>
        <v>6360</v>
      </c>
      <c r="D6" s="51">
        <f>HLOOKUP($B6, 'J-Class_CC_Filtered'!$G$5:$L$63, 13, FALSE)</f>
        <v>6360</v>
      </c>
      <c r="E6" s="65">
        <f>HLOOKUP($B6, 'J-Class_CC_Filtered'!$G$5:$L$63, 56, FALSE)</f>
        <v>1.5899999999999999</v>
      </c>
      <c r="F6" s="65">
        <f>HLOOKUP($B6, 'J-Class_CC_Filtered'!$G$5:$L$63, 57, FALSE)</f>
        <v>2.4500000000000002</v>
      </c>
      <c r="G6" s="65">
        <f>HLOOKUP($B6, 'J-Class_CC_Filtered'!$G$5:$L$63, 4, FALSE)</f>
        <v>513.29999999999995</v>
      </c>
      <c r="H6" s="65">
        <f>HLOOKUP($B6, 'J-Class_CC_Filtered'!$G$5:$L$63, 5, FALSE)</f>
        <v>542.1</v>
      </c>
      <c r="I6" s="65">
        <f>HLOOKUP($B6, 'J-Class_CC_Filtered'!$G$5:$L$63, 58, FALSE)</f>
        <v>600</v>
      </c>
      <c r="J6" s="65">
        <f>HLOOKUP($B6, 'J-Class_CC_Filtered'!$G$5:$L$63, 53, FALSE)</f>
        <v>3490</v>
      </c>
      <c r="K6" s="65">
        <f>HLOOKUP($B6, 'J-Class_CC_Filtered'!$G$5:$L$63, 59, FALSE)</f>
        <v>26600</v>
      </c>
      <c r="L6" s="65">
        <f>HLOOKUP($B6, 'J-Class_CC_Filtered'!$G$5:$L$63, 20, FALSE)</f>
        <v>26.651428571428571</v>
      </c>
      <c r="M6" s="65">
        <f>HLOOKUP($B6, 'J-Class_CC_Filtered'!$G$5:$L$63, 21, FALSE)</f>
        <v>6.7638095238095239</v>
      </c>
      <c r="N6" s="65">
        <f>HLOOKUP($B6, 'J-Class_CC_Filtered'!$G$5:$L$63, 22, FALSE)</f>
        <v>407040</v>
      </c>
      <c r="O6" s="65">
        <f>HLOOKUP($B6, 'J-Class_CC_Filtered'!$G$5:$L$63, 24, FALSE)</f>
        <v>26.651428571428571</v>
      </c>
      <c r="P6" s="65">
        <f>HLOOKUP($B6, 'J-Class_CC_Filtered'!$G$5:$L$63, 25, FALSE)</f>
        <v>6.7638095238095239</v>
      </c>
      <c r="Q6" s="65">
        <f>HLOOKUP($B6, 'J-Class_CC_Filtered'!$G$5:$L$63, 26, FALSE)</f>
        <v>407040</v>
      </c>
      <c r="R6" s="65">
        <f>HLOOKUP($B6, 'J-Class_CC_Filtered'!$G$5:$L$63, 28, FALSE)</f>
        <v>96.914285714285711</v>
      </c>
      <c r="S6" s="65">
        <f>HLOOKUP($B6, 'J-Class_CC_Filtered'!$G$5:$L$63, 29, FALSE)</f>
        <v>5.2495238095238097</v>
      </c>
      <c r="T6" s="65">
        <f>HLOOKUP($B6, 'J-Class_CC_Filtered'!$G$5:$L$63, 30, FALSE)</f>
        <v>552411.42857142852</v>
      </c>
      <c r="U6" s="65">
        <f>HLOOKUP($B6, 'J-Class_CC_Filtered'!$G$5:$L$63, 32, FALSE)</f>
        <v>96.914285714285711</v>
      </c>
      <c r="V6" s="65">
        <f>HLOOKUP($B6, 'J-Class_CC_Filtered'!$G$5:$L$63, 33, FALSE)</f>
        <v>5.2495238095238097</v>
      </c>
      <c r="W6" s="65">
        <f>HLOOKUP($B6, 'J-Class_CC_Filtered'!$G$5:$L$63, 34, FALSE)</f>
        <v>552411.42857142852</v>
      </c>
      <c r="X6" s="65">
        <f>1-HLOOKUP($B6, 'J-Class_CC_Filtered'!$G$5:$L$63, 54, FALSE)</f>
        <v>0.9708</v>
      </c>
      <c r="Y6" s="65">
        <f>HLOOKUP($B6, 'J-Class_CC_Filtered'!$G$5:$L$63, 16, FALSE)</f>
        <v>7130</v>
      </c>
      <c r="Z6" s="65">
        <f>HLOOKUP($B6, 'J-Class_CC_Filtered'!$G$5:$L$63, 17, FALSE)</f>
        <v>7560</v>
      </c>
      <c r="AA6" s="65">
        <f>HLOOKUP($B6, 'J-Class_CC_Filtered'!$G$5:$L$63, 36, FALSE)</f>
        <v>29.878095238095238</v>
      </c>
      <c r="AB6" s="65">
        <f>HLOOKUP($B6, 'J-Class_CC_Filtered'!$G$5:$L$63, 37, FALSE)</f>
        <v>7.5826984126984129</v>
      </c>
      <c r="AC6" s="65">
        <f>HLOOKUP($B6, 'J-Class_CC_Filtered'!$G$5:$L$63, 38, FALSE)</f>
        <v>456320</v>
      </c>
      <c r="AD6" s="65">
        <f>HLOOKUP($B6, 'J-Class_CC_Filtered'!$G$5:$L$63, 40, FALSE)</f>
        <v>31.68</v>
      </c>
      <c r="AE6" s="65">
        <f>HLOOKUP($B6, 'J-Class_CC_Filtered'!$G$5:$L$63, 41, FALSE)</f>
        <v>8.0399999999999991</v>
      </c>
      <c r="AF6" s="65">
        <f>HLOOKUP($B6, 'J-Class_CC_Filtered'!$G$5:$L$63, 42, FALSE)</f>
        <v>483840</v>
      </c>
      <c r="AG6" s="65">
        <f>HLOOKUP($B6, 'J-Class_CC_Filtered'!$G$5:$L$63, 44, FALSE)</f>
        <v>108.64761904761905</v>
      </c>
      <c r="AH6" s="65">
        <f>HLOOKUP($B6, 'J-Class_CC_Filtered'!$G$5:$L$63, 45, FALSE)</f>
        <v>5.8850793650793651</v>
      </c>
      <c r="AI6" s="65">
        <f>HLOOKUP($B6, 'J-Class_CC_Filtered'!$G$5:$L$63, 46, FALSE)</f>
        <v>619291.42857142852</v>
      </c>
      <c r="AJ6" s="65">
        <f>HLOOKUP($B6, 'J-Class_CC_Filtered'!$G$5:$L$63, 48, FALSE)</f>
        <v>115.2</v>
      </c>
      <c r="AK6" s="65">
        <f>HLOOKUP($B6, 'J-Class_CC_Filtered'!$G$5:$L$63, 49, FALSE)</f>
        <v>6.24</v>
      </c>
      <c r="AL6" s="65">
        <f>HLOOKUP($B6, 'J-Class_CC_Filtered'!$G$5:$L$63, 50, FALSE)</f>
        <v>656640</v>
      </c>
      <c r="AM6" s="65">
        <f>HLOOKUP($B6, 'J-Class_CC_Filtered'!$G$5:$L$63, 8, FALSE)</f>
        <v>233.4</v>
      </c>
      <c r="AN6" s="65">
        <f>HLOOKUP($B6, 'J-Class_CC_Filtered'!$G$5:$L$63, 9, FALSE)</f>
        <v>198</v>
      </c>
    </row>
    <row r="7" spans="1:40" x14ac:dyDescent="0.2">
      <c r="A7" s="10" t="s">
        <v>29</v>
      </c>
      <c r="B7" s="46" t="s">
        <v>5</v>
      </c>
      <c r="C7" s="51">
        <f>HLOOKUP($B7, 'J-Class_CC_Filtered'!$G$5:$L$63, 12, FALSE)</f>
        <v>6370</v>
      </c>
      <c r="D7" s="51">
        <f>HLOOKUP($B7, 'J-Class_CC_Filtered'!$G$5:$L$63, 13, FALSE)</f>
        <v>6360</v>
      </c>
      <c r="E7" s="65">
        <f>HLOOKUP($B7, 'J-Class_CC_Filtered'!$G$5:$L$63, 56, FALSE)</f>
        <v>1.5899999999999999</v>
      </c>
      <c r="F7" s="65">
        <f>HLOOKUP($B7, 'J-Class_CC_Filtered'!$G$5:$L$63, 57, FALSE)</f>
        <v>2.4500000000000002</v>
      </c>
      <c r="G7" s="65">
        <f>HLOOKUP($B7, 'J-Class_CC_Filtered'!$G$5:$L$63, 4, FALSE)</f>
        <v>509.9</v>
      </c>
      <c r="H7" s="65">
        <f>HLOOKUP($B7, 'J-Class_CC_Filtered'!$G$5:$L$63, 5, FALSE)</f>
        <v>539.20000000000005</v>
      </c>
      <c r="I7" s="65">
        <f>HLOOKUP($B7, 'J-Class_CC_Filtered'!$G$5:$L$63, 58, FALSE)</f>
        <v>600</v>
      </c>
      <c r="J7" s="65">
        <f>HLOOKUP($B7, 'J-Class_CC_Filtered'!$G$5:$L$63, 53, FALSE)</f>
        <v>3490</v>
      </c>
      <c r="K7" s="65">
        <f>HLOOKUP($B7, 'J-Class_CC_Filtered'!$G$5:$L$63, 59, FALSE)</f>
        <v>26600</v>
      </c>
      <c r="L7" s="65">
        <f>HLOOKUP($B7, 'J-Class_CC_Filtered'!$G$5:$L$63, 20, FALSE)</f>
        <v>26.693333333333332</v>
      </c>
      <c r="M7" s="65">
        <f>HLOOKUP($B7, 'J-Class_CC_Filtered'!$G$5:$L$63, 21, FALSE)</f>
        <v>6.6733333333333329</v>
      </c>
      <c r="N7" s="65">
        <f>HLOOKUP($B7, 'J-Class_CC_Filtered'!$G$5:$L$63, 22, FALSE)</f>
        <v>397973.33333333331</v>
      </c>
      <c r="O7" s="65">
        <f>HLOOKUP($B7, 'J-Class_CC_Filtered'!$G$5:$L$63, 24, FALSE)</f>
        <v>26.651428571428571</v>
      </c>
      <c r="P7" s="65">
        <f>HLOOKUP($B7, 'J-Class_CC_Filtered'!$G$5:$L$63, 25, FALSE)</f>
        <v>6.6628571428571428</v>
      </c>
      <c r="Q7" s="65">
        <f>HLOOKUP($B7, 'J-Class_CC_Filtered'!$G$5:$L$63, 26, FALSE)</f>
        <v>397348.57142857142</v>
      </c>
      <c r="R7" s="65">
        <f>HLOOKUP($B7, 'J-Class_CC_Filtered'!$G$5:$L$63, 28, FALSE)</f>
        <v>97.066666666666663</v>
      </c>
      <c r="S7" s="65">
        <f>HLOOKUP($B7, 'J-Class_CC_Filtered'!$G$5:$L$63, 29, FALSE)</f>
        <v>5.2577777777777781</v>
      </c>
      <c r="T7" s="65">
        <f>HLOOKUP($B7, 'J-Class_CC_Filtered'!$G$5:$L$63, 30, FALSE)</f>
        <v>550044.4444444445</v>
      </c>
      <c r="U7" s="65">
        <f>HLOOKUP($B7, 'J-Class_CC_Filtered'!$G$5:$L$63, 32, FALSE)</f>
        <v>96.914285714285711</v>
      </c>
      <c r="V7" s="65">
        <f>HLOOKUP($B7, 'J-Class_CC_Filtered'!$G$5:$L$63, 33, FALSE)</f>
        <v>5.2495238095238097</v>
      </c>
      <c r="W7" s="65">
        <f>HLOOKUP($B7, 'J-Class_CC_Filtered'!$G$5:$L$63, 34, FALSE)</f>
        <v>549180.95238095243</v>
      </c>
      <c r="X7" s="65">
        <f>1-HLOOKUP($B7, 'J-Class_CC_Filtered'!$G$5:$L$63, 54, FALSE)</f>
        <v>0.9708</v>
      </c>
      <c r="Y7" s="65">
        <f>HLOOKUP($B7, 'J-Class_CC_Filtered'!$G$5:$L$63, 16, FALSE)</f>
        <v>7130</v>
      </c>
      <c r="Z7" s="65">
        <f>HLOOKUP($B7, 'J-Class_CC_Filtered'!$G$5:$L$63, 17, FALSE)</f>
        <v>7570</v>
      </c>
      <c r="AA7" s="65">
        <f>HLOOKUP($B7, 'J-Class_CC_Filtered'!$G$5:$L$63, 36, FALSE)</f>
        <v>29.878095238095238</v>
      </c>
      <c r="AB7" s="65">
        <f>HLOOKUP($B7, 'J-Class_CC_Filtered'!$G$5:$L$63, 37, FALSE)</f>
        <v>7.4695238095238095</v>
      </c>
      <c r="AC7" s="65">
        <f>HLOOKUP($B7, 'J-Class_CC_Filtered'!$G$5:$L$63, 38, FALSE)</f>
        <v>445455.23809523811</v>
      </c>
      <c r="AD7" s="65">
        <f>HLOOKUP($B7, 'J-Class_CC_Filtered'!$G$5:$L$63, 40, FALSE)</f>
        <v>31.721904761904764</v>
      </c>
      <c r="AE7" s="65">
        <f>HLOOKUP($B7, 'J-Class_CC_Filtered'!$G$5:$L$63, 41, FALSE)</f>
        <v>7.9304761904761909</v>
      </c>
      <c r="AF7" s="65">
        <f>HLOOKUP($B7, 'J-Class_CC_Filtered'!$G$5:$L$63, 42, FALSE)</f>
        <v>472944.76190476189</v>
      </c>
      <c r="AG7" s="65">
        <f>HLOOKUP($B7, 'J-Class_CC_Filtered'!$G$5:$L$63, 44, FALSE)</f>
        <v>108.64761904761905</v>
      </c>
      <c r="AH7" s="65">
        <f>HLOOKUP($B7, 'J-Class_CC_Filtered'!$G$5:$L$63, 45, FALSE)</f>
        <v>5.8850793650793651</v>
      </c>
      <c r="AI7" s="65">
        <f>HLOOKUP($B7, 'J-Class_CC_Filtered'!$G$5:$L$63, 46, FALSE)</f>
        <v>615669.8412698413</v>
      </c>
      <c r="AJ7" s="65">
        <f>HLOOKUP($B7, 'J-Class_CC_Filtered'!$G$5:$L$63, 48, FALSE)</f>
        <v>115.35238095238095</v>
      </c>
      <c r="AK7" s="65">
        <f>HLOOKUP($B7, 'J-Class_CC_Filtered'!$G$5:$L$63, 49, FALSE)</f>
        <v>6.2482539682539686</v>
      </c>
      <c r="AL7" s="65">
        <f>HLOOKUP($B7, 'J-Class_CC_Filtered'!$G$5:$L$63, 50, FALSE)</f>
        <v>653663.49206349207</v>
      </c>
      <c r="AM7" s="65">
        <f>HLOOKUP($B7, 'J-Class_CC_Filtered'!$G$5:$L$63, 8, FALSE)</f>
        <v>232.1</v>
      </c>
      <c r="AN7" s="65">
        <f>HLOOKUP($B7, 'J-Class_CC_Filtered'!$G$5:$L$63, 9, FALSE)</f>
        <v>197</v>
      </c>
    </row>
  </sheetData>
  <pageMargins left="0.7" right="0.7" top="0.75" bottom="0.75" header="0.3" footer="0.3"/>
  <pageSetup scale="59" fitToWidth="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"/>
  <sheetViews>
    <sheetView workbookViewId="0"/>
  </sheetViews>
  <sheetFormatPr defaultRowHeight="12.75" x14ac:dyDescent="0.2"/>
  <cols>
    <col min="1" max="16384" width="9.33203125" style="66"/>
  </cols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opLeftCell="E3" workbookViewId="0">
      <selection activeCell="E3" sqref="E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4" width="38" style="59" hidden="1" customWidth="1" outlineLevel="1"/>
    <col min="5" max="5" width="1.83203125" style="10" customWidth="1" collapsed="1"/>
    <col min="6" max="6" width="43.5" style="10" customWidth="1"/>
    <col min="7" max="7" width="16" style="10" customWidth="1"/>
    <col min="8" max="8" width="16.33203125" style="10" customWidth="1"/>
    <col min="9" max="9" width="16.5" style="10" customWidth="1"/>
    <col min="10" max="10" width="16.33203125" style="10" customWidth="1"/>
    <col min="11" max="11" width="16.1640625" style="10" customWidth="1"/>
    <col min="12" max="12" width="17.5" style="10" customWidth="1"/>
    <col min="13" max="13" width="17.83203125" style="10" customWidth="1"/>
    <col min="14" max="16384" width="9.33203125" style="10"/>
  </cols>
  <sheetData>
    <row r="1" spans="1:20" s="59" customFormat="1" hidden="1" outlineLevel="1" x14ac:dyDescent="0.2">
      <c r="H1" s="59" t="s">
        <v>58</v>
      </c>
      <c r="I1" s="59" t="s">
        <v>59</v>
      </c>
      <c r="J1" s="59" t="s">
        <v>60</v>
      </c>
      <c r="K1" s="59" t="s">
        <v>61</v>
      </c>
      <c r="L1" s="59" t="s">
        <v>62</v>
      </c>
      <c r="M1" s="59" t="s">
        <v>63</v>
      </c>
    </row>
    <row r="2" spans="1:20" s="59" customFormat="1" hidden="1" outlineLevel="1" x14ac:dyDescent="0.2">
      <c r="H2" s="59">
        <v>7</v>
      </c>
      <c r="I2" s="59">
        <v>6</v>
      </c>
      <c r="J2" s="59">
        <v>4</v>
      </c>
      <c r="K2" s="59">
        <v>5</v>
      </c>
      <c r="L2" s="59">
        <v>3</v>
      </c>
      <c r="M2" s="59">
        <v>2</v>
      </c>
    </row>
    <row r="3" spans="1:20" ht="13.5" collapsed="1" thickBot="1" x14ac:dyDescent="0.25"/>
    <row r="4" spans="1:20" ht="14.25" x14ac:dyDescent="0.2">
      <c r="A4" s="60" t="s">
        <v>73</v>
      </c>
      <c r="B4" s="59" t="s">
        <v>84</v>
      </c>
      <c r="F4" s="11"/>
      <c r="G4" s="12"/>
      <c r="H4" s="81" t="s">
        <v>160</v>
      </c>
      <c r="I4" s="82"/>
      <c r="J4" s="82"/>
      <c r="K4" s="82"/>
      <c r="L4" s="82"/>
      <c r="M4" s="83"/>
    </row>
    <row r="5" spans="1:20" ht="26.25" thickBot="1" x14ac:dyDescent="0.25">
      <c r="F5" s="3" t="s">
        <v>0</v>
      </c>
      <c r="G5" s="2" t="s">
        <v>1</v>
      </c>
      <c r="H5" s="13" t="s">
        <v>3</v>
      </c>
      <c r="I5" s="13" t="s">
        <v>28</v>
      </c>
      <c r="J5" s="13" t="s">
        <v>20</v>
      </c>
      <c r="K5" s="14" t="s">
        <v>21</v>
      </c>
      <c r="L5" s="13" t="s">
        <v>4</v>
      </c>
      <c r="M5" s="15" t="s">
        <v>5</v>
      </c>
    </row>
    <row r="6" spans="1:20" ht="25.5" customHeight="1" x14ac:dyDescent="0.2">
      <c r="A6" s="61" t="s">
        <v>79</v>
      </c>
      <c r="B6" s="61" t="s">
        <v>80</v>
      </c>
      <c r="C6" s="61" t="s">
        <v>81</v>
      </c>
      <c r="D6" s="61"/>
      <c r="F6" s="4" t="s">
        <v>12</v>
      </c>
      <c r="G6" s="1"/>
      <c r="H6" s="84"/>
      <c r="I6" s="85"/>
      <c r="J6" s="85"/>
      <c r="K6" s="85"/>
      <c r="L6" s="85"/>
      <c r="M6" s="86"/>
    </row>
    <row r="7" spans="1:20" x14ac:dyDescent="0.2">
      <c r="F7" s="5" t="s">
        <v>64</v>
      </c>
      <c r="G7" s="1"/>
      <c r="H7" s="16"/>
      <c r="I7" s="17"/>
      <c r="J7" s="17"/>
      <c r="K7" s="18"/>
      <c r="L7" s="17"/>
      <c r="M7" s="19"/>
    </row>
    <row r="8" spans="1:20" x14ac:dyDescent="0.2">
      <c r="A8" s="59">
        <v>32</v>
      </c>
      <c r="B8" s="59">
        <v>40</v>
      </c>
      <c r="C8" s="59" t="s">
        <v>65</v>
      </c>
      <c r="F8" s="20" t="s">
        <v>67</v>
      </c>
      <c r="G8" s="8" t="s">
        <v>2</v>
      </c>
      <c r="H8" s="37">
        <v>166.6</v>
      </c>
      <c r="I8" s="38">
        <v>166.5</v>
      </c>
      <c r="J8" s="38">
        <v>166.5</v>
      </c>
      <c r="K8" s="38">
        <v>166.5</v>
      </c>
      <c r="L8" s="38">
        <v>166.7</v>
      </c>
      <c r="M8" s="39">
        <v>166.7</v>
      </c>
      <c r="O8" s="80"/>
      <c r="P8" s="80"/>
      <c r="Q8" s="80"/>
      <c r="R8" s="80"/>
      <c r="S8" s="80"/>
      <c r="T8" s="80"/>
    </row>
    <row r="9" spans="1:20" x14ac:dyDescent="0.2">
      <c r="A9" s="59">
        <v>44</v>
      </c>
      <c r="B9" s="59">
        <v>52</v>
      </c>
      <c r="C9" s="59" t="s">
        <v>65</v>
      </c>
      <c r="F9" s="20" t="s">
        <v>68</v>
      </c>
      <c r="G9" s="8" t="s">
        <v>2</v>
      </c>
      <c r="H9" s="37">
        <v>188.2</v>
      </c>
      <c r="I9" s="38">
        <v>188.2</v>
      </c>
      <c r="J9" s="38">
        <v>188.2</v>
      </c>
      <c r="K9" s="38">
        <v>188.2</v>
      </c>
      <c r="L9" s="38">
        <v>188.2</v>
      </c>
      <c r="M9" s="39">
        <v>188.2</v>
      </c>
      <c r="O9" s="80"/>
      <c r="P9" s="80"/>
      <c r="Q9" s="80"/>
      <c r="R9" s="80"/>
      <c r="S9" s="80"/>
      <c r="T9" s="80"/>
    </row>
    <row r="10" spans="1:20" x14ac:dyDescent="0.2">
      <c r="F10" s="20"/>
      <c r="G10" s="8"/>
      <c r="H10" s="37"/>
      <c r="I10" s="38"/>
      <c r="J10" s="38"/>
      <c r="K10" s="38"/>
      <c r="L10" s="38"/>
      <c r="M10" s="39"/>
      <c r="O10" s="80"/>
      <c r="P10" s="80"/>
      <c r="Q10" s="80"/>
      <c r="R10" s="80"/>
      <c r="S10" s="80"/>
      <c r="T10" s="80"/>
    </row>
    <row r="11" spans="1:20" x14ac:dyDescent="0.2">
      <c r="F11" s="5" t="s">
        <v>66</v>
      </c>
      <c r="G11" s="8"/>
      <c r="H11" s="7"/>
      <c r="I11" s="8"/>
      <c r="J11" s="8"/>
      <c r="K11" s="8"/>
      <c r="L11" s="8"/>
      <c r="M11" s="9"/>
      <c r="O11" s="80"/>
      <c r="P11" s="80"/>
      <c r="Q11" s="80"/>
      <c r="R11" s="80"/>
      <c r="S11" s="80"/>
      <c r="T11" s="80"/>
    </row>
    <row r="12" spans="1:20" x14ac:dyDescent="0.2">
      <c r="A12" s="59">
        <v>32</v>
      </c>
      <c r="B12" s="59">
        <v>40</v>
      </c>
      <c r="C12" s="59" t="s">
        <v>69</v>
      </c>
      <c r="F12" s="20" t="s">
        <v>13</v>
      </c>
      <c r="G12" s="8" t="s">
        <v>10</v>
      </c>
      <c r="H12" s="21">
        <v>9670</v>
      </c>
      <c r="I12" s="22">
        <v>9670</v>
      </c>
      <c r="J12" s="22">
        <v>9670</v>
      </c>
      <c r="K12" s="22">
        <v>9670</v>
      </c>
      <c r="L12" s="22">
        <v>9660</v>
      </c>
      <c r="M12" s="23">
        <v>9670</v>
      </c>
      <c r="O12" s="80"/>
      <c r="P12" s="80"/>
      <c r="Q12" s="80"/>
      <c r="R12" s="80"/>
      <c r="S12" s="80"/>
      <c r="T12" s="80"/>
    </row>
    <row r="13" spans="1:20" x14ac:dyDescent="0.2">
      <c r="A13" s="59">
        <v>44</v>
      </c>
      <c r="B13" s="59">
        <v>52</v>
      </c>
      <c r="C13" s="59" t="s">
        <v>69</v>
      </c>
      <c r="F13" s="20" t="s">
        <v>14</v>
      </c>
      <c r="G13" s="8" t="s">
        <v>10</v>
      </c>
      <c r="H13" s="21">
        <v>9450</v>
      </c>
      <c r="I13" s="22">
        <v>9460</v>
      </c>
      <c r="J13" s="22">
        <v>9440</v>
      </c>
      <c r="K13" s="22">
        <v>9440</v>
      </c>
      <c r="L13" s="22">
        <v>9440</v>
      </c>
      <c r="M13" s="23">
        <v>9440</v>
      </c>
      <c r="O13" s="80"/>
      <c r="P13" s="80"/>
      <c r="Q13" s="80"/>
      <c r="R13" s="80"/>
      <c r="S13" s="80"/>
      <c r="T13" s="80"/>
    </row>
    <row r="14" spans="1:20" x14ac:dyDescent="0.2">
      <c r="A14" s="59">
        <v>56</v>
      </c>
      <c r="B14" s="59">
        <v>64</v>
      </c>
      <c r="C14" s="59" t="s">
        <v>69</v>
      </c>
      <c r="F14" s="70" t="s">
        <v>212</v>
      </c>
      <c r="G14" s="71" t="s">
        <v>10</v>
      </c>
      <c r="H14" s="72">
        <v>9420</v>
      </c>
      <c r="I14" s="73">
        <v>9420</v>
      </c>
      <c r="J14" s="73">
        <v>9430</v>
      </c>
      <c r="K14" s="73">
        <v>9430</v>
      </c>
      <c r="L14" s="73">
        <v>9430</v>
      </c>
      <c r="M14" s="74">
        <v>9430</v>
      </c>
      <c r="N14" s="75" t="s">
        <v>213</v>
      </c>
      <c r="O14" s="80"/>
      <c r="P14" s="80"/>
      <c r="Q14" s="80"/>
      <c r="R14" s="80"/>
      <c r="S14" s="80"/>
      <c r="T14" s="80"/>
    </row>
    <row r="15" spans="1:20" x14ac:dyDescent="0.2">
      <c r="F15" s="5" t="s">
        <v>17</v>
      </c>
      <c r="G15" s="24"/>
      <c r="H15" s="7"/>
      <c r="I15" s="8"/>
      <c r="J15" s="8"/>
      <c r="K15" s="8"/>
      <c r="L15" s="8"/>
      <c r="M15" s="9"/>
      <c r="O15" s="80"/>
      <c r="P15" s="80"/>
      <c r="Q15" s="80"/>
      <c r="R15" s="80"/>
      <c r="S15" s="80"/>
      <c r="T15" s="80"/>
    </row>
    <row r="16" spans="1:20" ht="14.25" x14ac:dyDescent="0.2">
      <c r="A16" s="59">
        <v>205</v>
      </c>
      <c r="B16" s="59">
        <v>209</v>
      </c>
      <c r="C16" s="59" t="s">
        <v>70</v>
      </c>
      <c r="F16" s="20" t="s">
        <v>25</v>
      </c>
      <c r="G16" s="25" t="s">
        <v>15</v>
      </c>
      <c r="H16" s="62">
        <v>171.22675159235669</v>
      </c>
      <c r="I16" s="27">
        <v>171.22675159235669</v>
      </c>
      <c r="J16" s="27">
        <v>171.04517497348886</v>
      </c>
      <c r="K16" s="27">
        <v>171.04517497348886</v>
      </c>
      <c r="L16" s="27">
        <v>170.86829268292684</v>
      </c>
      <c r="M16" s="28">
        <v>171.04517497348886</v>
      </c>
      <c r="O16" s="80"/>
      <c r="P16" s="80"/>
      <c r="Q16" s="80"/>
      <c r="R16" s="80"/>
      <c r="S16" s="80"/>
      <c r="T16" s="80"/>
    </row>
    <row r="17" spans="1:20" ht="14.25" x14ac:dyDescent="0.2">
      <c r="A17" s="59">
        <v>205</v>
      </c>
      <c r="B17" s="59">
        <v>209</v>
      </c>
      <c r="C17" s="59" t="s">
        <v>71</v>
      </c>
      <c r="F17" s="20" t="s">
        <v>26</v>
      </c>
      <c r="G17" s="25" t="s">
        <v>15</v>
      </c>
      <c r="H17" s="26">
        <v>3.5928874734607219</v>
      </c>
      <c r="I17" s="27">
        <v>3.5928874734607219</v>
      </c>
      <c r="J17" s="27">
        <v>3.5890774125132556</v>
      </c>
      <c r="K17" s="27">
        <v>3.5890774125132556</v>
      </c>
      <c r="L17" s="27">
        <v>3.5853658536585367</v>
      </c>
      <c r="M17" s="28">
        <v>3.5890774125132556</v>
      </c>
      <c r="O17" s="80"/>
      <c r="P17" s="80"/>
      <c r="Q17" s="80"/>
      <c r="R17" s="80"/>
      <c r="S17" s="80"/>
      <c r="T17" s="80"/>
    </row>
    <row r="18" spans="1:20" ht="14.25" x14ac:dyDescent="0.2">
      <c r="A18" s="59">
        <v>205</v>
      </c>
      <c r="B18" s="59">
        <v>209</v>
      </c>
      <c r="C18" s="59" t="s">
        <v>72</v>
      </c>
      <c r="F18" s="20" t="s">
        <v>27</v>
      </c>
      <c r="G18" s="25" t="s">
        <v>15</v>
      </c>
      <c r="H18" s="21">
        <v>214341.40127388536</v>
      </c>
      <c r="I18" s="22">
        <v>214341.40127388536</v>
      </c>
      <c r="J18" s="22">
        <v>214114.10392364793</v>
      </c>
      <c r="K18" s="22">
        <v>214114.10392364793</v>
      </c>
      <c r="L18" s="22">
        <v>213892.68292682926</v>
      </c>
      <c r="M18" s="23">
        <v>214114.10392364793</v>
      </c>
      <c r="O18" s="80"/>
      <c r="P18" s="80"/>
      <c r="Q18" s="80"/>
      <c r="R18" s="80"/>
      <c r="S18" s="80"/>
      <c r="T18" s="80"/>
    </row>
    <row r="19" spans="1:20" x14ac:dyDescent="0.2">
      <c r="F19" s="5" t="s">
        <v>18</v>
      </c>
      <c r="G19" s="24"/>
      <c r="H19" s="29"/>
      <c r="I19" s="24"/>
      <c r="J19" s="24"/>
      <c r="K19" s="24"/>
      <c r="L19" s="24"/>
      <c r="M19" s="30"/>
      <c r="O19" s="80"/>
      <c r="P19" s="80"/>
      <c r="Q19" s="80"/>
      <c r="R19" s="80"/>
      <c r="S19" s="80"/>
      <c r="T19" s="80"/>
    </row>
    <row r="20" spans="1:20" ht="14.25" x14ac:dyDescent="0.2">
      <c r="A20" s="59">
        <v>205</v>
      </c>
      <c r="B20" s="59">
        <v>209</v>
      </c>
      <c r="C20" s="59" t="s">
        <v>70</v>
      </c>
      <c r="F20" s="20" t="s">
        <v>25</v>
      </c>
      <c r="G20" s="25" t="s">
        <v>15</v>
      </c>
      <c r="H20" s="26">
        <v>167.33121019108279</v>
      </c>
      <c r="I20" s="27">
        <v>167.50828025477708</v>
      </c>
      <c r="J20" s="27">
        <v>166.97688229056203</v>
      </c>
      <c r="K20" s="27">
        <v>166.97688229056203</v>
      </c>
      <c r="L20" s="27">
        <v>166.97688229056203</v>
      </c>
      <c r="M20" s="28">
        <v>166.97688229056203</v>
      </c>
      <c r="O20" s="80"/>
      <c r="P20" s="80"/>
      <c r="Q20" s="80"/>
      <c r="R20" s="80"/>
      <c r="S20" s="80"/>
      <c r="T20" s="80"/>
    </row>
    <row r="21" spans="1:20" ht="14.25" x14ac:dyDescent="0.2">
      <c r="A21" s="59">
        <v>205</v>
      </c>
      <c r="B21" s="59">
        <v>209</v>
      </c>
      <c r="C21" s="59" t="s">
        <v>71</v>
      </c>
      <c r="F21" s="20" t="s">
        <v>26</v>
      </c>
      <c r="G21" s="25" t="s">
        <v>15</v>
      </c>
      <c r="H21" s="26">
        <v>3.5111464968152868</v>
      </c>
      <c r="I21" s="27">
        <v>3.5148619957537157</v>
      </c>
      <c r="J21" s="27">
        <v>3.503711558854719</v>
      </c>
      <c r="K21" s="27">
        <v>3.503711558854719</v>
      </c>
      <c r="L21" s="27">
        <v>3.503711558854719</v>
      </c>
      <c r="M21" s="28">
        <v>3.503711558854719</v>
      </c>
      <c r="O21" s="80"/>
      <c r="P21" s="80"/>
      <c r="Q21" s="80"/>
      <c r="R21" s="80"/>
      <c r="S21" s="80"/>
      <c r="T21" s="80"/>
    </row>
    <row r="22" spans="1:20" ht="14.25" x14ac:dyDescent="0.2">
      <c r="A22" s="59">
        <v>205</v>
      </c>
      <c r="B22" s="59">
        <v>209</v>
      </c>
      <c r="C22" s="59" t="s">
        <v>72</v>
      </c>
      <c r="F22" s="20" t="s">
        <v>27</v>
      </c>
      <c r="G22" s="25" t="s">
        <v>15</v>
      </c>
      <c r="H22" s="21">
        <v>209464.96815286623</v>
      </c>
      <c r="I22" s="22">
        <v>209686.62420382164</v>
      </c>
      <c r="J22" s="22">
        <v>209021.42099681866</v>
      </c>
      <c r="K22" s="22">
        <v>209021.42099681866</v>
      </c>
      <c r="L22" s="22">
        <v>209021.42099681866</v>
      </c>
      <c r="M22" s="23">
        <v>209021.42099681866</v>
      </c>
      <c r="O22" s="80"/>
      <c r="P22" s="80"/>
      <c r="Q22" s="80"/>
      <c r="R22" s="80"/>
      <c r="S22" s="80"/>
      <c r="T22" s="80"/>
    </row>
    <row r="23" spans="1:20" x14ac:dyDescent="0.2">
      <c r="F23" s="5" t="s">
        <v>133</v>
      </c>
      <c r="G23" s="24"/>
      <c r="H23" s="21"/>
      <c r="I23" s="22"/>
      <c r="J23" s="22"/>
      <c r="K23" s="22"/>
      <c r="L23" s="22"/>
      <c r="M23" s="23"/>
      <c r="O23" s="80"/>
      <c r="P23" s="80"/>
      <c r="Q23" s="80"/>
      <c r="R23" s="80"/>
      <c r="S23" s="80"/>
      <c r="T23" s="80"/>
    </row>
    <row r="24" spans="1:20" ht="14.25" x14ac:dyDescent="0.2">
      <c r="A24" s="59">
        <v>219</v>
      </c>
      <c r="B24" s="59">
        <v>223</v>
      </c>
      <c r="C24" s="59" t="s">
        <v>70</v>
      </c>
      <c r="F24" s="20" t="s">
        <v>25</v>
      </c>
      <c r="G24" s="25" t="s">
        <v>15</v>
      </c>
      <c r="H24" s="62">
        <v>285.37791932059446</v>
      </c>
      <c r="I24" s="27">
        <v>285.37791932059446</v>
      </c>
      <c r="J24" s="27">
        <v>285.07529162248142</v>
      </c>
      <c r="K24" s="27">
        <v>285.07529162248142</v>
      </c>
      <c r="L24" s="27">
        <v>284.78048780487802</v>
      </c>
      <c r="M24" s="28">
        <v>285.07529162248142</v>
      </c>
      <c r="O24" s="80"/>
      <c r="P24" s="80"/>
      <c r="Q24" s="80"/>
      <c r="R24" s="80"/>
      <c r="S24" s="80"/>
      <c r="T24" s="80"/>
    </row>
    <row r="25" spans="1:20" ht="14.25" x14ac:dyDescent="0.2">
      <c r="A25" s="59">
        <v>219</v>
      </c>
      <c r="B25" s="59">
        <v>223</v>
      </c>
      <c r="C25" s="59" t="s">
        <v>71</v>
      </c>
      <c r="F25" s="20" t="s">
        <v>26</v>
      </c>
      <c r="G25" s="25" t="s">
        <v>15</v>
      </c>
      <c r="H25" s="26">
        <v>2.6690021231422505</v>
      </c>
      <c r="I25" s="27">
        <v>2.6690021231422505</v>
      </c>
      <c r="J25" s="27">
        <v>2.6661717921527042</v>
      </c>
      <c r="K25" s="27">
        <v>2.6661717921527042</v>
      </c>
      <c r="L25" s="27">
        <v>2.6634146341463416</v>
      </c>
      <c r="M25" s="28">
        <v>2.6661717921527042</v>
      </c>
      <c r="O25" s="80"/>
      <c r="P25" s="80"/>
      <c r="Q25" s="80"/>
      <c r="R25" s="80"/>
      <c r="S25" s="80"/>
      <c r="T25" s="80"/>
    </row>
    <row r="26" spans="1:20" ht="14.25" x14ac:dyDescent="0.2">
      <c r="A26" s="59">
        <v>219</v>
      </c>
      <c r="B26" s="59">
        <v>223</v>
      </c>
      <c r="C26" s="59" t="s">
        <v>72</v>
      </c>
      <c r="F26" s="20" t="s">
        <v>27</v>
      </c>
      <c r="G26" s="25" t="s">
        <v>15</v>
      </c>
      <c r="H26" s="21">
        <v>285788.53503184713</v>
      </c>
      <c r="I26" s="22">
        <v>285788.53503184713</v>
      </c>
      <c r="J26" s="22">
        <v>285485.47189819725</v>
      </c>
      <c r="K26" s="22">
        <v>285485.47189819725</v>
      </c>
      <c r="L26" s="22">
        <v>285190.24390243902</v>
      </c>
      <c r="M26" s="23">
        <v>285485.47189819725</v>
      </c>
      <c r="O26" s="80"/>
      <c r="P26" s="80"/>
      <c r="Q26" s="80"/>
      <c r="R26" s="80"/>
      <c r="S26" s="80"/>
      <c r="T26" s="80"/>
    </row>
    <row r="27" spans="1:20" x14ac:dyDescent="0.2">
      <c r="F27" s="5" t="s">
        <v>16</v>
      </c>
      <c r="G27" s="24"/>
      <c r="H27" s="29"/>
      <c r="I27" s="24"/>
      <c r="J27" s="24"/>
      <c r="K27" s="24"/>
      <c r="L27" s="24"/>
      <c r="M27" s="30"/>
      <c r="O27" s="80"/>
      <c r="P27" s="80"/>
      <c r="Q27" s="80"/>
      <c r="R27" s="80"/>
      <c r="S27" s="80"/>
      <c r="T27" s="80"/>
    </row>
    <row r="28" spans="1:20" ht="14.25" x14ac:dyDescent="0.2">
      <c r="A28" s="59">
        <v>219</v>
      </c>
      <c r="B28" s="59">
        <v>223</v>
      </c>
      <c r="C28" s="59" t="s">
        <v>70</v>
      </c>
      <c r="F28" s="20" t="s">
        <v>25</v>
      </c>
      <c r="G28" s="25" t="s">
        <v>15</v>
      </c>
      <c r="H28" s="26">
        <v>278.88535031847135</v>
      </c>
      <c r="I28" s="27">
        <v>279.1804670912951</v>
      </c>
      <c r="J28" s="27">
        <v>278.29480381760339</v>
      </c>
      <c r="K28" s="27">
        <v>278.29480381760339</v>
      </c>
      <c r="L28" s="27">
        <v>278.29480381760339</v>
      </c>
      <c r="M28" s="28">
        <v>278.29480381760339</v>
      </c>
      <c r="O28" s="80"/>
      <c r="P28" s="80"/>
      <c r="Q28" s="80"/>
      <c r="R28" s="80"/>
      <c r="S28" s="80"/>
      <c r="T28" s="80"/>
    </row>
    <row r="29" spans="1:20" ht="14.25" x14ac:dyDescent="0.2">
      <c r="A29" s="59">
        <v>219</v>
      </c>
      <c r="B29" s="59">
        <v>223</v>
      </c>
      <c r="C29" s="59" t="s">
        <v>71</v>
      </c>
      <c r="F29" s="20" t="s">
        <v>26</v>
      </c>
      <c r="G29" s="25" t="s">
        <v>15</v>
      </c>
      <c r="H29" s="26">
        <v>2.6082802547770703</v>
      </c>
      <c r="I29" s="27">
        <v>2.6110403397027602</v>
      </c>
      <c r="J29" s="27">
        <v>2.6027571580063626</v>
      </c>
      <c r="K29" s="27">
        <v>2.6027571580063626</v>
      </c>
      <c r="L29" s="27">
        <v>2.6027571580063626</v>
      </c>
      <c r="M29" s="28">
        <v>2.6027571580063626</v>
      </c>
      <c r="O29" s="80"/>
      <c r="P29" s="80"/>
      <c r="Q29" s="80"/>
      <c r="R29" s="80"/>
      <c r="S29" s="80"/>
      <c r="T29" s="80"/>
    </row>
    <row r="30" spans="1:20" ht="14.25" x14ac:dyDescent="0.2">
      <c r="A30" s="59">
        <v>219</v>
      </c>
      <c r="B30" s="59">
        <v>223</v>
      </c>
      <c r="C30" s="59" t="s">
        <v>72</v>
      </c>
      <c r="F30" s="20" t="s">
        <v>27</v>
      </c>
      <c r="G30" s="25" t="s">
        <v>15</v>
      </c>
      <c r="H30" s="21">
        <v>279286.62420382164</v>
      </c>
      <c r="I30" s="22">
        <v>279582.16560509556</v>
      </c>
      <c r="J30" s="22">
        <v>278695.22799575824</v>
      </c>
      <c r="K30" s="22">
        <v>278695.22799575824</v>
      </c>
      <c r="L30" s="22">
        <v>278695.22799575824</v>
      </c>
      <c r="M30" s="23">
        <v>278695.22799575824</v>
      </c>
      <c r="O30" s="80"/>
      <c r="P30" s="80"/>
      <c r="Q30" s="80"/>
      <c r="R30" s="80"/>
      <c r="S30" s="80"/>
      <c r="T30" s="80"/>
    </row>
    <row r="31" spans="1:20" x14ac:dyDescent="0.2">
      <c r="F31" s="4" t="s">
        <v>19</v>
      </c>
      <c r="G31" s="25"/>
      <c r="H31" s="29"/>
      <c r="I31" s="24"/>
      <c r="J31" s="24"/>
      <c r="K31" s="24"/>
      <c r="L31" s="24"/>
      <c r="M31" s="30"/>
      <c r="O31" s="80"/>
      <c r="P31" s="80"/>
      <c r="Q31" s="80"/>
      <c r="R31" s="80"/>
      <c r="S31" s="80"/>
      <c r="T31" s="80"/>
    </row>
    <row r="32" spans="1:20" x14ac:dyDescent="0.2">
      <c r="F32" s="31"/>
      <c r="G32" s="8"/>
      <c r="H32" s="53"/>
      <c r="I32" s="54"/>
      <c r="J32" s="54"/>
      <c r="K32" s="54"/>
      <c r="L32" s="54"/>
      <c r="M32" s="55"/>
      <c r="O32" s="80"/>
      <c r="P32" s="80"/>
      <c r="Q32" s="80"/>
      <c r="R32" s="80"/>
      <c r="S32" s="80"/>
      <c r="T32" s="80"/>
    </row>
    <row r="33" spans="1:20" ht="25.5" x14ac:dyDescent="0.2">
      <c r="A33" s="87" t="s">
        <v>158</v>
      </c>
      <c r="B33" s="87"/>
      <c r="C33" s="87"/>
      <c r="D33" s="64"/>
      <c r="F33" s="31" t="s">
        <v>55</v>
      </c>
      <c r="G33" s="8" t="s">
        <v>7</v>
      </c>
      <c r="H33" s="53">
        <v>100</v>
      </c>
      <c r="I33" s="54">
        <v>100</v>
      </c>
      <c r="J33" s="54">
        <v>100</v>
      </c>
      <c r="K33" s="54">
        <v>100</v>
      </c>
      <c r="L33" s="54">
        <v>100</v>
      </c>
      <c r="M33" s="55">
        <v>100</v>
      </c>
      <c r="O33" s="80"/>
      <c r="P33" s="80"/>
      <c r="Q33" s="80"/>
      <c r="R33" s="80"/>
      <c r="S33" s="80"/>
      <c r="T33" s="80"/>
    </row>
    <row r="34" spans="1:20" ht="13.5" thickBot="1" x14ac:dyDescent="0.25">
      <c r="A34" s="59">
        <v>16</v>
      </c>
      <c r="B34" s="59">
        <v>16</v>
      </c>
      <c r="C34" s="59" t="s">
        <v>74</v>
      </c>
      <c r="F34" s="32" t="s">
        <v>6</v>
      </c>
      <c r="G34" s="52" t="s">
        <v>11</v>
      </c>
      <c r="H34" s="56">
        <v>0.1003</v>
      </c>
      <c r="I34" s="57">
        <v>0.1003</v>
      </c>
      <c r="J34" s="57">
        <v>0.1003</v>
      </c>
      <c r="K34" s="57">
        <v>0.1003</v>
      </c>
      <c r="L34" s="57">
        <v>0.1003</v>
      </c>
      <c r="M34" s="58">
        <v>0.1003</v>
      </c>
      <c r="O34" s="80"/>
      <c r="P34" s="80"/>
      <c r="Q34" s="80"/>
      <c r="R34" s="80"/>
      <c r="S34" s="80"/>
      <c r="T34" s="80"/>
    </row>
    <row r="35" spans="1:20" ht="12.75" customHeight="1" x14ac:dyDescent="0.2">
      <c r="F35" s="6" t="s">
        <v>210</v>
      </c>
      <c r="G35" s="24"/>
      <c r="H35" s="34"/>
      <c r="I35" s="35"/>
      <c r="J35" s="35"/>
      <c r="K35" s="35"/>
      <c r="L35" s="35"/>
      <c r="M35" s="36"/>
      <c r="O35" s="80"/>
      <c r="P35" s="80"/>
      <c r="Q35" s="80"/>
      <c r="R35" s="80"/>
      <c r="S35" s="80"/>
      <c r="T35" s="80"/>
    </row>
    <row r="36" spans="1:20" x14ac:dyDescent="0.2">
      <c r="A36" s="59">
        <v>184</v>
      </c>
      <c r="B36" s="59">
        <v>187</v>
      </c>
      <c r="C36" s="59" t="s">
        <v>77</v>
      </c>
      <c r="D36" s="59" t="s">
        <v>78</v>
      </c>
      <c r="F36" s="20" t="s">
        <v>22</v>
      </c>
      <c r="G36" s="8" t="s">
        <v>9</v>
      </c>
      <c r="H36" s="63">
        <v>8.91</v>
      </c>
      <c r="I36" s="41">
        <v>9.3600000000000012</v>
      </c>
      <c r="J36" s="41">
        <v>9.0400000000000009</v>
      </c>
      <c r="K36" s="41">
        <v>9.0400000000000009</v>
      </c>
      <c r="L36" s="41">
        <v>9.14</v>
      </c>
      <c r="M36" s="42">
        <v>9.27</v>
      </c>
      <c r="O36" s="80"/>
      <c r="P36" s="80"/>
      <c r="Q36" s="80"/>
      <c r="R36" s="80"/>
      <c r="S36" s="80"/>
      <c r="T36" s="80"/>
    </row>
    <row r="37" spans="1:20" x14ac:dyDescent="0.2">
      <c r="A37" s="59">
        <v>190</v>
      </c>
      <c r="B37" s="59">
        <v>193</v>
      </c>
      <c r="C37" s="59" t="s">
        <v>77</v>
      </c>
      <c r="D37" s="59" t="s">
        <v>78</v>
      </c>
      <c r="F37" s="20" t="s">
        <v>23</v>
      </c>
      <c r="G37" s="8" t="s">
        <v>9</v>
      </c>
      <c r="H37" s="40">
        <v>8.7800000000000011</v>
      </c>
      <c r="I37" s="41">
        <v>9.2000000000000011</v>
      </c>
      <c r="J37" s="41">
        <v>8.92</v>
      </c>
      <c r="K37" s="41">
        <v>8.92</v>
      </c>
      <c r="L37" s="41">
        <v>9.02</v>
      </c>
      <c r="M37" s="42">
        <v>9.120000000000001</v>
      </c>
      <c r="O37" s="80"/>
      <c r="P37" s="80"/>
      <c r="Q37" s="80"/>
      <c r="R37" s="80"/>
      <c r="S37" s="80"/>
      <c r="T37" s="80"/>
    </row>
    <row r="38" spans="1:20" x14ac:dyDescent="0.2">
      <c r="A38" s="59">
        <v>177</v>
      </c>
      <c r="B38" s="59">
        <v>180</v>
      </c>
      <c r="C38" s="59" t="s">
        <v>75</v>
      </c>
      <c r="F38" s="20" t="s">
        <v>215</v>
      </c>
      <c r="G38" s="8" t="s">
        <v>209</v>
      </c>
      <c r="H38" s="40">
        <v>570</v>
      </c>
      <c r="I38" s="41">
        <v>570</v>
      </c>
      <c r="J38" s="41">
        <v>570</v>
      </c>
      <c r="K38" s="41">
        <v>570</v>
      </c>
      <c r="L38" s="41">
        <v>570</v>
      </c>
      <c r="M38" s="42">
        <v>570</v>
      </c>
      <c r="O38" s="80"/>
      <c r="P38" s="80"/>
      <c r="Q38" s="80"/>
      <c r="R38" s="80"/>
      <c r="S38" s="80"/>
      <c r="T38" s="80"/>
    </row>
    <row r="39" spans="1:20" ht="13.5" thickBot="1" x14ac:dyDescent="0.25">
      <c r="A39" s="59">
        <v>177</v>
      </c>
      <c r="B39" s="59">
        <v>180</v>
      </c>
      <c r="C39" s="59" t="s">
        <v>76</v>
      </c>
      <c r="F39" s="32" t="s">
        <v>211</v>
      </c>
      <c r="G39" s="33" t="s">
        <v>8</v>
      </c>
      <c r="H39" s="43" t="s">
        <v>83</v>
      </c>
      <c r="I39" s="44" t="s">
        <v>83</v>
      </c>
      <c r="J39" s="44" t="s">
        <v>83</v>
      </c>
      <c r="K39" s="44" t="s">
        <v>83</v>
      </c>
      <c r="L39" s="44" t="s">
        <v>83</v>
      </c>
      <c r="M39" s="45" t="s">
        <v>83</v>
      </c>
    </row>
    <row r="41" spans="1:20" x14ac:dyDescent="0.2">
      <c r="F41" s="10" t="s">
        <v>234</v>
      </c>
    </row>
  </sheetData>
  <mergeCells count="3">
    <mergeCell ref="H4:M4"/>
    <mergeCell ref="H6:M6"/>
    <mergeCell ref="A33:C3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opLeftCell="D3" workbookViewId="0">
      <selection activeCell="D3" sqref="D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3" width="38" style="59" hidden="1" customWidth="1" outlineLevel="1"/>
    <col min="4" max="4" width="1.83203125" style="10" customWidth="1" collapsed="1"/>
    <col min="5" max="5" width="43.5" style="10" customWidth="1"/>
    <col min="6" max="6" width="16" style="10" customWidth="1"/>
    <col min="7" max="7" width="16.33203125" style="10" customWidth="1"/>
    <col min="8" max="8" width="16.5" style="10" customWidth="1"/>
    <col min="9" max="9" width="16.33203125" style="10" customWidth="1"/>
    <col min="10" max="10" width="16.1640625" style="10" customWidth="1"/>
    <col min="11" max="11" width="17.5" style="10" customWidth="1"/>
    <col min="12" max="12" width="17.83203125" style="10" customWidth="1"/>
    <col min="13" max="16384" width="9.33203125" style="10"/>
  </cols>
  <sheetData>
    <row r="1" spans="1:19" s="59" customFormat="1" hidden="1" outlineLevel="1" x14ac:dyDescent="0.2">
      <c r="G1" s="59" t="s">
        <v>58</v>
      </c>
      <c r="H1" s="59" t="s">
        <v>59</v>
      </c>
      <c r="I1" s="59" t="s">
        <v>60</v>
      </c>
      <c r="J1" s="59" t="s">
        <v>61</v>
      </c>
      <c r="K1" s="59" t="s">
        <v>62</v>
      </c>
      <c r="L1" s="59" t="s">
        <v>63</v>
      </c>
    </row>
    <row r="2" spans="1:19" s="59" customFormat="1" hidden="1" outlineLevel="1" x14ac:dyDescent="0.2">
      <c r="G2" s="59">
        <v>7</v>
      </c>
      <c r="H2" s="59">
        <v>6</v>
      </c>
      <c r="I2" s="59">
        <v>4</v>
      </c>
      <c r="J2" s="59">
        <v>5</v>
      </c>
      <c r="K2" s="59">
        <v>3</v>
      </c>
      <c r="L2" s="59">
        <v>2</v>
      </c>
    </row>
    <row r="3" spans="1:19" ht="13.5" collapsed="1" thickBot="1" x14ac:dyDescent="0.25"/>
    <row r="4" spans="1:19" ht="14.25" x14ac:dyDescent="0.2">
      <c r="A4" s="60" t="s">
        <v>73</v>
      </c>
      <c r="B4" s="59" t="s">
        <v>84</v>
      </c>
      <c r="E4" s="11"/>
      <c r="F4" s="12"/>
      <c r="G4" s="81" t="s">
        <v>169</v>
      </c>
      <c r="H4" s="82"/>
      <c r="I4" s="82"/>
      <c r="J4" s="82"/>
      <c r="K4" s="82"/>
      <c r="L4" s="83"/>
    </row>
    <row r="5" spans="1:19" ht="26.25" thickBot="1" x14ac:dyDescent="0.25">
      <c r="E5" s="3" t="s">
        <v>0</v>
      </c>
      <c r="F5" s="2" t="s">
        <v>1</v>
      </c>
      <c r="G5" s="13" t="s">
        <v>3</v>
      </c>
      <c r="H5" s="13" t="s">
        <v>28</v>
      </c>
      <c r="I5" s="13" t="s">
        <v>20</v>
      </c>
      <c r="J5" s="14" t="s">
        <v>21</v>
      </c>
      <c r="K5" s="13" t="s">
        <v>4</v>
      </c>
      <c r="L5" s="15" t="s">
        <v>5</v>
      </c>
    </row>
    <row r="6" spans="1:19" ht="25.5" customHeight="1" x14ac:dyDescent="0.2">
      <c r="A6" s="61" t="s">
        <v>79</v>
      </c>
      <c r="B6" s="61" t="s">
        <v>80</v>
      </c>
      <c r="C6" s="61" t="s">
        <v>81</v>
      </c>
      <c r="E6" s="4" t="s">
        <v>12</v>
      </c>
      <c r="F6" s="1"/>
      <c r="G6" s="84"/>
      <c r="H6" s="85"/>
      <c r="I6" s="85"/>
      <c r="J6" s="85"/>
      <c r="K6" s="85"/>
      <c r="L6" s="86"/>
    </row>
    <row r="7" spans="1:19" x14ac:dyDescent="0.2">
      <c r="E7" s="5" t="s">
        <v>64</v>
      </c>
      <c r="F7" s="1"/>
      <c r="G7" s="16"/>
      <c r="H7" s="17"/>
      <c r="I7" s="17"/>
      <c r="J7" s="18"/>
      <c r="K7" s="17"/>
      <c r="L7" s="19"/>
    </row>
    <row r="8" spans="1:19" x14ac:dyDescent="0.2">
      <c r="A8" s="59">
        <v>32</v>
      </c>
      <c r="B8" s="59">
        <v>40</v>
      </c>
      <c r="C8" s="59" t="s">
        <v>65</v>
      </c>
      <c r="E8" s="20" t="s">
        <v>67</v>
      </c>
      <c r="F8" s="8" t="s">
        <v>2</v>
      </c>
      <c r="G8" s="37">
        <v>166.6</v>
      </c>
      <c r="H8" s="38">
        <v>166.5</v>
      </c>
      <c r="I8" s="38">
        <v>166.5</v>
      </c>
      <c r="J8" s="38">
        <v>166.5</v>
      </c>
      <c r="K8" s="38">
        <v>166.7</v>
      </c>
      <c r="L8" s="39">
        <v>166.7</v>
      </c>
      <c r="N8" s="80"/>
      <c r="O8" s="80"/>
      <c r="P8" s="80"/>
      <c r="Q8" s="80"/>
      <c r="R8" s="80"/>
      <c r="S8" s="80"/>
    </row>
    <row r="9" spans="1:19" x14ac:dyDescent="0.2">
      <c r="A9" s="59">
        <v>44</v>
      </c>
      <c r="B9" s="59">
        <v>52</v>
      </c>
      <c r="C9" s="59" t="s">
        <v>65</v>
      </c>
      <c r="E9" s="20" t="s">
        <v>68</v>
      </c>
      <c r="F9" s="8" t="s">
        <v>2</v>
      </c>
      <c r="G9" s="37">
        <v>188.2</v>
      </c>
      <c r="H9" s="38">
        <v>188.2</v>
      </c>
      <c r="I9" s="38">
        <v>188.2</v>
      </c>
      <c r="J9" s="38">
        <v>188.2</v>
      </c>
      <c r="K9" s="38">
        <v>188.2</v>
      </c>
      <c r="L9" s="39">
        <v>188.2</v>
      </c>
      <c r="N9" s="80"/>
      <c r="O9" s="80"/>
      <c r="P9" s="80"/>
      <c r="Q9" s="80"/>
      <c r="R9" s="80"/>
      <c r="S9" s="80"/>
    </row>
    <row r="10" spans="1:19" x14ac:dyDescent="0.2">
      <c r="E10" s="20"/>
      <c r="F10" s="8"/>
      <c r="G10" s="37"/>
      <c r="H10" s="38"/>
      <c r="I10" s="38"/>
      <c r="J10" s="38"/>
      <c r="K10" s="38"/>
      <c r="L10" s="39"/>
      <c r="N10" s="80"/>
      <c r="O10" s="80"/>
      <c r="P10" s="80"/>
      <c r="Q10" s="80"/>
      <c r="R10" s="80"/>
      <c r="S10" s="80"/>
    </row>
    <row r="11" spans="1:19" x14ac:dyDescent="0.2">
      <c r="E11" s="5" t="s">
        <v>66</v>
      </c>
      <c r="F11" s="8"/>
      <c r="G11" s="7"/>
      <c r="H11" s="8"/>
      <c r="I11" s="8"/>
      <c r="J11" s="8"/>
      <c r="K11" s="8"/>
      <c r="L11" s="9"/>
      <c r="N11" s="80"/>
      <c r="O11" s="80"/>
      <c r="P11" s="80"/>
      <c r="Q11" s="80"/>
      <c r="R11" s="80"/>
      <c r="S11" s="80"/>
    </row>
    <row r="12" spans="1:19" x14ac:dyDescent="0.2">
      <c r="A12" s="59">
        <v>32</v>
      </c>
      <c r="B12" s="59">
        <v>40</v>
      </c>
      <c r="C12" s="59" t="s">
        <v>69</v>
      </c>
      <c r="E12" s="20" t="s">
        <v>13</v>
      </c>
      <c r="F12" s="8" t="s">
        <v>10</v>
      </c>
      <c r="G12" s="21">
        <v>9670</v>
      </c>
      <c r="H12" s="22">
        <v>9670</v>
      </c>
      <c r="I12" s="22">
        <v>9670</v>
      </c>
      <c r="J12" s="22">
        <v>9670</v>
      </c>
      <c r="K12" s="22">
        <v>9660</v>
      </c>
      <c r="L12" s="23">
        <v>9670</v>
      </c>
      <c r="N12" s="80"/>
      <c r="O12" s="80"/>
      <c r="P12" s="80"/>
      <c r="Q12" s="80"/>
      <c r="R12" s="80"/>
      <c r="S12" s="80"/>
    </row>
    <row r="13" spans="1:19" x14ac:dyDescent="0.2">
      <c r="A13" s="59">
        <v>44</v>
      </c>
      <c r="B13" s="59">
        <v>52</v>
      </c>
      <c r="C13" s="59" t="s">
        <v>69</v>
      </c>
      <c r="E13" s="20" t="s">
        <v>14</v>
      </c>
      <c r="F13" s="8" t="s">
        <v>10</v>
      </c>
      <c r="G13" s="21">
        <v>9450</v>
      </c>
      <c r="H13" s="22">
        <v>9460</v>
      </c>
      <c r="I13" s="22">
        <v>9440</v>
      </c>
      <c r="J13" s="22">
        <v>9440</v>
      </c>
      <c r="K13" s="22">
        <v>9440</v>
      </c>
      <c r="L13" s="23">
        <v>9440</v>
      </c>
      <c r="N13" s="80"/>
      <c r="O13" s="80"/>
      <c r="P13" s="80"/>
      <c r="Q13" s="80"/>
      <c r="R13" s="80"/>
      <c r="S13" s="80"/>
    </row>
    <row r="14" spans="1:19" x14ac:dyDescent="0.2">
      <c r="A14" s="59">
        <v>56</v>
      </c>
      <c r="B14" s="59">
        <v>64</v>
      </c>
      <c r="C14" s="59" t="s">
        <v>69</v>
      </c>
      <c r="E14" s="70" t="s">
        <v>212</v>
      </c>
      <c r="F14" s="71" t="s">
        <v>10</v>
      </c>
      <c r="G14" s="72">
        <v>9420</v>
      </c>
      <c r="H14" s="73">
        <v>9420</v>
      </c>
      <c r="I14" s="73">
        <v>9430</v>
      </c>
      <c r="J14" s="73">
        <v>9430</v>
      </c>
      <c r="K14" s="73">
        <v>9430</v>
      </c>
      <c r="L14" s="74">
        <v>9430</v>
      </c>
      <c r="M14" s="75" t="s">
        <v>213</v>
      </c>
      <c r="N14" s="80"/>
      <c r="O14" s="80"/>
      <c r="P14" s="80"/>
      <c r="Q14" s="80"/>
      <c r="R14" s="80"/>
      <c r="S14" s="80"/>
    </row>
    <row r="15" spans="1:19" x14ac:dyDescent="0.2">
      <c r="E15" s="5" t="s">
        <v>17</v>
      </c>
      <c r="F15" s="24"/>
      <c r="G15" s="7"/>
      <c r="H15" s="8"/>
      <c r="I15" s="8"/>
      <c r="J15" s="8"/>
      <c r="K15" s="8"/>
      <c r="L15" s="9"/>
      <c r="N15" s="80"/>
      <c r="O15" s="80"/>
      <c r="P15" s="80"/>
      <c r="Q15" s="80"/>
      <c r="R15" s="80"/>
      <c r="S15" s="80"/>
    </row>
    <row r="16" spans="1:19" ht="14.25" x14ac:dyDescent="0.2">
      <c r="A16" s="59">
        <v>211</v>
      </c>
      <c r="B16" s="59">
        <v>215</v>
      </c>
      <c r="C16" s="59" t="s">
        <v>70</v>
      </c>
      <c r="E16" s="20" t="s">
        <v>25</v>
      </c>
      <c r="F16" s="25" t="s">
        <v>15</v>
      </c>
      <c r="G16" s="62">
        <v>13.652972399150743</v>
      </c>
      <c r="H16" s="27">
        <v>13.652972399150743</v>
      </c>
      <c r="I16" s="27">
        <v>13.638494167550371</v>
      </c>
      <c r="J16" s="76">
        <v>13.638494167550371</v>
      </c>
      <c r="K16" s="27">
        <v>13.62439024390244</v>
      </c>
      <c r="L16" s="28">
        <v>13.638494167550371</v>
      </c>
      <c r="N16" s="80"/>
      <c r="O16" s="80"/>
      <c r="P16" s="80"/>
      <c r="Q16" s="80"/>
      <c r="R16" s="80"/>
      <c r="S16" s="80"/>
    </row>
    <row r="17" spans="1:19" ht="14.25" x14ac:dyDescent="0.2">
      <c r="A17" s="59">
        <v>211</v>
      </c>
      <c r="B17" s="59">
        <v>215</v>
      </c>
      <c r="C17" s="59" t="s">
        <v>71</v>
      </c>
      <c r="E17" s="20" t="s">
        <v>26</v>
      </c>
      <c r="F17" s="25" t="s">
        <v>15</v>
      </c>
      <c r="G17" s="26">
        <v>3.5928874734607219</v>
      </c>
      <c r="H17" s="27">
        <v>3.5928874734607219</v>
      </c>
      <c r="I17" s="27">
        <v>3.5890774125132556</v>
      </c>
      <c r="J17" s="27">
        <v>3.5890774125132556</v>
      </c>
      <c r="K17" s="27">
        <v>3.5853658536585367</v>
      </c>
      <c r="L17" s="28">
        <v>3.5890774125132556</v>
      </c>
      <c r="N17" s="80"/>
      <c r="O17" s="80"/>
      <c r="P17" s="80"/>
      <c r="Q17" s="80"/>
      <c r="R17" s="80"/>
      <c r="S17" s="80"/>
    </row>
    <row r="18" spans="1:19" ht="14.25" x14ac:dyDescent="0.2">
      <c r="A18" s="59">
        <v>211</v>
      </c>
      <c r="B18" s="59">
        <v>215</v>
      </c>
      <c r="C18" s="59" t="s">
        <v>72</v>
      </c>
      <c r="E18" s="20" t="s">
        <v>27</v>
      </c>
      <c r="F18" s="25" t="s">
        <v>15</v>
      </c>
      <c r="G18" s="21">
        <v>214341.40127388536</v>
      </c>
      <c r="H18" s="22">
        <v>214341.40127388536</v>
      </c>
      <c r="I18" s="22">
        <v>214114.10392364793</v>
      </c>
      <c r="J18" s="22">
        <v>214114.10392364793</v>
      </c>
      <c r="K18" s="22">
        <v>213892.68292682926</v>
      </c>
      <c r="L18" s="23">
        <v>214114.10392364793</v>
      </c>
      <c r="N18" s="80"/>
      <c r="O18" s="80"/>
      <c r="P18" s="80"/>
      <c r="Q18" s="80"/>
      <c r="R18" s="80"/>
      <c r="S18" s="80"/>
    </row>
    <row r="19" spans="1:19" x14ac:dyDescent="0.2">
      <c r="E19" s="5" t="s">
        <v>18</v>
      </c>
      <c r="F19" s="24"/>
      <c r="G19" s="29"/>
      <c r="H19" s="24"/>
      <c r="I19" s="24"/>
      <c r="J19" s="24"/>
      <c r="K19" s="24"/>
      <c r="L19" s="30"/>
      <c r="N19" s="80"/>
      <c r="O19" s="80"/>
      <c r="P19" s="80"/>
      <c r="Q19" s="80"/>
      <c r="R19" s="80"/>
      <c r="S19" s="80"/>
    </row>
    <row r="20" spans="1:19" ht="14.25" x14ac:dyDescent="0.2">
      <c r="A20" s="59">
        <v>211</v>
      </c>
      <c r="B20" s="59">
        <v>215</v>
      </c>
      <c r="C20" s="59" t="s">
        <v>70</v>
      </c>
      <c r="E20" s="20" t="s">
        <v>25</v>
      </c>
      <c r="F20" s="25" t="s">
        <v>15</v>
      </c>
      <c r="G20" s="26">
        <v>13.342356687898089</v>
      </c>
      <c r="H20" s="27">
        <v>13.356475583864119</v>
      </c>
      <c r="I20" s="27">
        <v>13.314103923647933</v>
      </c>
      <c r="J20" s="27">
        <v>13.314103923647933</v>
      </c>
      <c r="K20" s="27">
        <v>13.314103923647933</v>
      </c>
      <c r="L20" s="28">
        <v>13.314103923647933</v>
      </c>
      <c r="N20" s="80"/>
      <c r="O20" s="80"/>
      <c r="P20" s="80"/>
      <c r="Q20" s="80"/>
      <c r="R20" s="80"/>
      <c r="S20" s="80"/>
    </row>
    <row r="21" spans="1:19" ht="14.25" x14ac:dyDescent="0.2">
      <c r="A21" s="59">
        <v>211</v>
      </c>
      <c r="B21" s="59">
        <v>215</v>
      </c>
      <c r="C21" s="59" t="s">
        <v>71</v>
      </c>
      <c r="E21" s="20" t="s">
        <v>26</v>
      </c>
      <c r="F21" s="25" t="s">
        <v>15</v>
      </c>
      <c r="G21" s="26">
        <v>3.5111464968152868</v>
      </c>
      <c r="H21" s="27">
        <v>3.5148619957537157</v>
      </c>
      <c r="I21" s="27">
        <v>3.503711558854719</v>
      </c>
      <c r="J21" s="27">
        <v>3.503711558854719</v>
      </c>
      <c r="K21" s="27">
        <v>3.503711558854719</v>
      </c>
      <c r="L21" s="28">
        <v>3.503711558854719</v>
      </c>
      <c r="N21" s="80"/>
      <c r="O21" s="80"/>
      <c r="P21" s="80"/>
      <c r="Q21" s="80"/>
      <c r="R21" s="80"/>
      <c r="S21" s="80"/>
    </row>
    <row r="22" spans="1:19" ht="14.25" x14ac:dyDescent="0.2">
      <c r="A22" s="59">
        <v>211</v>
      </c>
      <c r="B22" s="59">
        <v>215</v>
      </c>
      <c r="C22" s="59" t="s">
        <v>72</v>
      </c>
      <c r="E22" s="20" t="s">
        <v>27</v>
      </c>
      <c r="F22" s="25" t="s">
        <v>15</v>
      </c>
      <c r="G22" s="21">
        <v>209464.96815286623</v>
      </c>
      <c r="H22" s="22">
        <v>209686.62420382164</v>
      </c>
      <c r="I22" s="22">
        <v>209021.42099681866</v>
      </c>
      <c r="J22" s="22">
        <v>209021.42099681866</v>
      </c>
      <c r="K22" s="22">
        <v>209021.42099681866</v>
      </c>
      <c r="L22" s="23">
        <v>209021.42099681866</v>
      </c>
      <c r="N22" s="80"/>
      <c r="O22" s="80"/>
      <c r="P22" s="80"/>
      <c r="Q22" s="80"/>
      <c r="R22" s="80"/>
      <c r="S22" s="80"/>
    </row>
    <row r="23" spans="1:19" x14ac:dyDescent="0.2">
      <c r="E23" s="5" t="s">
        <v>133</v>
      </c>
      <c r="F23" s="24"/>
      <c r="G23" s="21"/>
      <c r="H23" s="22"/>
      <c r="I23" s="22"/>
      <c r="J23" s="22"/>
      <c r="K23" s="22"/>
      <c r="L23" s="23"/>
      <c r="N23" s="80"/>
      <c r="O23" s="80"/>
      <c r="P23" s="80"/>
      <c r="Q23" s="80"/>
      <c r="R23" s="80"/>
      <c r="S23" s="80"/>
    </row>
    <row r="24" spans="1:19" ht="14.25" x14ac:dyDescent="0.2">
      <c r="A24" s="59">
        <v>226</v>
      </c>
      <c r="B24" s="59">
        <v>229</v>
      </c>
      <c r="C24" s="59" t="s">
        <v>70</v>
      </c>
      <c r="E24" s="20" t="s">
        <v>25</v>
      </c>
      <c r="F24" s="25" t="s">
        <v>15</v>
      </c>
      <c r="G24" s="62">
        <v>42.806687898089173</v>
      </c>
      <c r="H24" s="27">
        <v>42.806687898089173</v>
      </c>
      <c r="I24" s="27">
        <v>42.761293743372214</v>
      </c>
      <c r="J24" s="76">
        <v>42.761293743372214</v>
      </c>
      <c r="K24" s="27">
        <v>42.717073170731709</v>
      </c>
      <c r="L24" s="28">
        <v>42.761293743372214</v>
      </c>
      <c r="N24" s="80"/>
      <c r="O24" s="80"/>
      <c r="P24" s="80"/>
      <c r="Q24" s="80"/>
      <c r="R24" s="80"/>
      <c r="S24" s="80"/>
    </row>
    <row r="25" spans="1:19" ht="14.25" x14ac:dyDescent="0.2">
      <c r="A25" s="59">
        <v>226</v>
      </c>
      <c r="B25" s="59">
        <v>229</v>
      </c>
      <c r="C25" s="59" t="s">
        <v>71</v>
      </c>
      <c r="E25" s="20" t="s">
        <v>26</v>
      </c>
      <c r="F25" s="25" t="s">
        <v>15</v>
      </c>
      <c r="G25" s="26">
        <v>2.6690021231422505</v>
      </c>
      <c r="H25" s="27">
        <v>2.6690021231422505</v>
      </c>
      <c r="I25" s="27">
        <v>2.6661717921527042</v>
      </c>
      <c r="J25" s="27">
        <v>2.6661717921527042</v>
      </c>
      <c r="K25" s="27">
        <v>2.6634146341463416</v>
      </c>
      <c r="L25" s="28">
        <v>2.6661717921527042</v>
      </c>
      <c r="N25" s="80"/>
      <c r="O25" s="80"/>
      <c r="P25" s="80"/>
      <c r="Q25" s="80"/>
      <c r="R25" s="80"/>
      <c r="S25" s="80"/>
    </row>
    <row r="26" spans="1:19" ht="14.25" x14ac:dyDescent="0.2">
      <c r="A26" s="59">
        <v>226</v>
      </c>
      <c r="B26" s="59">
        <v>229</v>
      </c>
      <c r="C26" s="59" t="s">
        <v>72</v>
      </c>
      <c r="E26" s="20" t="s">
        <v>27</v>
      </c>
      <c r="F26" s="25" t="s">
        <v>15</v>
      </c>
      <c r="G26" s="21">
        <v>285788.53503184713</v>
      </c>
      <c r="H26" s="22">
        <v>285788.53503184713</v>
      </c>
      <c r="I26" s="22">
        <v>285485.47189819725</v>
      </c>
      <c r="J26" s="22">
        <v>285485.47189819725</v>
      </c>
      <c r="K26" s="22">
        <v>285190.24390243902</v>
      </c>
      <c r="L26" s="23">
        <v>285485.47189819725</v>
      </c>
      <c r="N26" s="80"/>
      <c r="O26" s="80"/>
      <c r="P26" s="80"/>
      <c r="Q26" s="80"/>
      <c r="R26" s="80"/>
      <c r="S26" s="80"/>
    </row>
    <row r="27" spans="1:19" x14ac:dyDescent="0.2">
      <c r="E27" s="5" t="s">
        <v>16</v>
      </c>
      <c r="F27" s="24"/>
      <c r="G27" s="29"/>
      <c r="H27" s="24"/>
      <c r="I27" s="24"/>
      <c r="J27" s="24"/>
      <c r="K27" s="24"/>
      <c r="L27" s="30"/>
      <c r="N27" s="80"/>
      <c r="O27" s="80"/>
      <c r="P27" s="80"/>
      <c r="Q27" s="80"/>
      <c r="R27" s="80"/>
      <c r="S27" s="80"/>
    </row>
    <row r="28" spans="1:19" ht="14.25" x14ac:dyDescent="0.2">
      <c r="A28" s="59">
        <v>226</v>
      </c>
      <c r="B28" s="59">
        <v>229</v>
      </c>
      <c r="C28" s="59" t="s">
        <v>70</v>
      </c>
      <c r="E28" s="20" t="s">
        <v>25</v>
      </c>
      <c r="F28" s="25" t="s">
        <v>15</v>
      </c>
      <c r="G28" s="26">
        <v>41.832802547770697</v>
      </c>
      <c r="H28" s="27">
        <v>41.877070063694269</v>
      </c>
      <c r="I28" s="27">
        <v>41.744220572640508</v>
      </c>
      <c r="J28" s="27">
        <v>41.744220572640508</v>
      </c>
      <c r="K28" s="27">
        <v>41.744220572640508</v>
      </c>
      <c r="L28" s="28">
        <v>41.744220572640508</v>
      </c>
      <c r="N28" s="80"/>
      <c r="O28" s="80"/>
      <c r="P28" s="80"/>
      <c r="Q28" s="80"/>
      <c r="R28" s="80"/>
      <c r="S28" s="80"/>
    </row>
    <row r="29" spans="1:19" ht="14.25" x14ac:dyDescent="0.2">
      <c r="A29" s="59">
        <v>226</v>
      </c>
      <c r="B29" s="59">
        <v>229</v>
      </c>
      <c r="C29" s="59" t="s">
        <v>71</v>
      </c>
      <c r="E29" s="20" t="s">
        <v>26</v>
      </c>
      <c r="F29" s="25" t="s">
        <v>15</v>
      </c>
      <c r="G29" s="26">
        <v>2.6082802547770703</v>
      </c>
      <c r="H29" s="27">
        <v>2.6110403397027602</v>
      </c>
      <c r="I29" s="27">
        <v>2.6027571580063626</v>
      </c>
      <c r="J29" s="27">
        <v>2.6027571580063626</v>
      </c>
      <c r="K29" s="27">
        <v>2.6027571580063626</v>
      </c>
      <c r="L29" s="28">
        <v>2.6027571580063626</v>
      </c>
      <c r="N29" s="80"/>
      <c r="O29" s="80"/>
      <c r="P29" s="80"/>
      <c r="Q29" s="80"/>
      <c r="R29" s="80"/>
      <c r="S29" s="80"/>
    </row>
    <row r="30" spans="1:19" ht="14.25" x14ac:dyDescent="0.2">
      <c r="A30" s="59">
        <v>226</v>
      </c>
      <c r="B30" s="59">
        <v>229</v>
      </c>
      <c r="C30" s="59" t="s">
        <v>72</v>
      </c>
      <c r="E30" s="20" t="s">
        <v>27</v>
      </c>
      <c r="F30" s="25" t="s">
        <v>15</v>
      </c>
      <c r="G30" s="21">
        <v>279286.62420382164</v>
      </c>
      <c r="H30" s="22">
        <v>279582.16560509556</v>
      </c>
      <c r="I30" s="22">
        <v>278695.22799575824</v>
      </c>
      <c r="J30" s="22">
        <v>278695.22799575824</v>
      </c>
      <c r="K30" s="22">
        <v>278695.22799575824</v>
      </c>
      <c r="L30" s="23">
        <v>278695.22799575824</v>
      </c>
      <c r="N30" s="80"/>
      <c r="O30" s="80"/>
      <c r="P30" s="80"/>
      <c r="Q30" s="80"/>
      <c r="R30" s="80"/>
      <c r="S30" s="80"/>
    </row>
    <row r="31" spans="1:19" x14ac:dyDescent="0.2">
      <c r="E31" s="4" t="s">
        <v>19</v>
      </c>
      <c r="F31" s="25"/>
      <c r="G31" s="29"/>
      <c r="H31" s="24"/>
      <c r="I31" s="24"/>
      <c r="J31" s="24"/>
      <c r="K31" s="24"/>
      <c r="L31" s="30"/>
      <c r="N31" s="80"/>
      <c r="O31" s="80"/>
      <c r="P31" s="80"/>
      <c r="Q31" s="80"/>
      <c r="R31" s="80"/>
      <c r="S31" s="80"/>
    </row>
    <row r="32" spans="1:19" x14ac:dyDescent="0.2">
      <c r="E32" s="31"/>
      <c r="F32" s="8"/>
      <c r="G32" s="53"/>
      <c r="H32" s="54"/>
      <c r="I32" s="54"/>
      <c r="J32" s="54"/>
      <c r="K32" s="54"/>
      <c r="L32" s="55"/>
      <c r="N32" s="80"/>
      <c r="O32" s="80"/>
      <c r="P32" s="80"/>
      <c r="Q32" s="80"/>
      <c r="R32" s="80"/>
      <c r="S32" s="80"/>
    </row>
    <row r="33" spans="1:19" ht="25.5" x14ac:dyDescent="0.2">
      <c r="A33" s="87" t="s">
        <v>158</v>
      </c>
      <c r="B33" s="87"/>
      <c r="C33" s="87"/>
      <c r="E33" s="31" t="s">
        <v>55</v>
      </c>
      <c r="F33" s="8" t="s">
        <v>7</v>
      </c>
      <c r="G33" s="53">
        <v>100</v>
      </c>
      <c r="H33" s="54">
        <v>100</v>
      </c>
      <c r="I33" s="54">
        <v>100</v>
      </c>
      <c r="J33" s="54">
        <v>100</v>
      </c>
      <c r="K33" s="54">
        <v>100</v>
      </c>
      <c r="L33" s="55">
        <v>100</v>
      </c>
      <c r="N33" s="80"/>
      <c r="O33" s="80"/>
      <c r="P33" s="80"/>
      <c r="Q33" s="80"/>
      <c r="R33" s="80"/>
      <c r="S33" s="80"/>
    </row>
    <row r="34" spans="1:19" ht="13.5" thickBot="1" x14ac:dyDescent="0.25">
      <c r="A34" s="59">
        <v>16</v>
      </c>
      <c r="B34" s="59">
        <v>16</v>
      </c>
      <c r="C34" s="59" t="s">
        <v>74</v>
      </c>
      <c r="E34" s="32" t="s">
        <v>6</v>
      </c>
      <c r="F34" s="52" t="s">
        <v>11</v>
      </c>
      <c r="G34" s="56">
        <v>0.1003</v>
      </c>
      <c r="H34" s="57">
        <v>0.1003</v>
      </c>
      <c r="I34" s="57">
        <v>0.1003</v>
      </c>
      <c r="J34" s="57">
        <v>0.1003</v>
      </c>
      <c r="K34" s="57">
        <v>0.1003</v>
      </c>
      <c r="L34" s="58">
        <v>0.1003</v>
      </c>
      <c r="N34" s="80"/>
      <c r="O34" s="80"/>
      <c r="P34" s="80"/>
      <c r="Q34" s="80"/>
      <c r="R34" s="80"/>
      <c r="S34" s="80"/>
    </row>
    <row r="35" spans="1:19" ht="12.75" customHeight="1" x14ac:dyDescent="0.2">
      <c r="E35" s="6" t="s">
        <v>210</v>
      </c>
      <c r="F35" s="24"/>
      <c r="G35" s="34"/>
      <c r="H35" s="35"/>
      <c r="I35" s="35"/>
      <c r="J35" s="35"/>
      <c r="K35" s="35"/>
      <c r="L35" s="36"/>
      <c r="N35" s="80"/>
      <c r="O35" s="80"/>
      <c r="P35" s="80"/>
      <c r="Q35" s="80"/>
      <c r="R35" s="80"/>
      <c r="S35" s="80"/>
    </row>
    <row r="36" spans="1:19" x14ac:dyDescent="0.2">
      <c r="A36" s="59">
        <v>184</v>
      </c>
      <c r="B36" s="59">
        <v>187</v>
      </c>
      <c r="C36" s="59" t="s">
        <v>77</v>
      </c>
      <c r="E36" s="20" t="s">
        <v>22</v>
      </c>
      <c r="F36" s="8" t="s">
        <v>9</v>
      </c>
      <c r="G36" s="63">
        <v>9.74</v>
      </c>
      <c r="H36" s="41">
        <v>10.190000000000001</v>
      </c>
      <c r="I36" s="41">
        <v>9.870000000000001</v>
      </c>
      <c r="J36" s="41">
        <v>9.870000000000001</v>
      </c>
      <c r="K36" s="41">
        <v>9.9700000000000006</v>
      </c>
      <c r="L36" s="42">
        <v>10.09</v>
      </c>
      <c r="N36" s="80"/>
      <c r="O36" s="80"/>
      <c r="P36" s="80"/>
      <c r="Q36" s="80"/>
      <c r="R36" s="80"/>
      <c r="S36" s="80"/>
    </row>
    <row r="37" spans="1:19" x14ac:dyDescent="0.2">
      <c r="A37" s="59">
        <v>190</v>
      </c>
      <c r="B37" s="59">
        <v>193</v>
      </c>
      <c r="C37" s="59" t="s">
        <v>77</v>
      </c>
      <c r="E37" s="20" t="s">
        <v>23</v>
      </c>
      <c r="F37" s="8" t="s">
        <v>9</v>
      </c>
      <c r="G37" s="40">
        <v>9.81</v>
      </c>
      <c r="H37" s="41">
        <v>10.23</v>
      </c>
      <c r="I37" s="41">
        <v>9.92</v>
      </c>
      <c r="J37" s="41">
        <v>9.92</v>
      </c>
      <c r="K37" s="41">
        <v>10.02</v>
      </c>
      <c r="L37" s="42">
        <v>10.120000000000001</v>
      </c>
      <c r="N37" s="80"/>
      <c r="O37" s="80"/>
      <c r="P37" s="80"/>
      <c r="Q37" s="80"/>
      <c r="R37" s="80"/>
      <c r="S37" s="80"/>
    </row>
    <row r="38" spans="1:19" x14ac:dyDescent="0.2">
      <c r="A38" s="59">
        <v>177</v>
      </c>
      <c r="B38" s="59">
        <v>180</v>
      </c>
      <c r="C38" s="59" t="s">
        <v>75</v>
      </c>
      <c r="E38" s="20" t="s">
        <v>215</v>
      </c>
      <c r="F38" s="8" t="s">
        <v>209</v>
      </c>
      <c r="G38" s="40">
        <v>570</v>
      </c>
      <c r="H38" s="41">
        <v>570</v>
      </c>
      <c r="I38" s="41">
        <v>570</v>
      </c>
      <c r="J38" s="41">
        <v>570</v>
      </c>
      <c r="K38" s="41">
        <v>570</v>
      </c>
      <c r="L38" s="42">
        <v>570</v>
      </c>
      <c r="N38" s="80"/>
      <c r="O38" s="80"/>
      <c r="P38" s="80"/>
      <c r="Q38" s="80"/>
      <c r="R38" s="80"/>
      <c r="S38" s="80"/>
    </row>
    <row r="39" spans="1:19" ht="13.5" thickBot="1" x14ac:dyDescent="0.25">
      <c r="A39" s="59">
        <v>177</v>
      </c>
      <c r="B39" s="59">
        <v>180</v>
      </c>
      <c r="C39" s="59" t="s">
        <v>76</v>
      </c>
      <c r="E39" s="32" t="s">
        <v>211</v>
      </c>
      <c r="F39" s="33" t="s">
        <v>8</v>
      </c>
      <c r="G39" s="43" t="s">
        <v>83</v>
      </c>
      <c r="H39" s="44" t="s">
        <v>83</v>
      </c>
      <c r="I39" s="44" t="s">
        <v>83</v>
      </c>
      <c r="J39" s="44" t="s">
        <v>83</v>
      </c>
      <c r="K39" s="44" t="s">
        <v>83</v>
      </c>
      <c r="L39" s="45" t="s">
        <v>83</v>
      </c>
    </row>
    <row r="41" spans="1:19" x14ac:dyDescent="0.2">
      <c r="E41" s="10" t="s">
        <v>234</v>
      </c>
    </row>
  </sheetData>
  <mergeCells count="3">
    <mergeCell ref="G4:L4"/>
    <mergeCell ref="G6:L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opLeftCell="E3" workbookViewId="0">
      <selection activeCell="E3" sqref="E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4" width="38" style="59" hidden="1" customWidth="1" outlineLevel="1"/>
    <col min="5" max="5" width="1.83203125" style="10" customWidth="1" collapsed="1"/>
    <col min="6" max="6" width="43.5" style="10" customWidth="1"/>
    <col min="7" max="7" width="16" style="10" customWidth="1"/>
    <col min="8" max="8" width="16.33203125" style="10" customWidth="1"/>
    <col min="9" max="9" width="16.5" style="10" customWidth="1"/>
    <col min="10" max="10" width="16.33203125" style="10" customWidth="1"/>
    <col min="11" max="11" width="16.1640625" style="10" customWidth="1"/>
    <col min="12" max="12" width="17.5" style="10" customWidth="1"/>
    <col min="13" max="13" width="17.83203125" style="10" customWidth="1"/>
    <col min="14" max="16384" width="9.33203125" style="10"/>
  </cols>
  <sheetData>
    <row r="1" spans="1:20" s="59" customFormat="1" hidden="1" outlineLevel="1" x14ac:dyDescent="0.2">
      <c r="H1" s="59" t="s">
        <v>58</v>
      </c>
      <c r="I1" s="59" t="s">
        <v>59</v>
      </c>
      <c r="J1" s="59" t="s">
        <v>60</v>
      </c>
      <c r="K1" s="59" t="s">
        <v>61</v>
      </c>
      <c r="L1" s="59" t="s">
        <v>62</v>
      </c>
      <c r="M1" s="59" t="s">
        <v>63</v>
      </c>
    </row>
    <row r="2" spans="1:20" s="59" customFormat="1" hidden="1" outlineLevel="1" x14ac:dyDescent="0.2">
      <c r="H2" s="59">
        <v>7</v>
      </c>
      <c r="I2" s="59">
        <v>6</v>
      </c>
      <c r="J2" s="59">
        <v>4</v>
      </c>
      <c r="K2" s="59">
        <v>5</v>
      </c>
      <c r="L2" s="59">
        <v>3</v>
      </c>
      <c r="M2" s="59">
        <v>2</v>
      </c>
    </row>
    <row r="3" spans="1:20" ht="13.5" collapsed="1" thickBot="1" x14ac:dyDescent="0.25"/>
    <row r="4" spans="1:20" ht="14.25" x14ac:dyDescent="0.2">
      <c r="A4" s="60" t="s">
        <v>73</v>
      </c>
      <c r="B4" s="59" t="s">
        <v>82</v>
      </c>
      <c r="F4" s="11"/>
      <c r="G4" s="12"/>
      <c r="H4" s="81" t="s">
        <v>161</v>
      </c>
      <c r="I4" s="82"/>
      <c r="J4" s="82"/>
      <c r="K4" s="82"/>
      <c r="L4" s="82"/>
      <c r="M4" s="83"/>
    </row>
    <row r="5" spans="1:20" ht="26.25" thickBot="1" x14ac:dyDescent="0.25">
      <c r="F5" s="3" t="s">
        <v>0</v>
      </c>
      <c r="G5" s="2" t="s">
        <v>1</v>
      </c>
      <c r="H5" s="13" t="s">
        <v>3</v>
      </c>
      <c r="I5" s="13" t="s">
        <v>28</v>
      </c>
      <c r="J5" s="13" t="s">
        <v>20</v>
      </c>
      <c r="K5" s="14" t="s">
        <v>21</v>
      </c>
      <c r="L5" s="13" t="s">
        <v>4</v>
      </c>
      <c r="M5" s="15" t="s">
        <v>5</v>
      </c>
    </row>
    <row r="6" spans="1:20" ht="25.5" customHeight="1" x14ac:dyDescent="0.2">
      <c r="A6" s="61" t="s">
        <v>79</v>
      </c>
      <c r="B6" s="61" t="s">
        <v>80</v>
      </c>
      <c r="C6" s="61" t="s">
        <v>86</v>
      </c>
      <c r="D6" s="61" t="s">
        <v>87</v>
      </c>
      <c r="F6" s="4" t="s">
        <v>12</v>
      </c>
      <c r="G6" s="1"/>
      <c r="H6" s="84"/>
      <c r="I6" s="85"/>
      <c r="J6" s="85"/>
      <c r="K6" s="85"/>
      <c r="L6" s="85"/>
      <c r="M6" s="86"/>
    </row>
    <row r="7" spans="1:20" x14ac:dyDescent="0.2">
      <c r="F7" s="5" t="s">
        <v>64</v>
      </c>
      <c r="G7" s="1"/>
      <c r="H7" s="16"/>
      <c r="I7" s="17"/>
      <c r="J7" s="17"/>
      <c r="K7" s="18"/>
      <c r="L7" s="17"/>
      <c r="M7" s="19"/>
    </row>
    <row r="8" spans="1:20" x14ac:dyDescent="0.2">
      <c r="A8" s="59">
        <v>32</v>
      </c>
      <c r="B8" s="59">
        <v>40</v>
      </c>
      <c r="C8" s="59" t="s">
        <v>65</v>
      </c>
      <c r="F8" s="20" t="s">
        <v>67</v>
      </c>
      <c r="G8" s="8" t="s">
        <v>2</v>
      </c>
      <c r="H8" s="37">
        <v>218</v>
      </c>
      <c r="I8" s="38">
        <v>217.8</v>
      </c>
      <c r="J8" s="38">
        <v>217</v>
      </c>
      <c r="K8" s="38">
        <v>217</v>
      </c>
      <c r="L8" s="38">
        <v>217</v>
      </c>
      <c r="M8" s="39">
        <v>215.8</v>
      </c>
      <c r="O8" s="80"/>
      <c r="P8" s="80"/>
      <c r="Q8" s="80"/>
      <c r="R8" s="80"/>
      <c r="S8" s="80"/>
      <c r="T8" s="80"/>
    </row>
    <row r="9" spans="1:20" x14ac:dyDescent="0.2">
      <c r="A9" s="59">
        <v>44</v>
      </c>
      <c r="B9" s="59">
        <v>52</v>
      </c>
      <c r="C9" s="59" t="s">
        <v>65</v>
      </c>
      <c r="F9" s="20" t="s">
        <v>68</v>
      </c>
      <c r="G9" s="8" t="s">
        <v>2</v>
      </c>
      <c r="H9" s="37">
        <v>227.2</v>
      </c>
      <c r="I9" s="38">
        <v>226.9</v>
      </c>
      <c r="J9" s="38">
        <v>226.5</v>
      </c>
      <c r="K9" s="38">
        <v>226.5</v>
      </c>
      <c r="L9" s="38">
        <v>225.9</v>
      </c>
      <c r="M9" s="39">
        <v>224.9</v>
      </c>
      <c r="O9" s="80"/>
      <c r="P9" s="80"/>
      <c r="Q9" s="80"/>
      <c r="R9" s="80"/>
      <c r="S9" s="80"/>
      <c r="T9" s="80"/>
    </row>
    <row r="10" spans="1:20" x14ac:dyDescent="0.2">
      <c r="F10" s="20"/>
      <c r="G10" s="8"/>
      <c r="H10" s="37"/>
      <c r="I10" s="38"/>
      <c r="J10" s="38"/>
      <c r="K10" s="38"/>
      <c r="L10" s="38"/>
      <c r="M10" s="39"/>
      <c r="O10" s="80"/>
      <c r="P10" s="80"/>
      <c r="Q10" s="80"/>
      <c r="R10" s="80"/>
      <c r="S10" s="80"/>
      <c r="T10" s="80"/>
    </row>
    <row r="11" spans="1:20" x14ac:dyDescent="0.2">
      <c r="F11" s="5" t="s">
        <v>66</v>
      </c>
      <c r="G11" s="8"/>
      <c r="H11" s="7"/>
      <c r="I11" s="8"/>
      <c r="J11" s="8"/>
      <c r="K11" s="8"/>
      <c r="L11" s="8"/>
      <c r="M11" s="9"/>
      <c r="O11" s="80"/>
      <c r="P11" s="80"/>
      <c r="Q11" s="80"/>
      <c r="R11" s="80"/>
      <c r="S11" s="80"/>
      <c r="T11" s="80"/>
    </row>
    <row r="12" spans="1:20" x14ac:dyDescent="0.2">
      <c r="A12" s="59">
        <v>32</v>
      </c>
      <c r="B12" s="59">
        <v>40</v>
      </c>
      <c r="C12" s="59" t="s">
        <v>69</v>
      </c>
      <c r="F12" s="20" t="s">
        <v>13</v>
      </c>
      <c r="G12" s="8" t="s">
        <v>10</v>
      </c>
      <c r="H12" s="21">
        <v>10200</v>
      </c>
      <c r="I12" s="22">
        <v>10210</v>
      </c>
      <c r="J12" s="22">
        <v>10200</v>
      </c>
      <c r="K12" s="22">
        <v>10200</v>
      </c>
      <c r="L12" s="22">
        <v>10180</v>
      </c>
      <c r="M12" s="23">
        <v>10180</v>
      </c>
      <c r="O12" s="80"/>
      <c r="P12" s="80"/>
      <c r="Q12" s="80"/>
      <c r="R12" s="80"/>
      <c r="S12" s="80"/>
      <c r="T12" s="80"/>
    </row>
    <row r="13" spans="1:20" x14ac:dyDescent="0.2">
      <c r="A13" s="59">
        <v>44</v>
      </c>
      <c r="B13" s="59">
        <v>52</v>
      </c>
      <c r="C13" s="59" t="s">
        <v>69</v>
      </c>
      <c r="F13" s="20" t="s">
        <v>14</v>
      </c>
      <c r="G13" s="8" t="s">
        <v>10</v>
      </c>
      <c r="H13" s="21">
        <v>9890</v>
      </c>
      <c r="I13" s="22">
        <v>9900</v>
      </c>
      <c r="J13" s="22">
        <v>9890</v>
      </c>
      <c r="K13" s="22">
        <v>9890</v>
      </c>
      <c r="L13" s="22">
        <v>9880</v>
      </c>
      <c r="M13" s="23">
        <v>9880</v>
      </c>
      <c r="O13" s="80"/>
      <c r="P13" s="80"/>
      <c r="Q13" s="80"/>
      <c r="R13" s="80"/>
      <c r="S13" s="80"/>
      <c r="T13" s="80"/>
    </row>
    <row r="14" spans="1:20" x14ac:dyDescent="0.2">
      <c r="A14" s="59">
        <v>56</v>
      </c>
      <c r="B14" s="59">
        <v>64</v>
      </c>
      <c r="C14" s="59" t="s">
        <v>69</v>
      </c>
      <c r="F14" s="70" t="s">
        <v>212</v>
      </c>
      <c r="G14" s="71" t="s">
        <v>10</v>
      </c>
      <c r="H14" s="72">
        <v>10160</v>
      </c>
      <c r="I14" s="73">
        <v>10160</v>
      </c>
      <c r="J14" s="73">
        <v>10160</v>
      </c>
      <c r="K14" s="73">
        <v>10160</v>
      </c>
      <c r="L14" s="73">
        <v>10160</v>
      </c>
      <c r="M14" s="74">
        <v>10160</v>
      </c>
      <c r="N14" s="75" t="s">
        <v>213</v>
      </c>
      <c r="O14" s="80"/>
      <c r="P14" s="80"/>
      <c r="Q14" s="80"/>
      <c r="R14" s="80"/>
      <c r="S14" s="80"/>
      <c r="T14" s="80"/>
    </row>
    <row r="15" spans="1:20" x14ac:dyDescent="0.2">
      <c r="F15" s="5" t="s">
        <v>17</v>
      </c>
      <c r="G15" s="24"/>
      <c r="H15" s="7"/>
      <c r="I15" s="8"/>
      <c r="J15" s="8"/>
      <c r="K15" s="8"/>
      <c r="L15" s="8"/>
      <c r="M15" s="9"/>
      <c r="O15" s="80"/>
      <c r="P15" s="80"/>
      <c r="Q15" s="80"/>
      <c r="R15" s="80"/>
      <c r="S15" s="80"/>
      <c r="T15" s="80"/>
    </row>
    <row r="16" spans="1:20" ht="14.25" x14ac:dyDescent="0.2">
      <c r="A16" s="59">
        <v>205</v>
      </c>
      <c r="B16" s="59">
        <v>209</v>
      </c>
      <c r="C16" s="59" t="s">
        <v>70</v>
      </c>
      <c r="F16" s="20" t="s">
        <v>25</v>
      </c>
      <c r="G16" s="25" t="s">
        <v>15</v>
      </c>
      <c r="H16" s="62">
        <v>80.214566929133852</v>
      </c>
      <c r="I16" s="27">
        <v>80.293208661417324</v>
      </c>
      <c r="J16" s="27">
        <v>80.214566929133852</v>
      </c>
      <c r="K16" s="76">
        <v>80.214566929133852</v>
      </c>
      <c r="L16" s="27">
        <v>80.057283464566936</v>
      </c>
      <c r="M16" s="28">
        <v>80.057283464566936</v>
      </c>
      <c r="O16" s="80"/>
      <c r="P16" s="80"/>
      <c r="Q16" s="80"/>
      <c r="R16" s="80"/>
      <c r="S16" s="80"/>
      <c r="T16" s="80"/>
    </row>
    <row r="17" spans="1:20" ht="14.25" x14ac:dyDescent="0.2">
      <c r="A17" s="59">
        <v>205</v>
      </c>
      <c r="B17" s="59">
        <v>209</v>
      </c>
      <c r="C17" s="59" t="s">
        <v>71</v>
      </c>
      <c r="F17" s="20" t="s">
        <v>26</v>
      </c>
      <c r="G17" s="25" t="s">
        <v>15</v>
      </c>
      <c r="H17" s="26">
        <v>4.6181102362204722</v>
      </c>
      <c r="I17" s="27">
        <v>4.6226377952755904</v>
      </c>
      <c r="J17" s="27">
        <v>4.6181102362204722</v>
      </c>
      <c r="K17" s="27">
        <v>4.6181102362204722</v>
      </c>
      <c r="L17" s="27">
        <v>4.5088582677165352</v>
      </c>
      <c r="M17" s="28">
        <v>4.5088582677165352</v>
      </c>
      <c r="O17" s="80"/>
      <c r="P17" s="80"/>
      <c r="Q17" s="80"/>
      <c r="R17" s="80"/>
      <c r="S17" s="80"/>
      <c r="T17" s="80"/>
    </row>
    <row r="18" spans="1:20" ht="14.25" x14ac:dyDescent="0.2">
      <c r="A18" s="59">
        <v>205</v>
      </c>
      <c r="B18" s="59">
        <v>209</v>
      </c>
      <c r="C18" s="59" t="s">
        <v>72</v>
      </c>
      <c r="F18" s="20" t="s">
        <v>27</v>
      </c>
      <c r="G18" s="25" t="s">
        <v>15</v>
      </c>
      <c r="H18" s="21">
        <v>277086.61417322833</v>
      </c>
      <c r="I18" s="22">
        <v>277358.26771653543</v>
      </c>
      <c r="J18" s="22">
        <v>274677.16535433073</v>
      </c>
      <c r="K18" s="22">
        <v>274677.16535433073</v>
      </c>
      <c r="L18" s="22">
        <v>272936.22047244094</v>
      </c>
      <c r="M18" s="23">
        <v>271733.85826771654</v>
      </c>
      <c r="O18" s="80"/>
      <c r="P18" s="80"/>
      <c r="Q18" s="80"/>
      <c r="R18" s="80"/>
      <c r="S18" s="80"/>
      <c r="T18" s="80"/>
    </row>
    <row r="19" spans="1:20" x14ac:dyDescent="0.2">
      <c r="F19" s="5" t="s">
        <v>18</v>
      </c>
      <c r="G19" s="24"/>
      <c r="H19" s="29"/>
      <c r="I19" s="24"/>
      <c r="J19" s="24"/>
      <c r="K19" s="24"/>
      <c r="L19" s="24"/>
      <c r="M19" s="30"/>
      <c r="O19" s="80"/>
      <c r="P19" s="80"/>
      <c r="Q19" s="80"/>
      <c r="R19" s="80"/>
      <c r="S19" s="80"/>
      <c r="T19" s="80"/>
    </row>
    <row r="20" spans="1:20" ht="14.25" x14ac:dyDescent="0.2">
      <c r="A20" s="59">
        <v>205</v>
      </c>
      <c r="B20" s="59">
        <v>209</v>
      </c>
      <c r="C20" s="59" t="s">
        <v>70</v>
      </c>
      <c r="F20" s="20" t="s">
        <v>25</v>
      </c>
      <c r="G20" s="25" t="s">
        <v>15</v>
      </c>
      <c r="H20" s="26">
        <v>77.776673228346453</v>
      </c>
      <c r="I20" s="27">
        <v>77.855314960629926</v>
      </c>
      <c r="J20" s="27">
        <v>77.776673228346453</v>
      </c>
      <c r="K20" s="27">
        <v>77.776673228346453</v>
      </c>
      <c r="L20" s="27">
        <v>77.698031496062995</v>
      </c>
      <c r="M20" s="28">
        <v>77.698031496062995</v>
      </c>
      <c r="O20" s="80"/>
      <c r="P20" s="80"/>
      <c r="Q20" s="80"/>
      <c r="R20" s="80"/>
      <c r="S20" s="80"/>
      <c r="T20" s="80"/>
    </row>
    <row r="21" spans="1:20" ht="14.25" x14ac:dyDescent="0.2">
      <c r="A21" s="59">
        <v>205</v>
      </c>
      <c r="B21" s="59">
        <v>209</v>
      </c>
      <c r="C21" s="59" t="s">
        <v>71</v>
      </c>
      <c r="F21" s="20" t="s">
        <v>26</v>
      </c>
      <c r="G21" s="25" t="s">
        <v>15</v>
      </c>
      <c r="H21" s="26">
        <v>4.4777559055118115</v>
      </c>
      <c r="I21" s="27">
        <v>4.4822834645669287</v>
      </c>
      <c r="J21" s="27">
        <v>4.4777559055118115</v>
      </c>
      <c r="K21" s="27">
        <v>4.4777559055118115</v>
      </c>
      <c r="L21" s="27">
        <v>4.3759842519685037</v>
      </c>
      <c r="M21" s="28">
        <v>4.3759842519685037</v>
      </c>
      <c r="O21" s="80"/>
      <c r="P21" s="80"/>
      <c r="Q21" s="80"/>
      <c r="R21" s="80"/>
      <c r="S21" s="80"/>
      <c r="T21" s="80"/>
    </row>
    <row r="22" spans="1:20" ht="14.25" x14ac:dyDescent="0.2">
      <c r="A22" s="59">
        <v>205</v>
      </c>
      <c r="B22" s="59">
        <v>209</v>
      </c>
      <c r="C22" s="59" t="s">
        <v>72</v>
      </c>
      <c r="F22" s="20" t="s">
        <v>27</v>
      </c>
      <c r="G22" s="25" t="s">
        <v>15</v>
      </c>
      <c r="H22" s="21">
        <v>268665.35433070868</v>
      </c>
      <c r="I22" s="22">
        <v>268937.00787401578</v>
      </c>
      <c r="J22" s="22">
        <v>266329.13385826774</v>
      </c>
      <c r="K22" s="22">
        <v>266329.13385826774</v>
      </c>
      <c r="L22" s="22">
        <v>264892.91338582675</v>
      </c>
      <c r="M22" s="23">
        <v>263725.9842519685</v>
      </c>
      <c r="O22" s="80"/>
      <c r="P22" s="80"/>
      <c r="Q22" s="80"/>
      <c r="R22" s="80"/>
      <c r="S22" s="80"/>
      <c r="T22" s="80"/>
    </row>
    <row r="23" spans="1:20" x14ac:dyDescent="0.2">
      <c r="F23" s="5" t="s">
        <v>133</v>
      </c>
      <c r="G23" s="24"/>
      <c r="H23" s="21"/>
      <c r="I23" s="22"/>
      <c r="J23" s="22"/>
      <c r="K23" s="22"/>
      <c r="L23" s="22"/>
      <c r="M23" s="23"/>
      <c r="O23" s="80"/>
      <c r="P23" s="80"/>
      <c r="Q23" s="80"/>
      <c r="R23" s="80"/>
      <c r="S23" s="80"/>
      <c r="T23" s="80"/>
    </row>
    <row r="24" spans="1:20" ht="14.25" x14ac:dyDescent="0.2">
      <c r="A24" s="59">
        <v>219</v>
      </c>
      <c r="B24" s="59">
        <v>223</v>
      </c>
      <c r="C24" s="59" t="s">
        <v>70</v>
      </c>
      <c r="F24" s="20" t="s">
        <v>25</v>
      </c>
      <c r="G24" s="25" t="s">
        <v>15</v>
      </c>
      <c r="H24" s="62">
        <v>431.69291338582678</v>
      </c>
      <c r="I24" s="27">
        <v>432.11614173228344</v>
      </c>
      <c r="J24" s="27">
        <v>431.69291338582678</v>
      </c>
      <c r="K24" s="76">
        <v>431.69291338582678</v>
      </c>
      <c r="L24" s="27">
        <v>430.84645669291336</v>
      </c>
      <c r="M24" s="28">
        <v>430.84645669291336</v>
      </c>
      <c r="O24" s="80"/>
      <c r="P24" s="80"/>
      <c r="Q24" s="80"/>
      <c r="R24" s="80"/>
      <c r="S24" s="80"/>
      <c r="T24" s="80"/>
    </row>
    <row r="25" spans="1:20" ht="14.25" x14ac:dyDescent="0.2">
      <c r="A25" s="59">
        <v>219</v>
      </c>
      <c r="B25" s="59">
        <v>223</v>
      </c>
      <c r="C25" s="59" t="s">
        <v>71</v>
      </c>
      <c r="F25" s="20" t="s">
        <v>26</v>
      </c>
      <c r="G25" s="25" t="s">
        <v>15</v>
      </c>
      <c r="H25" s="26">
        <v>3.5137795275590551</v>
      </c>
      <c r="I25" s="27">
        <v>3.517224409448819</v>
      </c>
      <c r="J25" s="27">
        <v>3.5137795275590551</v>
      </c>
      <c r="K25" s="27">
        <v>3.5137795275590551</v>
      </c>
      <c r="L25" s="27">
        <v>3.5068897637795278</v>
      </c>
      <c r="M25" s="28">
        <v>3.4066929133858266</v>
      </c>
      <c r="O25" s="80"/>
      <c r="P25" s="80"/>
      <c r="Q25" s="80"/>
      <c r="R25" s="80"/>
      <c r="S25" s="80"/>
      <c r="T25" s="80"/>
    </row>
    <row r="26" spans="1:20" ht="14.25" x14ac:dyDescent="0.2">
      <c r="A26" s="59">
        <v>219</v>
      </c>
      <c r="B26" s="59">
        <v>223</v>
      </c>
      <c r="C26" s="59" t="s">
        <v>72</v>
      </c>
      <c r="F26" s="20" t="s">
        <v>27</v>
      </c>
      <c r="G26" s="25" t="s">
        <v>15</v>
      </c>
      <c r="H26" s="21">
        <v>369448.81889763777</v>
      </c>
      <c r="I26" s="22">
        <v>369811.02362204727</v>
      </c>
      <c r="J26" s="22">
        <v>366236.22047244094</v>
      </c>
      <c r="K26" s="22">
        <v>366236.22047244094</v>
      </c>
      <c r="L26" s="22">
        <v>363914.96062992123</v>
      </c>
      <c r="M26" s="23">
        <v>362311.81102362205</v>
      </c>
      <c r="O26" s="80"/>
      <c r="P26" s="80"/>
      <c r="Q26" s="80"/>
      <c r="R26" s="80"/>
      <c r="S26" s="80"/>
      <c r="T26" s="80"/>
    </row>
    <row r="27" spans="1:20" x14ac:dyDescent="0.2">
      <c r="F27" s="5" t="s">
        <v>16</v>
      </c>
      <c r="G27" s="24"/>
      <c r="H27" s="29"/>
      <c r="I27" s="24"/>
      <c r="J27" s="24"/>
      <c r="K27" s="24"/>
      <c r="L27" s="24"/>
      <c r="M27" s="30"/>
      <c r="O27" s="80"/>
      <c r="P27" s="80"/>
      <c r="Q27" s="80"/>
      <c r="R27" s="80"/>
      <c r="S27" s="80"/>
      <c r="T27" s="80"/>
    </row>
    <row r="28" spans="1:20" ht="14.25" x14ac:dyDescent="0.2">
      <c r="A28" s="59">
        <v>219</v>
      </c>
      <c r="B28" s="59">
        <v>223</v>
      </c>
      <c r="C28" s="59" t="s">
        <v>70</v>
      </c>
      <c r="F28" s="20" t="s">
        <v>25</v>
      </c>
      <c r="G28" s="25" t="s">
        <v>15</v>
      </c>
      <c r="H28" s="26">
        <v>418.57283464566927</v>
      </c>
      <c r="I28" s="27">
        <v>418.99606299212599</v>
      </c>
      <c r="J28" s="27">
        <v>418.57283464566927</v>
      </c>
      <c r="K28" s="27">
        <v>418.57283464566927</v>
      </c>
      <c r="L28" s="27">
        <v>418.14960629921262</v>
      </c>
      <c r="M28" s="28">
        <v>418.14960629921262</v>
      </c>
      <c r="O28" s="80"/>
      <c r="P28" s="80"/>
      <c r="Q28" s="80"/>
      <c r="R28" s="80"/>
      <c r="S28" s="80"/>
      <c r="T28" s="80"/>
    </row>
    <row r="29" spans="1:20" ht="14.25" x14ac:dyDescent="0.2">
      <c r="A29" s="59">
        <v>219</v>
      </c>
      <c r="B29" s="59">
        <v>223</v>
      </c>
      <c r="C29" s="59" t="s">
        <v>71</v>
      </c>
      <c r="F29" s="20" t="s">
        <v>26</v>
      </c>
      <c r="G29" s="25" t="s">
        <v>15</v>
      </c>
      <c r="H29" s="26">
        <v>3.4069881889763778</v>
      </c>
      <c r="I29" s="27">
        <v>3.4104330708661417</v>
      </c>
      <c r="J29" s="27">
        <v>3.4069881889763778</v>
      </c>
      <c r="K29" s="27">
        <v>3.4069881889763778</v>
      </c>
      <c r="L29" s="27">
        <v>3.4035433070866143</v>
      </c>
      <c r="M29" s="28">
        <v>3.3062992125984252</v>
      </c>
      <c r="O29" s="80"/>
      <c r="P29" s="80"/>
      <c r="Q29" s="80"/>
      <c r="R29" s="80"/>
      <c r="S29" s="80"/>
      <c r="T29" s="80"/>
    </row>
    <row r="30" spans="1:20" ht="14.25" x14ac:dyDescent="0.2">
      <c r="A30" s="59">
        <v>219</v>
      </c>
      <c r="B30" s="59">
        <v>223</v>
      </c>
      <c r="C30" s="59" t="s">
        <v>72</v>
      </c>
      <c r="F30" s="20" t="s">
        <v>27</v>
      </c>
      <c r="G30" s="25" t="s">
        <v>15</v>
      </c>
      <c r="H30" s="21">
        <v>358220.47244094487</v>
      </c>
      <c r="I30" s="22">
        <v>358582.67716535431</v>
      </c>
      <c r="J30" s="22">
        <v>355105.51181102364</v>
      </c>
      <c r="K30" s="22">
        <v>355105.51181102364</v>
      </c>
      <c r="L30" s="22">
        <v>353190.55118110235</v>
      </c>
      <c r="M30" s="23">
        <v>351634.64566929132</v>
      </c>
      <c r="O30" s="80"/>
      <c r="P30" s="80"/>
      <c r="Q30" s="80"/>
      <c r="R30" s="80"/>
      <c r="S30" s="80"/>
      <c r="T30" s="80"/>
    </row>
    <row r="31" spans="1:20" x14ac:dyDescent="0.2">
      <c r="F31" s="4" t="s">
        <v>19</v>
      </c>
      <c r="G31" s="25"/>
      <c r="H31" s="29"/>
      <c r="I31" s="24"/>
      <c r="J31" s="24"/>
      <c r="K31" s="24"/>
      <c r="L31" s="24"/>
      <c r="M31" s="30"/>
      <c r="O31" s="80"/>
      <c r="P31" s="80"/>
      <c r="Q31" s="80"/>
      <c r="R31" s="80"/>
      <c r="S31" s="80"/>
      <c r="T31" s="80"/>
    </row>
    <row r="32" spans="1:20" x14ac:dyDescent="0.2">
      <c r="F32" s="31"/>
      <c r="G32" s="8"/>
      <c r="H32" s="53"/>
      <c r="I32" s="54"/>
      <c r="J32" s="54"/>
      <c r="K32" s="54"/>
      <c r="L32" s="54"/>
      <c r="M32" s="55"/>
      <c r="O32" s="80"/>
      <c r="P32" s="80"/>
      <c r="Q32" s="80"/>
      <c r="R32" s="80"/>
      <c r="S32" s="80"/>
      <c r="T32" s="80"/>
    </row>
    <row r="33" spans="1:20" ht="25.5" x14ac:dyDescent="0.2">
      <c r="A33" s="87" t="s">
        <v>158</v>
      </c>
      <c r="B33" s="87"/>
      <c r="C33" s="87"/>
      <c r="D33" s="64"/>
      <c r="F33" s="31" t="s">
        <v>85</v>
      </c>
      <c r="G33" s="8" t="s">
        <v>7</v>
      </c>
      <c r="H33" s="53">
        <v>325</v>
      </c>
      <c r="I33" s="54">
        <v>325</v>
      </c>
      <c r="J33" s="54">
        <v>325</v>
      </c>
      <c r="K33" s="54">
        <v>325</v>
      </c>
      <c r="L33" s="54">
        <v>325</v>
      </c>
      <c r="M33" s="55">
        <v>325</v>
      </c>
      <c r="O33" s="80"/>
      <c r="P33" s="80"/>
      <c r="Q33" s="80"/>
      <c r="R33" s="80"/>
      <c r="S33" s="80"/>
      <c r="T33" s="80"/>
    </row>
    <row r="34" spans="1:20" ht="13.5" thickBot="1" x14ac:dyDescent="0.25">
      <c r="A34" s="59">
        <v>16</v>
      </c>
      <c r="B34" s="59">
        <v>16</v>
      </c>
      <c r="C34" s="59" t="s">
        <v>74</v>
      </c>
      <c r="F34" s="32" t="s">
        <v>6</v>
      </c>
      <c r="G34" s="52" t="s">
        <v>11</v>
      </c>
      <c r="H34" s="56">
        <v>4.3400000000000001E-2</v>
      </c>
      <c r="I34" s="57">
        <v>4.3400000000000001E-2</v>
      </c>
      <c r="J34" s="57">
        <v>4.3400000000000001E-2</v>
      </c>
      <c r="K34" s="57">
        <v>4.3400000000000001E-2</v>
      </c>
      <c r="L34" s="57">
        <v>4.3400000000000001E-2</v>
      </c>
      <c r="M34" s="58">
        <v>4.3400000000000001E-2</v>
      </c>
      <c r="O34" s="80"/>
      <c r="P34" s="80"/>
      <c r="Q34" s="80"/>
      <c r="R34" s="80"/>
      <c r="S34" s="80"/>
      <c r="T34" s="80"/>
    </row>
    <row r="35" spans="1:20" ht="12.75" customHeight="1" x14ac:dyDescent="0.2">
      <c r="F35" s="6" t="s">
        <v>210</v>
      </c>
      <c r="G35" s="24"/>
      <c r="H35" s="34"/>
      <c r="I35" s="35"/>
      <c r="J35" s="35"/>
      <c r="K35" s="35"/>
      <c r="L35" s="35"/>
      <c r="M35" s="36"/>
      <c r="O35" s="80"/>
      <c r="P35" s="80"/>
      <c r="Q35" s="80"/>
      <c r="R35" s="80"/>
      <c r="S35" s="80"/>
      <c r="T35" s="80"/>
    </row>
    <row r="36" spans="1:20" x14ac:dyDescent="0.2">
      <c r="A36" s="59">
        <v>184</v>
      </c>
      <c r="B36" s="59">
        <v>187</v>
      </c>
      <c r="C36" s="59" t="s">
        <v>77</v>
      </c>
      <c r="D36" s="59" t="s">
        <v>78</v>
      </c>
      <c r="F36" s="20" t="s">
        <v>22</v>
      </c>
      <c r="G36" s="8" t="s">
        <v>9</v>
      </c>
      <c r="H36" s="63">
        <v>0.95000000000000007</v>
      </c>
      <c r="I36" s="41">
        <v>0.97000000000000008</v>
      </c>
      <c r="J36" s="41">
        <v>0.94000000000000006</v>
      </c>
      <c r="K36" s="41">
        <v>0.94000000000000006</v>
      </c>
      <c r="L36" s="41">
        <v>0.94000000000000006</v>
      </c>
      <c r="M36" s="42">
        <v>0.94000000000000006</v>
      </c>
      <c r="O36" s="80"/>
      <c r="P36" s="80"/>
      <c r="Q36" s="80"/>
      <c r="R36" s="80"/>
      <c r="S36" s="80"/>
      <c r="T36" s="80"/>
    </row>
    <row r="37" spans="1:20" x14ac:dyDescent="0.2">
      <c r="A37" s="59">
        <v>190</v>
      </c>
      <c r="B37" s="59">
        <v>193</v>
      </c>
      <c r="C37" s="59" t="s">
        <v>77</v>
      </c>
      <c r="D37" s="59" t="s">
        <v>78</v>
      </c>
      <c r="F37" s="20" t="s">
        <v>23</v>
      </c>
      <c r="G37" s="8" t="s">
        <v>9</v>
      </c>
      <c r="H37" s="40">
        <v>8.0399999999999991</v>
      </c>
      <c r="I37" s="41">
        <v>8.4199999999999982</v>
      </c>
      <c r="J37" s="41">
        <v>8.0399999999999991</v>
      </c>
      <c r="K37" s="41">
        <v>8.0399999999999991</v>
      </c>
      <c r="L37" s="41">
        <v>8.0399999999999991</v>
      </c>
      <c r="M37" s="42">
        <v>8.0399999999999991</v>
      </c>
      <c r="O37" s="80"/>
      <c r="P37" s="80"/>
      <c r="Q37" s="80"/>
      <c r="R37" s="80"/>
      <c r="S37" s="80"/>
      <c r="T37" s="80"/>
    </row>
    <row r="38" spans="1:20" ht="13.5" thickBot="1" x14ac:dyDescent="0.25">
      <c r="A38" s="59">
        <v>177</v>
      </c>
      <c r="B38" s="59">
        <v>180</v>
      </c>
      <c r="C38" s="59" t="s">
        <v>76</v>
      </c>
      <c r="F38" s="32" t="s">
        <v>211</v>
      </c>
      <c r="G38" s="33" t="s">
        <v>8</v>
      </c>
      <c r="H38" s="43">
        <v>9500</v>
      </c>
      <c r="I38" s="44">
        <v>9500</v>
      </c>
      <c r="J38" s="44">
        <v>9500</v>
      </c>
      <c r="K38" s="44">
        <v>9500</v>
      </c>
      <c r="L38" s="44">
        <v>9500</v>
      </c>
      <c r="M38" s="45">
        <v>9500</v>
      </c>
      <c r="O38" s="80"/>
      <c r="P38" s="80"/>
      <c r="Q38" s="80"/>
      <c r="R38" s="80"/>
      <c r="S38" s="80"/>
      <c r="T38" s="80"/>
    </row>
    <row r="40" spans="1:20" x14ac:dyDescent="0.2">
      <c r="F40" s="10" t="s">
        <v>234</v>
      </c>
    </row>
  </sheetData>
  <mergeCells count="3">
    <mergeCell ref="H4:M4"/>
    <mergeCell ref="H6:M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opLeftCell="D3" workbookViewId="0">
      <selection activeCell="D3" sqref="D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3" width="38" style="59" hidden="1" customWidth="1" outlineLevel="1"/>
    <col min="4" max="4" width="1.83203125" style="10" customWidth="1" collapsed="1"/>
    <col min="5" max="5" width="43.5" style="10" customWidth="1"/>
    <col min="6" max="6" width="16" style="10" customWidth="1"/>
    <col min="7" max="7" width="16.33203125" style="10" customWidth="1"/>
    <col min="8" max="8" width="16.5" style="10" customWidth="1"/>
    <col min="9" max="9" width="16.33203125" style="10" customWidth="1"/>
    <col min="10" max="10" width="16.1640625" style="10" customWidth="1"/>
    <col min="11" max="11" width="17.5" style="10" customWidth="1"/>
    <col min="12" max="12" width="17.83203125" style="10" customWidth="1"/>
    <col min="13" max="16384" width="9.33203125" style="10"/>
  </cols>
  <sheetData>
    <row r="1" spans="1:19" s="59" customFormat="1" hidden="1" outlineLevel="1" x14ac:dyDescent="0.2">
      <c r="G1" s="59" t="s">
        <v>58</v>
      </c>
      <c r="H1" s="59" t="s">
        <v>59</v>
      </c>
      <c r="I1" s="59" t="s">
        <v>60</v>
      </c>
      <c r="J1" s="59" t="s">
        <v>61</v>
      </c>
      <c r="K1" s="59" t="s">
        <v>62</v>
      </c>
      <c r="L1" s="59" t="s">
        <v>63</v>
      </c>
    </row>
    <row r="2" spans="1:19" s="59" customFormat="1" hidden="1" outlineLevel="1" x14ac:dyDescent="0.2">
      <c r="G2" s="59">
        <v>7</v>
      </c>
      <c r="H2" s="59">
        <v>6</v>
      </c>
      <c r="I2" s="59">
        <v>4</v>
      </c>
      <c r="J2" s="59">
        <v>5</v>
      </c>
      <c r="K2" s="59">
        <v>3</v>
      </c>
      <c r="L2" s="59">
        <v>2</v>
      </c>
    </row>
    <row r="3" spans="1:19" ht="13.5" collapsed="1" thickBot="1" x14ac:dyDescent="0.25"/>
    <row r="4" spans="1:19" ht="14.25" x14ac:dyDescent="0.2">
      <c r="A4" s="60" t="s">
        <v>73</v>
      </c>
      <c r="B4" s="59" t="s">
        <v>82</v>
      </c>
      <c r="E4" s="11"/>
      <c r="F4" s="12"/>
      <c r="G4" s="81" t="s">
        <v>159</v>
      </c>
      <c r="H4" s="82"/>
      <c r="I4" s="82"/>
      <c r="J4" s="82"/>
      <c r="K4" s="82"/>
      <c r="L4" s="83"/>
    </row>
    <row r="5" spans="1:19" ht="26.25" thickBot="1" x14ac:dyDescent="0.25">
      <c r="E5" s="3" t="s">
        <v>0</v>
      </c>
      <c r="F5" s="2" t="s">
        <v>1</v>
      </c>
      <c r="G5" s="13" t="s">
        <v>3</v>
      </c>
      <c r="H5" s="13" t="s">
        <v>28</v>
      </c>
      <c r="I5" s="13" t="s">
        <v>20</v>
      </c>
      <c r="J5" s="14" t="s">
        <v>21</v>
      </c>
      <c r="K5" s="13" t="s">
        <v>4</v>
      </c>
      <c r="L5" s="15" t="s">
        <v>5</v>
      </c>
    </row>
    <row r="6" spans="1:19" ht="25.5" customHeight="1" x14ac:dyDescent="0.2">
      <c r="A6" s="61" t="s">
        <v>79</v>
      </c>
      <c r="B6" s="61" t="s">
        <v>80</v>
      </c>
      <c r="C6" s="61" t="s">
        <v>81</v>
      </c>
      <c r="E6" s="4" t="s">
        <v>12</v>
      </c>
      <c r="F6" s="1"/>
      <c r="G6" s="84"/>
      <c r="H6" s="85"/>
      <c r="I6" s="85"/>
      <c r="J6" s="85"/>
      <c r="K6" s="85"/>
      <c r="L6" s="86"/>
    </row>
    <row r="7" spans="1:19" x14ac:dyDescent="0.2">
      <c r="E7" s="5" t="s">
        <v>64</v>
      </c>
      <c r="F7" s="1"/>
      <c r="G7" s="16"/>
      <c r="H7" s="17"/>
      <c r="I7" s="17"/>
      <c r="J7" s="18"/>
      <c r="K7" s="17"/>
      <c r="L7" s="19"/>
    </row>
    <row r="8" spans="1:19" x14ac:dyDescent="0.2">
      <c r="A8" s="59">
        <v>32</v>
      </c>
      <c r="B8" s="59">
        <v>40</v>
      </c>
      <c r="C8" s="59" t="s">
        <v>65</v>
      </c>
      <c r="E8" s="20" t="s">
        <v>67</v>
      </c>
      <c r="F8" s="8" t="s">
        <v>2</v>
      </c>
      <c r="G8" s="37">
        <v>218</v>
      </c>
      <c r="H8" s="38">
        <v>217.8</v>
      </c>
      <c r="I8" s="38">
        <v>217</v>
      </c>
      <c r="J8" s="38">
        <v>217</v>
      </c>
      <c r="K8" s="38">
        <v>217</v>
      </c>
      <c r="L8" s="39">
        <v>215.8</v>
      </c>
      <c r="N8" s="80"/>
      <c r="O8" s="80"/>
      <c r="P8" s="80"/>
      <c r="Q8" s="80"/>
      <c r="R8" s="80"/>
      <c r="S8" s="80"/>
    </row>
    <row r="9" spans="1:19" x14ac:dyDescent="0.2">
      <c r="A9" s="59">
        <v>44</v>
      </c>
      <c r="B9" s="59">
        <v>52</v>
      </c>
      <c r="C9" s="59" t="s">
        <v>65</v>
      </c>
      <c r="E9" s="20" t="s">
        <v>68</v>
      </c>
      <c r="F9" s="8" t="s">
        <v>2</v>
      </c>
      <c r="G9" s="37">
        <v>227.2</v>
      </c>
      <c r="H9" s="38">
        <v>226.9</v>
      </c>
      <c r="I9" s="38">
        <v>226.5</v>
      </c>
      <c r="J9" s="38">
        <v>226.5</v>
      </c>
      <c r="K9" s="38">
        <v>225.9</v>
      </c>
      <c r="L9" s="39">
        <v>224.9</v>
      </c>
      <c r="N9" s="80"/>
      <c r="O9" s="80"/>
      <c r="P9" s="80"/>
      <c r="Q9" s="80"/>
      <c r="R9" s="80"/>
      <c r="S9" s="80"/>
    </row>
    <row r="10" spans="1:19" x14ac:dyDescent="0.2">
      <c r="E10" s="20"/>
      <c r="F10" s="8"/>
      <c r="G10" s="37"/>
      <c r="H10" s="38"/>
      <c r="I10" s="38"/>
      <c r="J10" s="38"/>
      <c r="K10" s="38"/>
      <c r="L10" s="39"/>
      <c r="N10" s="80"/>
      <c r="O10" s="80"/>
      <c r="P10" s="80"/>
      <c r="Q10" s="80"/>
      <c r="R10" s="80"/>
      <c r="S10" s="80"/>
    </row>
    <row r="11" spans="1:19" x14ac:dyDescent="0.2">
      <c r="E11" s="5" t="s">
        <v>66</v>
      </c>
      <c r="F11" s="8"/>
      <c r="G11" s="7"/>
      <c r="H11" s="8"/>
      <c r="I11" s="8"/>
      <c r="J11" s="8"/>
      <c r="K11" s="8"/>
      <c r="L11" s="9"/>
      <c r="N11" s="80"/>
      <c r="O11" s="80"/>
      <c r="P11" s="80"/>
      <c r="Q11" s="80"/>
      <c r="R11" s="80"/>
      <c r="S11" s="80"/>
    </row>
    <row r="12" spans="1:19" x14ac:dyDescent="0.2">
      <c r="A12" s="59">
        <v>32</v>
      </c>
      <c r="B12" s="59">
        <v>40</v>
      </c>
      <c r="C12" s="59" t="s">
        <v>69</v>
      </c>
      <c r="E12" s="20" t="s">
        <v>13</v>
      </c>
      <c r="F12" s="8" t="s">
        <v>10</v>
      </c>
      <c r="G12" s="21">
        <v>10200</v>
      </c>
      <c r="H12" s="22">
        <v>10210</v>
      </c>
      <c r="I12" s="22">
        <v>10200</v>
      </c>
      <c r="J12" s="22">
        <v>10200</v>
      </c>
      <c r="K12" s="22">
        <v>10180</v>
      </c>
      <c r="L12" s="23">
        <v>10180</v>
      </c>
      <c r="N12" s="80"/>
      <c r="O12" s="80"/>
      <c r="P12" s="80"/>
      <c r="Q12" s="80"/>
      <c r="R12" s="80"/>
      <c r="S12" s="80"/>
    </row>
    <row r="13" spans="1:19" x14ac:dyDescent="0.2">
      <c r="A13" s="59">
        <v>44</v>
      </c>
      <c r="B13" s="59">
        <v>52</v>
      </c>
      <c r="C13" s="59" t="s">
        <v>69</v>
      </c>
      <c r="E13" s="20" t="s">
        <v>14</v>
      </c>
      <c r="F13" s="8" t="s">
        <v>10</v>
      </c>
      <c r="G13" s="21">
        <v>9890</v>
      </c>
      <c r="H13" s="22">
        <v>9900</v>
      </c>
      <c r="I13" s="22">
        <v>9890</v>
      </c>
      <c r="J13" s="22">
        <v>9890</v>
      </c>
      <c r="K13" s="22">
        <v>9880</v>
      </c>
      <c r="L13" s="23">
        <v>9880</v>
      </c>
      <c r="N13" s="80"/>
      <c r="O13" s="80"/>
      <c r="P13" s="80"/>
      <c r="Q13" s="80"/>
      <c r="R13" s="80"/>
      <c r="S13" s="80"/>
    </row>
    <row r="14" spans="1:19" x14ac:dyDescent="0.2">
      <c r="A14" s="59">
        <v>56</v>
      </c>
      <c r="B14" s="59">
        <v>64</v>
      </c>
      <c r="C14" s="59" t="s">
        <v>69</v>
      </c>
      <c r="E14" s="70" t="s">
        <v>212</v>
      </c>
      <c r="F14" s="71" t="s">
        <v>10</v>
      </c>
      <c r="G14" s="72">
        <v>10160</v>
      </c>
      <c r="H14" s="73">
        <v>10160</v>
      </c>
      <c r="I14" s="73">
        <v>10160</v>
      </c>
      <c r="J14" s="73">
        <v>10160</v>
      </c>
      <c r="K14" s="73">
        <v>10160</v>
      </c>
      <c r="L14" s="74">
        <v>10160</v>
      </c>
      <c r="M14" s="75" t="s">
        <v>213</v>
      </c>
      <c r="N14" s="80"/>
      <c r="O14" s="80"/>
      <c r="P14" s="80"/>
      <c r="Q14" s="80"/>
      <c r="R14" s="80"/>
      <c r="S14" s="80"/>
    </row>
    <row r="15" spans="1:19" x14ac:dyDescent="0.2">
      <c r="E15" s="5" t="s">
        <v>17</v>
      </c>
      <c r="F15" s="24"/>
      <c r="G15" s="7"/>
      <c r="H15" s="8"/>
      <c r="I15" s="8"/>
      <c r="J15" s="8"/>
      <c r="K15" s="8"/>
      <c r="L15" s="9"/>
      <c r="N15" s="80"/>
      <c r="O15" s="80"/>
      <c r="P15" s="80"/>
      <c r="Q15" s="80"/>
      <c r="R15" s="80"/>
      <c r="S15" s="80"/>
    </row>
    <row r="16" spans="1:19" ht="14.25" x14ac:dyDescent="0.2">
      <c r="A16" s="59">
        <v>211</v>
      </c>
      <c r="B16" s="59">
        <v>215</v>
      </c>
      <c r="C16" s="59" t="s">
        <v>70</v>
      </c>
      <c r="E16" s="20" t="s">
        <v>25</v>
      </c>
      <c r="F16" s="25" t="s">
        <v>15</v>
      </c>
      <c r="G16" s="62">
        <v>17.870078740157481</v>
      </c>
      <c r="H16" s="27">
        <v>17.887598425196849</v>
      </c>
      <c r="I16" s="27">
        <v>17.870078740157481</v>
      </c>
      <c r="J16" s="76">
        <v>17.870078740157481</v>
      </c>
      <c r="K16" s="27">
        <v>17.835039370078739</v>
      </c>
      <c r="L16" s="28">
        <v>17.835039370078739</v>
      </c>
      <c r="N16" s="80"/>
      <c r="O16" s="80"/>
      <c r="P16" s="80"/>
      <c r="Q16" s="80"/>
      <c r="R16" s="80"/>
      <c r="S16" s="80"/>
    </row>
    <row r="17" spans="1:19" ht="14.25" x14ac:dyDescent="0.2">
      <c r="A17" s="59">
        <v>211</v>
      </c>
      <c r="B17" s="59">
        <v>215</v>
      </c>
      <c r="C17" s="59" t="s">
        <v>71</v>
      </c>
      <c r="E17" s="20" t="s">
        <v>26</v>
      </c>
      <c r="F17" s="25" t="s">
        <v>15</v>
      </c>
      <c r="G17" s="26">
        <v>4.6181102362204722</v>
      </c>
      <c r="H17" s="27">
        <v>4.6226377952755904</v>
      </c>
      <c r="I17" s="27">
        <v>4.6181102362204722</v>
      </c>
      <c r="J17" s="27">
        <v>4.6181102362204722</v>
      </c>
      <c r="K17" s="27">
        <v>4.5088582677165352</v>
      </c>
      <c r="L17" s="28">
        <v>4.5088582677165352</v>
      </c>
      <c r="N17" s="80"/>
      <c r="O17" s="80"/>
      <c r="P17" s="80"/>
      <c r="Q17" s="80"/>
      <c r="R17" s="80"/>
      <c r="S17" s="80"/>
    </row>
    <row r="18" spans="1:19" ht="14.25" x14ac:dyDescent="0.2">
      <c r="A18" s="59">
        <v>211</v>
      </c>
      <c r="B18" s="59">
        <v>215</v>
      </c>
      <c r="C18" s="59" t="s">
        <v>72</v>
      </c>
      <c r="E18" s="20" t="s">
        <v>27</v>
      </c>
      <c r="F18" s="25" t="s">
        <v>15</v>
      </c>
      <c r="G18" s="21">
        <v>277086.61417322833</v>
      </c>
      <c r="H18" s="22">
        <v>277358.26771653543</v>
      </c>
      <c r="I18" s="22">
        <v>274677.16535433073</v>
      </c>
      <c r="J18" s="22">
        <v>274677.16535433073</v>
      </c>
      <c r="K18" s="22">
        <v>272936.22047244094</v>
      </c>
      <c r="L18" s="23">
        <v>271733.85826771654</v>
      </c>
      <c r="N18" s="80"/>
      <c r="O18" s="80"/>
      <c r="P18" s="80"/>
      <c r="Q18" s="80"/>
      <c r="R18" s="80"/>
      <c r="S18" s="80"/>
    </row>
    <row r="19" spans="1:19" x14ac:dyDescent="0.2">
      <c r="E19" s="5" t="s">
        <v>18</v>
      </c>
      <c r="F19" s="24"/>
      <c r="G19" s="29"/>
      <c r="H19" s="24"/>
      <c r="I19" s="24"/>
      <c r="J19" s="24"/>
      <c r="K19" s="24"/>
      <c r="L19" s="30"/>
      <c r="N19" s="80"/>
      <c r="O19" s="80"/>
      <c r="P19" s="80"/>
      <c r="Q19" s="80"/>
      <c r="R19" s="80"/>
      <c r="S19" s="80"/>
    </row>
    <row r="20" spans="1:19" ht="14.25" x14ac:dyDescent="0.2">
      <c r="A20" s="59">
        <v>211</v>
      </c>
      <c r="B20" s="59">
        <v>215</v>
      </c>
      <c r="C20" s="59" t="s">
        <v>70</v>
      </c>
      <c r="E20" s="20" t="s">
        <v>25</v>
      </c>
      <c r="F20" s="25" t="s">
        <v>15</v>
      </c>
      <c r="G20" s="26">
        <v>17.326968503937007</v>
      </c>
      <c r="H20" s="27">
        <v>17.344488188976378</v>
      </c>
      <c r="I20" s="27">
        <v>17.326968503937007</v>
      </c>
      <c r="J20" s="27">
        <v>17.326968503937007</v>
      </c>
      <c r="K20" s="27">
        <v>17.309448818897639</v>
      </c>
      <c r="L20" s="28">
        <v>17.309448818897639</v>
      </c>
      <c r="N20" s="80"/>
      <c r="O20" s="80"/>
      <c r="P20" s="80"/>
      <c r="Q20" s="80"/>
      <c r="R20" s="80"/>
      <c r="S20" s="80"/>
    </row>
    <row r="21" spans="1:19" ht="14.25" x14ac:dyDescent="0.2">
      <c r="A21" s="59">
        <v>211</v>
      </c>
      <c r="B21" s="59">
        <v>215</v>
      </c>
      <c r="C21" s="59" t="s">
        <v>71</v>
      </c>
      <c r="E21" s="20" t="s">
        <v>26</v>
      </c>
      <c r="F21" s="25" t="s">
        <v>15</v>
      </c>
      <c r="G21" s="26">
        <v>4.4777559055118115</v>
      </c>
      <c r="H21" s="27">
        <v>4.4822834645669287</v>
      </c>
      <c r="I21" s="27">
        <v>4.4777559055118115</v>
      </c>
      <c r="J21" s="27">
        <v>4.4777559055118115</v>
      </c>
      <c r="K21" s="27">
        <v>4.3759842519685037</v>
      </c>
      <c r="L21" s="28">
        <v>4.3759842519685037</v>
      </c>
      <c r="N21" s="80"/>
      <c r="O21" s="80"/>
      <c r="P21" s="80"/>
      <c r="Q21" s="80"/>
      <c r="R21" s="80"/>
      <c r="S21" s="80"/>
    </row>
    <row r="22" spans="1:19" ht="14.25" x14ac:dyDescent="0.2">
      <c r="A22" s="59">
        <v>211</v>
      </c>
      <c r="B22" s="59">
        <v>215</v>
      </c>
      <c r="C22" s="59" t="s">
        <v>72</v>
      </c>
      <c r="E22" s="20" t="s">
        <v>27</v>
      </c>
      <c r="F22" s="25" t="s">
        <v>15</v>
      </c>
      <c r="G22" s="21">
        <v>268665.35433070868</v>
      </c>
      <c r="H22" s="22">
        <v>268937.00787401578</v>
      </c>
      <c r="I22" s="22">
        <v>266329.13385826774</v>
      </c>
      <c r="J22" s="22">
        <v>266329.13385826774</v>
      </c>
      <c r="K22" s="22">
        <v>264892.91338582675</v>
      </c>
      <c r="L22" s="23">
        <v>263725.9842519685</v>
      </c>
      <c r="N22" s="80"/>
      <c r="O22" s="80"/>
      <c r="P22" s="80"/>
      <c r="Q22" s="80"/>
      <c r="R22" s="80"/>
      <c r="S22" s="80"/>
    </row>
    <row r="23" spans="1:19" x14ac:dyDescent="0.2">
      <c r="E23" s="5" t="s">
        <v>133</v>
      </c>
      <c r="F23" s="24"/>
      <c r="G23" s="21"/>
      <c r="H23" s="22"/>
      <c r="I23" s="22"/>
      <c r="J23" s="22"/>
      <c r="K23" s="22"/>
      <c r="L23" s="23"/>
      <c r="N23" s="80"/>
      <c r="O23" s="80"/>
      <c r="P23" s="80"/>
      <c r="Q23" s="80"/>
      <c r="R23" s="80"/>
      <c r="S23" s="80"/>
    </row>
    <row r="24" spans="1:19" ht="14.25" x14ac:dyDescent="0.2">
      <c r="A24" s="59">
        <v>226</v>
      </c>
      <c r="B24" s="59">
        <v>229</v>
      </c>
      <c r="C24" s="59" t="s">
        <v>70</v>
      </c>
      <c r="E24" s="20" t="s">
        <v>25</v>
      </c>
      <c r="F24" s="25" t="s">
        <v>15</v>
      </c>
      <c r="G24" s="62">
        <v>64.753937007874015</v>
      </c>
      <c r="H24" s="27">
        <v>64.817421259842519</v>
      </c>
      <c r="I24" s="27">
        <v>64.753937007874015</v>
      </c>
      <c r="J24" s="76">
        <v>64.753937007874015</v>
      </c>
      <c r="K24" s="27">
        <v>64.626968503937007</v>
      </c>
      <c r="L24" s="28">
        <v>64.626968503937007</v>
      </c>
      <c r="N24" s="80"/>
      <c r="O24" s="80"/>
      <c r="P24" s="80"/>
      <c r="Q24" s="80"/>
      <c r="R24" s="80"/>
      <c r="S24" s="80"/>
    </row>
    <row r="25" spans="1:19" ht="14.25" x14ac:dyDescent="0.2">
      <c r="A25" s="59">
        <v>226</v>
      </c>
      <c r="B25" s="59">
        <v>229</v>
      </c>
      <c r="C25" s="59" t="s">
        <v>71</v>
      </c>
      <c r="E25" s="20" t="s">
        <v>26</v>
      </c>
      <c r="F25" s="25" t="s">
        <v>15</v>
      </c>
      <c r="G25" s="26">
        <v>3.5137795275590551</v>
      </c>
      <c r="H25" s="27">
        <v>3.517224409448819</v>
      </c>
      <c r="I25" s="27">
        <v>3.5137795275590551</v>
      </c>
      <c r="J25" s="27">
        <v>3.5137795275590551</v>
      </c>
      <c r="K25" s="27">
        <v>3.5068897637795278</v>
      </c>
      <c r="L25" s="28">
        <v>3.4066929133858266</v>
      </c>
      <c r="N25" s="80"/>
      <c r="O25" s="80"/>
      <c r="P25" s="80"/>
      <c r="Q25" s="80"/>
      <c r="R25" s="80"/>
      <c r="S25" s="80"/>
    </row>
    <row r="26" spans="1:19" ht="14.25" x14ac:dyDescent="0.2">
      <c r="A26" s="59">
        <v>226</v>
      </c>
      <c r="B26" s="59">
        <v>229</v>
      </c>
      <c r="C26" s="59" t="s">
        <v>72</v>
      </c>
      <c r="E26" s="20" t="s">
        <v>27</v>
      </c>
      <c r="F26" s="25" t="s">
        <v>15</v>
      </c>
      <c r="G26" s="21">
        <v>369448.81889763777</v>
      </c>
      <c r="H26" s="22">
        <v>369811.02362204727</v>
      </c>
      <c r="I26" s="22">
        <v>366236.22047244094</v>
      </c>
      <c r="J26" s="22">
        <v>366236.22047244094</v>
      </c>
      <c r="K26" s="22">
        <v>363914.96062992123</v>
      </c>
      <c r="L26" s="23">
        <v>362311.81102362205</v>
      </c>
      <c r="N26" s="80"/>
      <c r="O26" s="80"/>
      <c r="P26" s="80"/>
      <c r="Q26" s="80"/>
      <c r="R26" s="80"/>
      <c r="S26" s="80"/>
    </row>
    <row r="27" spans="1:19" x14ac:dyDescent="0.2">
      <c r="E27" s="5" t="s">
        <v>16</v>
      </c>
      <c r="F27" s="24"/>
      <c r="G27" s="29"/>
      <c r="H27" s="24"/>
      <c r="I27" s="24"/>
      <c r="J27" s="24"/>
      <c r="K27" s="24"/>
      <c r="L27" s="30"/>
      <c r="N27" s="80"/>
      <c r="O27" s="80"/>
      <c r="P27" s="80"/>
      <c r="Q27" s="80"/>
      <c r="R27" s="80"/>
      <c r="S27" s="80"/>
    </row>
    <row r="28" spans="1:19" ht="14.25" x14ac:dyDescent="0.2">
      <c r="A28" s="59">
        <v>226</v>
      </c>
      <c r="B28" s="59">
        <v>229</v>
      </c>
      <c r="C28" s="59" t="s">
        <v>70</v>
      </c>
      <c r="E28" s="20" t="s">
        <v>25</v>
      </c>
      <c r="F28" s="25" t="s">
        <v>15</v>
      </c>
      <c r="G28" s="26">
        <v>62.785925196850393</v>
      </c>
      <c r="H28" s="27">
        <v>62.849409448818896</v>
      </c>
      <c r="I28" s="27">
        <v>62.785925196850393</v>
      </c>
      <c r="J28" s="27">
        <v>62.785925196850393</v>
      </c>
      <c r="K28" s="27">
        <v>62.722440944881889</v>
      </c>
      <c r="L28" s="28">
        <v>62.722440944881889</v>
      </c>
      <c r="N28" s="80"/>
      <c r="O28" s="80"/>
      <c r="P28" s="80"/>
      <c r="Q28" s="80"/>
      <c r="R28" s="80"/>
      <c r="S28" s="80"/>
    </row>
    <row r="29" spans="1:19" ht="14.25" x14ac:dyDescent="0.2">
      <c r="A29" s="59">
        <v>226</v>
      </c>
      <c r="B29" s="59">
        <v>229</v>
      </c>
      <c r="C29" s="59" t="s">
        <v>71</v>
      </c>
      <c r="E29" s="20" t="s">
        <v>26</v>
      </c>
      <c r="F29" s="25" t="s">
        <v>15</v>
      </c>
      <c r="G29" s="26">
        <v>3.4069881889763778</v>
      </c>
      <c r="H29" s="27">
        <v>3.4104330708661417</v>
      </c>
      <c r="I29" s="27">
        <v>3.4069881889763778</v>
      </c>
      <c r="J29" s="27">
        <v>3.4069881889763778</v>
      </c>
      <c r="K29" s="27">
        <v>3.4035433070866143</v>
      </c>
      <c r="L29" s="28">
        <v>3.3062992125984252</v>
      </c>
      <c r="N29" s="80"/>
      <c r="O29" s="80"/>
      <c r="P29" s="80"/>
      <c r="Q29" s="80"/>
      <c r="R29" s="80"/>
      <c r="S29" s="80"/>
    </row>
    <row r="30" spans="1:19" ht="14.25" x14ac:dyDescent="0.2">
      <c r="A30" s="59">
        <v>226</v>
      </c>
      <c r="B30" s="59">
        <v>229</v>
      </c>
      <c r="C30" s="59" t="s">
        <v>72</v>
      </c>
      <c r="E30" s="20" t="s">
        <v>27</v>
      </c>
      <c r="F30" s="25" t="s">
        <v>15</v>
      </c>
      <c r="G30" s="21">
        <v>358220.47244094487</v>
      </c>
      <c r="H30" s="22">
        <v>358582.67716535431</v>
      </c>
      <c r="I30" s="22">
        <v>355105.51181102364</v>
      </c>
      <c r="J30" s="22">
        <v>355105.51181102364</v>
      </c>
      <c r="K30" s="22">
        <v>353190.55118110235</v>
      </c>
      <c r="L30" s="23">
        <v>351634.64566929132</v>
      </c>
      <c r="N30" s="80"/>
      <c r="O30" s="80"/>
      <c r="P30" s="80"/>
      <c r="Q30" s="80"/>
      <c r="R30" s="80"/>
      <c r="S30" s="80"/>
    </row>
    <row r="31" spans="1:19" x14ac:dyDescent="0.2">
      <c r="E31" s="4" t="s">
        <v>19</v>
      </c>
      <c r="F31" s="25"/>
      <c r="G31" s="29"/>
      <c r="H31" s="24"/>
      <c r="I31" s="24"/>
      <c r="J31" s="24"/>
      <c r="K31" s="24"/>
      <c r="L31" s="30"/>
      <c r="N31" s="80"/>
      <c r="O31" s="80"/>
      <c r="P31" s="80"/>
      <c r="Q31" s="80"/>
      <c r="R31" s="80"/>
      <c r="S31" s="80"/>
    </row>
    <row r="32" spans="1:19" x14ac:dyDescent="0.2">
      <c r="E32" s="31"/>
      <c r="F32" s="8"/>
      <c r="G32" s="53"/>
      <c r="H32" s="54"/>
      <c r="I32" s="54"/>
      <c r="J32" s="54"/>
      <c r="K32" s="54"/>
      <c r="L32" s="55"/>
      <c r="N32" s="80"/>
      <c r="O32" s="80"/>
      <c r="P32" s="80"/>
      <c r="Q32" s="80"/>
      <c r="R32" s="80"/>
      <c r="S32" s="80"/>
    </row>
    <row r="33" spans="1:19" ht="25.5" x14ac:dyDescent="0.2">
      <c r="A33" s="87" t="s">
        <v>158</v>
      </c>
      <c r="B33" s="87"/>
      <c r="C33" s="87"/>
      <c r="E33" s="31" t="s">
        <v>85</v>
      </c>
      <c r="F33" s="8" t="s">
        <v>7</v>
      </c>
      <c r="G33" s="53">
        <v>325</v>
      </c>
      <c r="H33" s="54">
        <v>325</v>
      </c>
      <c r="I33" s="54">
        <v>325</v>
      </c>
      <c r="J33" s="54">
        <v>325</v>
      </c>
      <c r="K33" s="54">
        <v>325</v>
      </c>
      <c r="L33" s="55">
        <v>325</v>
      </c>
      <c r="N33" s="80"/>
      <c r="O33" s="80"/>
      <c r="P33" s="80"/>
      <c r="Q33" s="80"/>
      <c r="R33" s="80"/>
      <c r="S33" s="80"/>
    </row>
    <row r="34" spans="1:19" ht="13.5" thickBot="1" x14ac:dyDescent="0.25">
      <c r="A34" s="59">
        <v>16</v>
      </c>
      <c r="B34" s="59">
        <v>16</v>
      </c>
      <c r="C34" s="59" t="s">
        <v>74</v>
      </c>
      <c r="E34" s="32" t="s">
        <v>6</v>
      </c>
      <c r="F34" s="52" t="s">
        <v>11</v>
      </c>
      <c r="G34" s="56">
        <v>4.3400000000000001E-2</v>
      </c>
      <c r="H34" s="57">
        <v>4.3400000000000001E-2</v>
      </c>
      <c r="I34" s="57">
        <v>4.3400000000000001E-2</v>
      </c>
      <c r="J34" s="57">
        <v>4.3400000000000001E-2</v>
      </c>
      <c r="K34" s="57">
        <v>4.3400000000000001E-2</v>
      </c>
      <c r="L34" s="58">
        <v>4.3400000000000001E-2</v>
      </c>
      <c r="N34" s="80"/>
      <c r="O34" s="80"/>
      <c r="P34" s="80"/>
      <c r="Q34" s="80"/>
      <c r="R34" s="80"/>
      <c r="S34" s="80"/>
    </row>
    <row r="35" spans="1:19" ht="12.75" customHeight="1" x14ac:dyDescent="0.2">
      <c r="E35" s="6" t="s">
        <v>210</v>
      </c>
      <c r="F35" s="24"/>
      <c r="G35" s="34"/>
      <c r="H35" s="35"/>
      <c r="I35" s="35"/>
      <c r="J35" s="35"/>
      <c r="K35" s="35"/>
      <c r="L35" s="36"/>
      <c r="N35" s="80"/>
      <c r="O35" s="80"/>
      <c r="P35" s="80"/>
      <c r="Q35" s="80"/>
      <c r="R35" s="80"/>
      <c r="S35" s="80"/>
    </row>
    <row r="36" spans="1:19" x14ac:dyDescent="0.2">
      <c r="A36" s="59">
        <v>184</v>
      </c>
      <c r="B36" s="59">
        <v>187</v>
      </c>
      <c r="C36" s="59" t="s">
        <v>77</v>
      </c>
      <c r="E36" s="20" t="s">
        <v>22</v>
      </c>
      <c r="F36" s="8" t="s">
        <v>9</v>
      </c>
      <c r="G36" s="63">
        <v>1.52</v>
      </c>
      <c r="H36" s="41">
        <v>1.54</v>
      </c>
      <c r="I36" s="41">
        <v>1.52</v>
      </c>
      <c r="J36" s="41">
        <v>1.52</v>
      </c>
      <c r="K36" s="41">
        <v>1.52</v>
      </c>
      <c r="L36" s="42">
        <v>1.52</v>
      </c>
      <c r="N36" s="80"/>
      <c r="O36" s="80"/>
      <c r="P36" s="80"/>
      <c r="Q36" s="80"/>
      <c r="R36" s="80"/>
      <c r="S36" s="80"/>
    </row>
    <row r="37" spans="1:19" x14ac:dyDescent="0.2">
      <c r="A37" s="59">
        <v>190</v>
      </c>
      <c r="B37" s="59">
        <v>193</v>
      </c>
      <c r="C37" s="59" t="s">
        <v>77</v>
      </c>
      <c r="E37" s="20" t="s">
        <v>23</v>
      </c>
      <c r="F37" s="8" t="s">
        <v>9</v>
      </c>
      <c r="G37" s="40">
        <v>8.8299999999999983</v>
      </c>
      <c r="H37" s="41">
        <v>9.2099999999999991</v>
      </c>
      <c r="I37" s="41">
        <v>8.84</v>
      </c>
      <c r="J37" s="41">
        <v>8.84</v>
      </c>
      <c r="K37" s="41">
        <v>8.84</v>
      </c>
      <c r="L37" s="42">
        <v>8.84</v>
      </c>
      <c r="N37" s="80"/>
      <c r="O37" s="80"/>
      <c r="P37" s="80"/>
      <c r="Q37" s="80"/>
      <c r="R37" s="80"/>
      <c r="S37" s="80"/>
    </row>
    <row r="38" spans="1:19" ht="13.5" thickBot="1" x14ac:dyDescent="0.25">
      <c r="A38" s="59">
        <v>177</v>
      </c>
      <c r="B38" s="59">
        <v>180</v>
      </c>
      <c r="C38" s="59" t="s">
        <v>76</v>
      </c>
      <c r="E38" s="32" t="s">
        <v>211</v>
      </c>
      <c r="F38" s="33" t="s">
        <v>8</v>
      </c>
      <c r="G38" s="43">
        <v>9500</v>
      </c>
      <c r="H38" s="44">
        <v>9500</v>
      </c>
      <c r="I38" s="44">
        <v>9500</v>
      </c>
      <c r="J38" s="44">
        <v>9500</v>
      </c>
      <c r="K38" s="44">
        <v>9500</v>
      </c>
      <c r="L38" s="45">
        <v>9500</v>
      </c>
      <c r="N38" s="80"/>
      <c r="O38" s="80"/>
      <c r="P38" s="80"/>
      <c r="Q38" s="80"/>
      <c r="R38" s="80"/>
      <c r="S38" s="80"/>
    </row>
    <row r="40" spans="1:19" x14ac:dyDescent="0.2">
      <c r="E40" s="10" t="s">
        <v>234</v>
      </c>
    </row>
  </sheetData>
  <mergeCells count="3">
    <mergeCell ref="G4:L4"/>
    <mergeCell ref="G6:L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opLeftCell="E3" workbookViewId="0">
      <selection activeCell="E3" sqref="E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4" width="38" style="59" hidden="1" customWidth="1" outlineLevel="1"/>
    <col min="5" max="5" width="1.83203125" style="10" customWidth="1" collapsed="1"/>
    <col min="6" max="6" width="43.5" style="10" customWidth="1"/>
    <col min="7" max="7" width="16" style="10" customWidth="1"/>
    <col min="8" max="8" width="16.33203125" style="10" customWidth="1"/>
    <col min="9" max="9" width="16.5" style="10" customWidth="1"/>
    <col min="10" max="10" width="16.33203125" style="10" customWidth="1"/>
    <col min="11" max="11" width="16.1640625" style="10" customWidth="1"/>
    <col min="12" max="12" width="17.5" style="10" customWidth="1"/>
    <col min="13" max="13" width="17.83203125" style="10" customWidth="1"/>
    <col min="14" max="16384" width="9.33203125" style="10"/>
  </cols>
  <sheetData>
    <row r="1" spans="1:20" s="59" customFormat="1" hidden="1" outlineLevel="1" x14ac:dyDescent="0.2">
      <c r="H1" s="59" t="s">
        <v>58</v>
      </c>
      <c r="I1" s="59" t="s">
        <v>59</v>
      </c>
      <c r="J1" s="59" t="s">
        <v>60</v>
      </c>
      <c r="K1" s="59" t="s">
        <v>61</v>
      </c>
      <c r="L1" s="59" t="s">
        <v>62</v>
      </c>
      <c r="M1" s="59" t="s">
        <v>63</v>
      </c>
    </row>
    <row r="2" spans="1:20" s="59" customFormat="1" hidden="1" outlineLevel="1" x14ac:dyDescent="0.2">
      <c r="H2" s="59">
        <v>7</v>
      </c>
      <c r="I2" s="59">
        <v>6</v>
      </c>
      <c r="J2" s="59">
        <v>4</v>
      </c>
      <c r="K2" s="59">
        <v>5</v>
      </c>
      <c r="L2" s="59">
        <v>3</v>
      </c>
      <c r="M2" s="59">
        <v>2</v>
      </c>
    </row>
    <row r="3" spans="1:20" ht="13.5" collapsed="1" thickBot="1" x14ac:dyDescent="0.25"/>
    <row r="4" spans="1:20" ht="14.25" x14ac:dyDescent="0.2">
      <c r="A4" s="60" t="s">
        <v>73</v>
      </c>
      <c r="B4" s="59" t="s">
        <v>134</v>
      </c>
      <c r="F4" s="11"/>
      <c r="G4" s="12"/>
      <c r="H4" s="81" t="s">
        <v>162</v>
      </c>
      <c r="I4" s="82"/>
      <c r="J4" s="82"/>
      <c r="K4" s="82"/>
      <c r="L4" s="82"/>
      <c r="M4" s="83"/>
    </row>
    <row r="5" spans="1:20" ht="26.25" thickBot="1" x14ac:dyDescent="0.25">
      <c r="F5" s="3" t="s">
        <v>0</v>
      </c>
      <c r="G5" s="2" t="s">
        <v>1</v>
      </c>
      <c r="H5" s="13" t="s">
        <v>3</v>
      </c>
      <c r="I5" s="13" t="s">
        <v>28</v>
      </c>
      <c r="J5" s="13" t="s">
        <v>20</v>
      </c>
      <c r="K5" s="14" t="s">
        <v>21</v>
      </c>
      <c r="L5" s="13" t="s">
        <v>4</v>
      </c>
      <c r="M5" s="15" t="s">
        <v>5</v>
      </c>
    </row>
    <row r="6" spans="1:20" ht="25.5" customHeight="1" x14ac:dyDescent="0.2">
      <c r="A6" s="61" t="s">
        <v>79</v>
      </c>
      <c r="B6" s="61" t="s">
        <v>80</v>
      </c>
      <c r="C6" s="61" t="s">
        <v>81</v>
      </c>
      <c r="D6" s="61"/>
      <c r="F6" s="4" t="s">
        <v>12</v>
      </c>
      <c r="G6" s="1"/>
      <c r="H6" s="84"/>
      <c r="I6" s="85"/>
      <c r="J6" s="85"/>
      <c r="K6" s="85"/>
      <c r="L6" s="85"/>
      <c r="M6" s="86"/>
    </row>
    <row r="7" spans="1:20" x14ac:dyDescent="0.2">
      <c r="F7" s="5" t="s">
        <v>64</v>
      </c>
      <c r="G7" s="1"/>
      <c r="H7" s="16"/>
      <c r="I7" s="17"/>
      <c r="J7" s="17"/>
      <c r="K7" s="18"/>
      <c r="L7" s="17"/>
      <c r="M7" s="19"/>
    </row>
    <row r="8" spans="1:20" x14ac:dyDescent="0.2">
      <c r="A8" s="59">
        <v>32</v>
      </c>
      <c r="B8" s="59">
        <v>40</v>
      </c>
      <c r="C8" s="59" t="s">
        <v>65</v>
      </c>
      <c r="F8" s="20" t="s">
        <v>67</v>
      </c>
      <c r="G8" s="8" t="s">
        <v>2</v>
      </c>
      <c r="H8" s="37">
        <v>359</v>
      </c>
      <c r="I8" s="38">
        <v>358.7</v>
      </c>
      <c r="J8" s="38">
        <v>357.4</v>
      </c>
      <c r="K8" s="38">
        <v>357.4</v>
      </c>
      <c r="L8" s="38">
        <v>357.7</v>
      </c>
      <c r="M8" s="39">
        <v>355.6</v>
      </c>
      <c r="O8" s="80"/>
      <c r="P8" s="80"/>
      <c r="Q8" s="80"/>
      <c r="R8" s="80"/>
      <c r="S8" s="80"/>
      <c r="T8" s="80"/>
    </row>
    <row r="9" spans="1:20" x14ac:dyDescent="0.2">
      <c r="A9" s="59">
        <v>44</v>
      </c>
      <c r="B9" s="59">
        <v>52</v>
      </c>
      <c r="C9" s="59" t="s">
        <v>65</v>
      </c>
      <c r="F9" s="20" t="s">
        <v>68</v>
      </c>
      <c r="G9" s="8" t="s">
        <v>2</v>
      </c>
      <c r="H9" s="37">
        <v>371.1</v>
      </c>
      <c r="I9" s="38">
        <v>370.2</v>
      </c>
      <c r="J9" s="38">
        <v>370.2</v>
      </c>
      <c r="K9" s="38">
        <v>370.2</v>
      </c>
      <c r="L9" s="38">
        <v>369.2</v>
      </c>
      <c r="M9" s="39">
        <v>367.4</v>
      </c>
      <c r="O9" s="80"/>
      <c r="P9" s="80"/>
      <c r="Q9" s="80"/>
      <c r="R9" s="80"/>
      <c r="S9" s="80"/>
      <c r="T9" s="80"/>
    </row>
    <row r="10" spans="1:20" x14ac:dyDescent="0.2">
      <c r="F10" s="20"/>
      <c r="G10" s="8"/>
      <c r="H10" s="37"/>
      <c r="I10" s="38"/>
      <c r="J10" s="38"/>
      <c r="K10" s="38"/>
      <c r="L10" s="38"/>
      <c r="M10" s="39"/>
      <c r="O10" s="80"/>
      <c r="P10" s="80"/>
      <c r="Q10" s="80"/>
      <c r="R10" s="80"/>
      <c r="S10" s="80"/>
      <c r="T10" s="80"/>
    </row>
    <row r="11" spans="1:20" x14ac:dyDescent="0.2">
      <c r="F11" s="5" t="s">
        <v>66</v>
      </c>
      <c r="G11" s="8"/>
      <c r="H11" s="7"/>
      <c r="I11" s="8"/>
      <c r="J11" s="8"/>
      <c r="K11" s="8"/>
      <c r="L11" s="8"/>
      <c r="M11" s="9"/>
      <c r="O11" s="80"/>
      <c r="P11" s="80"/>
      <c r="Q11" s="80"/>
      <c r="R11" s="80"/>
      <c r="S11" s="80"/>
      <c r="T11" s="80"/>
    </row>
    <row r="12" spans="1:20" x14ac:dyDescent="0.2">
      <c r="A12" s="59">
        <v>32</v>
      </c>
      <c r="B12" s="59">
        <v>40</v>
      </c>
      <c r="C12" s="59" t="s">
        <v>69</v>
      </c>
      <c r="F12" s="20" t="s">
        <v>13</v>
      </c>
      <c r="G12" s="8" t="s">
        <v>10</v>
      </c>
      <c r="H12" s="21">
        <v>9370</v>
      </c>
      <c r="I12" s="22">
        <v>9370</v>
      </c>
      <c r="J12" s="22">
        <v>9360</v>
      </c>
      <c r="K12" s="22">
        <v>9360</v>
      </c>
      <c r="L12" s="22">
        <v>9350</v>
      </c>
      <c r="M12" s="23">
        <v>9350</v>
      </c>
      <c r="O12" s="80"/>
      <c r="P12" s="80"/>
      <c r="Q12" s="80"/>
      <c r="R12" s="80"/>
      <c r="S12" s="80"/>
      <c r="T12" s="80"/>
    </row>
    <row r="13" spans="1:20" x14ac:dyDescent="0.2">
      <c r="A13" s="59">
        <v>44</v>
      </c>
      <c r="B13" s="59">
        <v>52</v>
      </c>
      <c r="C13" s="59" t="s">
        <v>69</v>
      </c>
      <c r="F13" s="20" t="s">
        <v>14</v>
      </c>
      <c r="G13" s="8" t="s">
        <v>10</v>
      </c>
      <c r="H13" s="21">
        <v>9300</v>
      </c>
      <c r="I13" s="22">
        <v>9300</v>
      </c>
      <c r="J13" s="22">
        <v>9300</v>
      </c>
      <c r="K13" s="22">
        <v>9300</v>
      </c>
      <c r="L13" s="22">
        <v>9290</v>
      </c>
      <c r="M13" s="23">
        <v>9280</v>
      </c>
      <c r="O13" s="80"/>
      <c r="P13" s="80"/>
      <c r="Q13" s="80"/>
      <c r="R13" s="80"/>
      <c r="S13" s="80"/>
      <c r="T13" s="80"/>
    </row>
    <row r="14" spans="1:20" x14ac:dyDescent="0.2">
      <c r="A14" s="59">
        <v>56</v>
      </c>
      <c r="B14" s="59">
        <v>64</v>
      </c>
      <c r="C14" s="59" t="s">
        <v>69</v>
      </c>
      <c r="F14" s="70" t="s">
        <v>212</v>
      </c>
      <c r="G14" s="71" t="s">
        <v>10</v>
      </c>
      <c r="H14" s="72">
        <v>9340</v>
      </c>
      <c r="I14" s="73">
        <v>9340</v>
      </c>
      <c r="J14" s="73">
        <v>9340</v>
      </c>
      <c r="K14" s="73">
        <v>9340</v>
      </c>
      <c r="L14" s="73">
        <v>9340</v>
      </c>
      <c r="M14" s="74">
        <v>9340</v>
      </c>
      <c r="N14" s="75" t="s">
        <v>213</v>
      </c>
      <c r="O14" s="80"/>
      <c r="P14" s="80"/>
      <c r="Q14" s="80"/>
      <c r="R14" s="80"/>
      <c r="S14" s="80"/>
      <c r="T14" s="80"/>
    </row>
    <row r="15" spans="1:20" x14ac:dyDescent="0.2">
      <c r="F15" s="5" t="s">
        <v>17</v>
      </c>
      <c r="G15" s="24"/>
      <c r="H15" s="7"/>
      <c r="I15" s="8"/>
      <c r="J15" s="8"/>
      <c r="K15" s="8"/>
      <c r="L15" s="8"/>
      <c r="M15" s="9"/>
      <c r="O15" s="80"/>
      <c r="P15" s="80"/>
      <c r="Q15" s="80"/>
      <c r="R15" s="80"/>
      <c r="S15" s="80"/>
      <c r="T15" s="80"/>
    </row>
    <row r="16" spans="1:20" ht="14.25" x14ac:dyDescent="0.2">
      <c r="A16" s="59">
        <v>205</v>
      </c>
      <c r="B16" s="59">
        <v>209</v>
      </c>
      <c r="C16" s="59" t="s">
        <v>70</v>
      </c>
      <c r="F16" s="20" t="s">
        <v>25</v>
      </c>
      <c r="G16" s="25" t="s">
        <v>15</v>
      </c>
      <c r="H16" s="62">
        <v>331.56156316916486</v>
      </c>
      <c r="I16" s="27">
        <v>331.56156316916486</v>
      </c>
      <c r="J16" s="27">
        <v>331.20770877944324</v>
      </c>
      <c r="K16" s="76">
        <v>331.20770877944324</v>
      </c>
      <c r="L16" s="27">
        <v>330.85385438972162</v>
      </c>
      <c r="M16" s="28">
        <v>330.85385438972162</v>
      </c>
      <c r="O16" s="80"/>
      <c r="P16" s="80"/>
      <c r="Q16" s="80"/>
      <c r="R16" s="80"/>
      <c r="S16" s="80"/>
      <c r="T16" s="80"/>
    </row>
    <row r="17" spans="1:20" ht="14.25" x14ac:dyDescent="0.2">
      <c r="A17" s="59">
        <v>205</v>
      </c>
      <c r="B17" s="59">
        <v>209</v>
      </c>
      <c r="C17" s="59" t="s">
        <v>71</v>
      </c>
      <c r="F17" s="20" t="s">
        <v>26</v>
      </c>
      <c r="G17" s="25" t="s">
        <v>15</v>
      </c>
      <c r="H17" s="26">
        <v>6.922162740899358</v>
      </c>
      <c r="I17" s="27">
        <v>6.922162740899358</v>
      </c>
      <c r="J17" s="27">
        <v>6.9147751605995715</v>
      </c>
      <c r="K17" s="27">
        <v>6.9147751605995715</v>
      </c>
      <c r="L17" s="27">
        <v>6.8072805139186299</v>
      </c>
      <c r="M17" s="28">
        <v>6.8072805139186299</v>
      </c>
      <c r="O17" s="80"/>
      <c r="P17" s="80"/>
      <c r="Q17" s="80"/>
      <c r="R17" s="80"/>
      <c r="S17" s="80"/>
      <c r="T17" s="80"/>
    </row>
    <row r="18" spans="1:20" ht="14.25" x14ac:dyDescent="0.2">
      <c r="A18" s="59">
        <v>205</v>
      </c>
      <c r="B18" s="59">
        <v>209</v>
      </c>
      <c r="C18" s="59" t="s">
        <v>72</v>
      </c>
      <c r="F18" s="20" t="s">
        <v>27</v>
      </c>
      <c r="G18" s="25" t="s">
        <v>15</v>
      </c>
      <c r="H18" s="21">
        <v>415329.76445396146</v>
      </c>
      <c r="I18" s="22">
        <v>415329.76445396146</v>
      </c>
      <c r="J18" s="22">
        <v>412481.3704496788</v>
      </c>
      <c r="K18" s="22">
        <v>412481.3704496788</v>
      </c>
      <c r="L18" s="22">
        <v>410839.40042826551</v>
      </c>
      <c r="M18" s="23">
        <v>408436.83083511778</v>
      </c>
      <c r="O18" s="80"/>
      <c r="P18" s="80"/>
      <c r="Q18" s="80"/>
      <c r="R18" s="80"/>
      <c r="S18" s="80"/>
      <c r="T18" s="80"/>
    </row>
    <row r="19" spans="1:20" x14ac:dyDescent="0.2">
      <c r="F19" s="5" t="s">
        <v>18</v>
      </c>
      <c r="G19" s="24"/>
      <c r="H19" s="29"/>
      <c r="I19" s="24"/>
      <c r="J19" s="24"/>
      <c r="K19" s="24"/>
      <c r="L19" s="24"/>
      <c r="M19" s="30"/>
      <c r="O19" s="80"/>
      <c r="P19" s="80"/>
      <c r="Q19" s="80"/>
      <c r="R19" s="80"/>
      <c r="S19" s="80"/>
      <c r="T19" s="80"/>
    </row>
    <row r="20" spans="1:20" ht="14.25" x14ac:dyDescent="0.2">
      <c r="A20" s="59">
        <v>205</v>
      </c>
      <c r="B20" s="59">
        <v>209</v>
      </c>
      <c r="C20" s="59" t="s">
        <v>70</v>
      </c>
      <c r="F20" s="20" t="s">
        <v>25</v>
      </c>
      <c r="G20" s="25" t="s">
        <v>15</v>
      </c>
      <c r="H20" s="26">
        <v>329.08458244111347</v>
      </c>
      <c r="I20" s="27">
        <v>329.08458244111347</v>
      </c>
      <c r="J20" s="27">
        <v>329.08458244111347</v>
      </c>
      <c r="K20" s="27">
        <v>329.08458244111347</v>
      </c>
      <c r="L20" s="27">
        <v>328.73072805139185</v>
      </c>
      <c r="M20" s="28">
        <v>328.37687366167023</v>
      </c>
      <c r="O20" s="80"/>
      <c r="P20" s="80"/>
      <c r="Q20" s="80"/>
      <c r="R20" s="80"/>
      <c r="S20" s="80"/>
      <c r="T20" s="80"/>
    </row>
    <row r="21" spans="1:20" ht="14.25" x14ac:dyDescent="0.2">
      <c r="A21" s="59">
        <v>205</v>
      </c>
      <c r="B21" s="59">
        <v>209</v>
      </c>
      <c r="C21" s="59" t="s">
        <v>71</v>
      </c>
      <c r="F21" s="20" t="s">
        <v>26</v>
      </c>
      <c r="G21" s="25" t="s">
        <v>15</v>
      </c>
      <c r="H21" s="26">
        <v>6.8704496788008562</v>
      </c>
      <c r="I21" s="27">
        <v>6.8704496788008562</v>
      </c>
      <c r="J21" s="27">
        <v>6.8704496788008562</v>
      </c>
      <c r="K21" s="27">
        <v>6.8704496788008562</v>
      </c>
      <c r="L21" s="27">
        <v>6.7635974304068522</v>
      </c>
      <c r="M21" s="28">
        <v>6.7563169164882231</v>
      </c>
      <c r="O21" s="80"/>
      <c r="P21" s="80"/>
      <c r="Q21" s="80"/>
      <c r="R21" s="80"/>
      <c r="S21" s="80"/>
      <c r="T21" s="80"/>
    </row>
    <row r="22" spans="1:20" ht="14.25" x14ac:dyDescent="0.2">
      <c r="A22" s="59">
        <v>205</v>
      </c>
      <c r="B22" s="59">
        <v>209</v>
      </c>
      <c r="C22" s="59" t="s">
        <v>72</v>
      </c>
      <c r="F22" s="20" t="s">
        <v>27</v>
      </c>
      <c r="G22" s="25" t="s">
        <v>15</v>
      </c>
      <c r="H22" s="21">
        <v>412226.98072805139</v>
      </c>
      <c r="I22" s="22">
        <v>412226.98072805139</v>
      </c>
      <c r="J22" s="22">
        <v>409837.2591006424</v>
      </c>
      <c r="K22" s="22">
        <v>409837.2591006424</v>
      </c>
      <c r="L22" s="22">
        <v>408202.9978586724</v>
      </c>
      <c r="M22" s="23">
        <v>405379.01498929336</v>
      </c>
      <c r="O22" s="80"/>
      <c r="P22" s="80"/>
      <c r="Q22" s="80"/>
      <c r="R22" s="80"/>
      <c r="S22" s="80"/>
      <c r="T22" s="80"/>
    </row>
    <row r="23" spans="1:20" x14ac:dyDescent="0.2">
      <c r="F23" s="5" t="s">
        <v>133</v>
      </c>
      <c r="G23" s="24"/>
      <c r="H23" s="21"/>
      <c r="I23" s="22"/>
      <c r="J23" s="22"/>
      <c r="K23" s="22"/>
      <c r="L23" s="22"/>
      <c r="M23" s="23"/>
      <c r="O23" s="80"/>
      <c r="P23" s="80"/>
      <c r="Q23" s="80"/>
      <c r="R23" s="80"/>
      <c r="S23" s="80"/>
      <c r="T23" s="80"/>
    </row>
    <row r="24" spans="1:20" ht="14.25" x14ac:dyDescent="0.2">
      <c r="A24" s="59">
        <v>219</v>
      </c>
      <c r="B24" s="59">
        <v>223</v>
      </c>
      <c r="C24" s="59" t="s">
        <v>70</v>
      </c>
      <c r="F24" s="20" t="s">
        <v>25</v>
      </c>
      <c r="G24" s="25" t="s">
        <v>15</v>
      </c>
      <c r="H24" s="26">
        <v>642.05567451820127</v>
      </c>
      <c r="I24" s="22">
        <v>642.05567451820127</v>
      </c>
      <c r="J24" s="22">
        <v>641.37044967880081</v>
      </c>
      <c r="K24" s="22">
        <v>641.37044967880081</v>
      </c>
      <c r="L24" s="22">
        <v>640.68522483940046</v>
      </c>
      <c r="M24" s="23">
        <v>640.68522483940046</v>
      </c>
      <c r="O24" s="80"/>
      <c r="P24" s="80"/>
      <c r="Q24" s="80"/>
      <c r="R24" s="80"/>
      <c r="S24" s="80"/>
      <c r="T24" s="80"/>
    </row>
    <row r="25" spans="1:20" ht="14.25" x14ac:dyDescent="0.2">
      <c r="A25" s="59">
        <v>219</v>
      </c>
      <c r="B25" s="59">
        <v>223</v>
      </c>
      <c r="C25" s="59" t="s">
        <v>71</v>
      </c>
      <c r="F25" s="20" t="s">
        <v>26</v>
      </c>
      <c r="G25" s="25" t="s">
        <v>15</v>
      </c>
      <c r="H25" s="21">
        <v>5.3170235546038542</v>
      </c>
      <c r="I25" s="22">
        <v>5.3170235546038542</v>
      </c>
      <c r="J25" s="22">
        <v>5.2111349036402572</v>
      </c>
      <c r="K25" s="22">
        <v>5.2111349036402572</v>
      </c>
      <c r="L25" s="22">
        <v>5.2055674518201283</v>
      </c>
      <c r="M25" s="23">
        <v>5.2055674518201283</v>
      </c>
      <c r="O25" s="80"/>
      <c r="P25" s="80"/>
      <c r="Q25" s="80"/>
      <c r="R25" s="80"/>
      <c r="S25" s="80"/>
      <c r="T25" s="80"/>
    </row>
    <row r="26" spans="1:20" ht="14.25" x14ac:dyDescent="0.2">
      <c r="A26" s="59">
        <v>219</v>
      </c>
      <c r="B26" s="59">
        <v>223</v>
      </c>
      <c r="C26" s="59" t="s">
        <v>72</v>
      </c>
      <c r="F26" s="20" t="s">
        <v>27</v>
      </c>
      <c r="G26" s="25" t="s">
        <v>15</v>
      </c>
      <c r="H26" s="21">
        <v>553773.01927194861</v>
      </c>
      <c r="I26" s="22">
        <v>553773.01927194861</v>
      </c>
      <c r="J26" s="22">
        <v>549975.16059957177</v>
      </c>
      <c r="K26" s="22">
        <v>549975.16059957177</v>
      </c>
      <c r="L26" s="22">
        <v>547785.86723768734</v>
      </c>
      <c r="M26" s="23">
        <v>544582.44111349038</v>
      </c>
      <c r="O26" s="80"/>
      <c r="P26" s="80"/>
      <c r="Q26" s="80"/>
      <c r="R26" s="80"/>
      <c r="S26" s="80"/>
      <c r="T26" s="80"/>
    </row>
    <row r="27" spans="1:20" x14ac:dyDescent="0.2">
      <c r="F27" s="5" t="s">
        <v>16</v>
      </c>
      <c r="G27" s="24"/>
      <c r="H27" s="29"/>
      <c r="I27" s="24"/>
      <c r="J27" s="24"/>
      <c r="K27" s="24"/>
      <c r="L27" s="24"/>
      <c r="M27" s="30"/>
      <c r="O27" s="80"/>
      <c r="P27" s="80"/>
      <c r="Q27" s="80"/>
      <c r="R27" s="80"/>
      <c r="S27" s="80"/>
      <c r="T27" s="80"/>
    </row>
    <row r="28" spans="1:20" ht="14.25" x14ac:dyDescent="0.2">
      <c r="A28" s="59">
        <v>219</v>
      </c>
      <c r="B28" s="59">
        <v>223</v>
      </c>
      <c r="C28" s="59" t="s">
        <v>70</v>
      </c>
      <c r="F28" s="20" t="s">
        <v>25</v>
      </c>
      <c r="G28" s="25" t="s">
        <v>15</v>
      </c>
      <c r="H28" s="26">
        <v>637.25910064239827</v>
      </c>
      <c r="I28" s="27">
        <v>637.25910064239827</v>
      </c>
      <c r="J28" s="27">
        <v>637.25910064239827</v>
      </c>
      <c r="K28" s="27">
        <v>637.25910064239827</v>
      </c>
      <c r="L28" s="27">
        <v>636.5738758029978</v>
      </c>
      <c r="M28" s="28">
        <v>635.88865096359746</v>
      </c>
      <c r="O28" s="80"/>
      <c r="P28" s="80"/>
      <c r="Q28" s="80"/>
      <c r="R28" s="80"/>
      <c r="S28" s="80"/>
      <c r="T28" s="80"/>
    </row>
    <row r="29" spans="1:20" ht="14.25" x14ac:dyDescent="0.2">
      <c r="A29" s="59">
        <v>219</v>
      </c>
      <c r="B29" s="59">
        <v>223</v>
      </c>
      <c r="C29" s="59" t="s">
        <v>71</v>
      </c>
      <c r="F29" s="20" t="s">
        <v>26</v>
      </c>
      <c r="G29" s="25" t="s">
        <v>15</v>
      </c>
      <c r="H29" s="26">
        <v>5.2773019271948609</v>
      </c>
      <c r="I29" s="27">
        <v>5.2773019271948609</v>
      </c>
      <c r="J29" s="27">
        <v>5.1777301927194861</v>
      </c>
      <c r="K29" s="27">
        <v>5.1777301927194861</v>
      </c>
      <c r="L29" s="27">
        <v>5.172162740899358</v>
      </c>
      <c r="M29" s="28">
        <v>5.166595289079229</v>
      </c>
      <c r="O29" s="80"/>
      <c r="P29" s="80"/>
      <c r="Q29" s="80"/>
      <c r="R29" s="80"/>
      <c r="S29" s="80"/>
      <c r="T29" s="80"/>
    </row>
    <row r="30" spans="1:20" ht="14.25" x14ac:dyDescent="0.2">
      <c r="A30" s="59">
        <v>219</v>
      </c>
      <c r="B30" s="59">
        <v>223</v>
      </c>
      <c r="C30" s="59" t="s">
        <v>72</v>
      </c>
      <c r="F30" s="20" t="s">
        <v>27</v>
      </c>
      <c r="G30" s="25" t="s">
        <v>15</v>
      </c>
      <c r="H30" s="21">
        <v>549635.97430406848</v>
      </c>
      <c r="I30" s="22">
        <v>549635.97430406848</v>
      </c>
      <c r="J30" s="22">
        <v>546449.67880085658</v>
      </c>
      <c r="K30" s="22">
        <v>546449.67880085658</v>
      </c>
      <c r="L30" s="22">
        <v>544270.66381156316</v>
      </c>
      <c r="M30" s="23">
        <v>540505.35331905785</v>
      </c>
      <c r="O30" s="80"/>
      <c r="P30" s="80"/>
      <c r="Q30" s="80"/>
      <c r="R30" s="80"/>
      <c r="S30" s="80"/>
      <c r="T30" s="80"/>
    </row>
    <row r="31" spans="1:20" x14ac:dyDescent="0.2">
      <c r="F31" s="4" t="s">
        <v>19</v>
      </c>
      <c r="G31" s="25"/>
      <c r="H31" s="29"/>
      <c r="I31" s="24"/>
      <c r="J31" s="24"/>
      <c r="K31" s="24"/>
      <c r="L31" s="24"/>
      <c r="M31" s="30"/>
      <c r="O31" s="80"/>
      <c r="P31" s="80"/>
      <c r="Q31" s="80"/>
      <c r="R31" s="80"/>
      <c r="S31" s="80"/>
      <c r="T31" s="80"/>
    </row>
    <row r="32" spans="1:20" x14ac:dyDescent="0.2">
      <c r="F32" s="31"/>
      <c r="G32" s="8"/>
      <c r="H32" s="53"/>
      <c r="I32" s="54"/>
      <c r="J32" s="54"/>
      <c r="K32" s="54"/>
      <c r="L32" s="54"/>
      <c r="M32" s="55"/>
      <c r="O32" s="80"/>
      <c r="P32" s="80"/>
      <c r="Q32" s="80"/>
      <c r="R32" s="80"/>
      <c r="S32" s="80"/>
      <c r="T32" s="80"/>
    </row>
    <row r="33" spans="1:20" ht="25.5" x14ac:dyDescent="0.2">
      <c r="A33" s="87" t="s">
        <v>158</v>
      </c>
      <c r="B33" s="87"/>
      <c r="C33" s="87"/>
      <c r="D33" s="64"/>
      <c r="F33" s="31" t="s">
        <v>85</v>
      </c>
      <c r="G33" s="8" t="s">
        <v>7</v>
      </c>
      <c r="H33" s="53">
        <v>490</v>
      </c>
      <c r="I33" s="54">
        <v>490</v>
      </c>
      <c r="J33" s="54">
        <v>490</v>
      </c>
      <c r="K33" s="54">
        <v>490</v>
      </c>
      <c r="L33" s="54">
        <v>490</v>
      </c>
      <c r="M33" s="55">
        <v>490</v>
      </c>
      <c r="O33" s="80"/>
      <c r="P33" s="80"/>
      <c r="Q33" s="80"/>
      <c r="R33" s="80"/>
      <c r="S33" s="80"/>
      <c r="T33" s="80"/>
    </row>
    <row r="34" spans="1:20" ht="13.5" thickBot="1" x14ac:dyDescent="0.25">
      <c r="A34" s="59">
        <v>16</v>
      </c>
      <c r="B34" s="59">
        <v>16</v>
      </c>
      <c r="C34" s="59" t="s">
        <v>74</v>
      </c>
      <c r="F34" s="32" t="s">
        <v>6</v>
      </c>
      <c r="G34" s="52" t="s">
        <v>11</v>
      </c>
      <c r="H34" s="56">
        <v>4.3400000000000001E-2</v>
      </c>
      <c r="I34" s="57">
        <v>4.3400000000000001E-2</v>
      </c>
      <c r="J34" s="57">
        <v>4.3400000000000001E-2</v>
      </c>
      <c r="K34" s="57">
        <v>4.3400000000000001E-2</v>
      </c>
      <c r="L34" s="57">
        <v>4.3400000000000001E-2</v>
      </c>
      <c r="M34" s="58">
        <v>4.3400000000000001E-2</v>
      </c>
      <c r="O34" s="80"/>
      <c r="P34" s="80"/>
      <c r="Q34" s="80"/>
      <c r="R34" s="80"/>
      <c r="S34" s="80"/>
      <c r="T34" s="80"/>
    </row>
    <row r="35" spans="1:20" ht="12.75" customHeight="1" x14ac:dyDescent="0.2">
      <c r="F35" s="6" t="s">
        <v>210</v>
      </c>
      <c r="G35" s="24"/>
      <c r="H35" s="34"/>
      <c r="I35" s="35"/>
      <c r="J35" s="35"/>
      <c r="K35" s="35"/>
      <c r="L35" s="35"/>
      <c r="M35" s="36"/>
      <c r="O35" s="80"/>
      <c r="P35" s="80"/>
      <c r="Q35" s="80"/>
      <c r="R35" s="80"/>
      <c r="S35" s="80"/>
      <c r="T35" s="80"/>
    </row>
    <row r="36" spans="1:20" x14ac:dyDescent="0.2">
      <c r="A36" s="59">
        <v>184</v>
      </c>
      <c r="B36" s="59">
        <v>187</v>
      </c>
      <c r="C36" s="59" t="s">
        <v>77</v>
      </c>
      <c r="D36" s="59" t="s">
        <v>78</v>
      </c>
      <c r="F36" s="20" t="s">
        <v>22</v>
      </c>
      <c r="G36" s="8" t="s">
        <v>9</v>
      </c>
      <c r="H36" s="63">
        <v>0.93000000000000016</v>
      </c>
      <c r="I36" s="41">
        <v>0.95000000000000018</v>
      </c>
      <c r="J36" s="41">
        <v>0.93000000000000016</v>
      </c>
      <c r="K36" s="41">
        <v>0.93000000000000016</v>
      </c>
      <c r="L36" s="41">
        <v>0.93000000000000016</v>
      </c>
      <c r="M36" s="42">
        <v>0.92999999999999994</v>
      </c>
      <c r="O36" s="80"/>
      <c r="P36" s="80"/>
      <c r="Q36" s="80"/>
      <c r="R36" s="80"/>
      <c r="S36" s="80"/>
      <c r="T36" s="80"/>
    </row>
    <row r="37" spans="1:20" x14ac:dyDescent="0.2">
      <c r="A37" s="59">
        <v>190</v>
      </c>
      <c r="B37" s="59">
        <v>193</v>
      </c>
      <c r="C37" s="59" t="s">
        <v>77</v>
      </c>
      <c r="D37" s="59" t="s">
        <v>78</v>
      </c>
      <c r="F37" s="20" t="s">
        <v>23</v>
      </c>
      <c r="G37" s="8" t="s">
        <v>9</v>
      </c>
      <c r="H37" s="40">
        <v>10.23</v>
      </c>
      <c r="I37" s="41">
        <v>10.76</v>
      </c>
      <c r="J37" s="41">
        <v>10.23</v>
      </c>
      <c r="K37" s="41">
        <v>10.23</v>
      </c>
      <c r="L37" s="41">
        <v>10.210000000000001</v>
      </c>
      <c r="M37" s="42">
        <v>10.210000000000001</v>
      </c>
      <c r="O37" s="80"/>
      <c r="P37" s="80"/>
      <c r="Q37" s="80"/>
      <c r="R37" s="80"/>
      <c r="S37" s="80"/>
      <c r="T37" s="80"/>
    </row>
    <row r="38" spans="1:20" ht="13.5" thickBot="1" x14ac:dyDescent="0.25">
      <c r="A38" s="59">
        <v>177</v>
      </c>
      <c r="B38" s="59">
        <v>180</v>
      </c>
      <c r="C38" s="59" t="s">
        <v>76</v>
      </c>
      <c r="F38" s="32" t="s">
        <v>211</v>
      </c>
      <c r="G38" s="33" t="s">
        <v>8</v>
      </c>
      <c r="H38" s="43">
        <v>26600</v>
      </c>
      <c r="I38" s="44">
        <v>26600</v>
      </c>
      <c r="J38" s="44">
        <v>26600</v>
      </c>
      <c r="K38" s="44">
        <v>26600</v>
      </c>
      <c r="L38" s="44">
        <v>26600</v>
      </c>
      <c r="M38" s="45">
        <v>26600</v>
      </c>
      <c r="O38" s="80"/>
      <c r="P38" s="80"/>
      <c r="Q38" s="80"/>
      <c r="R38" s="80"/>
      <c r="S38" s="80"/>
      <c r="T38" s="80"/>
    </row>
    <row r="40" spans="1:20" x14ac:dyDescent="0.2">
      <c r="F40" s="10" t="s">
        <v>234</v>
      </c>
    </row>
  </sheetData>
  <mergeCells count="3">
    <mergeCell ref="H4:M4"/>
    <mergeCell ref="H6:M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40"/>
  <sheetViews>
    <sheetView topLeftCell="D3" workbookViewId="0">
      <selection activeCell="D3" sqref="D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3" width="38" style="59" hidden="1" customWidth="1" outlineLevel="1"/>
    <col min="4" max="4" width="1.83203125" style="10" customWidth="1" collapsed="1"/>
    <col min="5" max="5" width="43.5" style="10" customWidth="1"/>
    <col min="6" max="6" width="16" style="10" customWidth="1"/>
    <col min="7" max="7" width="16.33203125" style="10" customWidth="1"/>
    <col min="8" max="8" width="16.5" style="10" customWidth="1"/>
    <col min="9" max="9" width="16.33203125" style="10" customWidth="1"/>
    <col min="10" max="10" width="16.1640625" style="10" customWidth="1"/>
    <col min="11" max="11" width="17.5" style="10" customWidth="1"/>
    <col min="12" max="12" width="17.83203125" style="10" customWidth="1"/>
    <col min="13" max="13" width="9.33203125" style="10"/>
    <col min="14" max="14" width="9.83203125" style="10" bestFit="1" customWidth="1"/>
    <col min="15" max="16384" width="9.33203125" style="10"/>
  </cols>
  <sheetData>
    <row r="1" spans="1:19" s="59" customFormat="1" hidden="1" outlineLevel="1" x14ac:dyDescent="0.2">
      <c r="G1" s="59" t="s">
        <v>58</v>
      </c>
      <c r="H1" s="59" t="s">
        <v>59</v>
      </c>
      <c r="I1" s="59" t="s">
        <v>60</v>
      </c>
      <c r="J1" s="59" t="s">
        <v>61</v>
      </c>
      <c r="K1" s="59" t="s">
        <v>62</v>
      </c>
      <c r="L1" s="59" t="s">
        <v>63</v>
      </c>
    </row>
    <row r="2" spans="1:19" s="59" customFormat="1" hidden="1" outlineLevel="1" x14ac:dyDescent="0.2">
      <c r="G2" s="59">
        <v>7</v>
      </c>
      <c r="H2" s="59">
        <v>6</v>
      </c>
      <c r="I2" s="59">
        <v>4</v>
      </c>
      <c r="J2" s="59">
        <v>5</v>
      </c>
      <c r="K2" s="59">
        <v>3</v>
      </c>
      <c r="L2" s="59">
        <v>2</v>
      </c>
    </row>
    <row r="3" spans="1:19" ht="13.5" collapsed="1" thickBot="1" x14ac:dyDescent="0.25"/>
    <row r="4" spans="1:19" ht="14.25" x14ac:dyDescent="0.2">
      <c r="A4" s="60" t="s">
        <v>73</v>
      </c>
      <c r="B4" s="59" t="s">
        <v>134</v>
      </c>
      <c r="E4" s="11"/>
      <c r="F4" s="12"/>
      <c r="G4" s="81" t="s">
        <v>164</v>
      </c>
      <c r="H4" s="82"/>
      <c r="I4" s="82"/>
      <c r="J4" s="82"/>
      <c r="K4" s="82"/>
      <c r="L4" s="83"/>
    </row>
    <row r="5" spans="1:19" ht="26.25" thickBot="1" x14ac:dyDescent="0.25">
      <c r="E5" s="3" t="s">
        <v>0</v>
      </c>
      <c r="F5" s="2" t="s">
        <v>1</v>
      </c>
      <c r="G5" s="13" t="s">
        <v>3</v>
      </c>
      <c r="H5" s="13" t="s">
        <v>28</v>
      </c>
      <c r="I5" s="13" t="s">
        <v>20</v>
      </c>
      <c r="J5" s="14" t="s">
        <v>21</v>
      </c>
      <c r="K5" s="13" t="s">
        <v>4</v>
      </c>
      <c r="L5" s="15" t="s">
        <v>5</v>
      </c>
    </row>
    <row r="6" spans="1:19" ht="25.5" customHeight="1" x14ac:dyDescent="0.2">
      <c r="A6" s="61" t="s">
        <v>79</v>
      </c>
      <c r="B6" s="61" t="s">
        <v>80</v>
      </c>
      <c r="C6" s="61" t="s">
        <v>81</v>
      </c>
      <c r="E6" s="4" t="s">
        <v>12</v>
      </c>
      <c r="F6" s="1"/>
      <c r="G6" s="84"/>
      <c r="H6" s="85"/>
      <c r="I6" s="85"/>
      <c r="J6" s="85"/>
      <c r="K6" s="85"/>
      <c r="L6" s="86"/>
    </row>
    <row r="7" spans="1:19" x14ac:dyDescent="0.2">
      <c r="E7" s="5" t="s">
        <v>64</v>
      </c>
      <c r="F7" s="1"/>
      <c r="G7" s="16"/>
      <c r="H7" s="17"/>
      <c r="I7" s="17"/>
      <c r="J7" s="18"/>
      <c r="K7" s="17"/>
      <c r="L7" s="19"/>
    </row>
    <row r="8" spans="1:19" x14ac:dyDescent="0.2">
      <c r="A8" s="59">
        <v>32</v>
      </c>
      <c r="B8" s="59">
        <v>40</v>
      </c>
      <c r="C8" s="59" t="s">
        <v>65</v>
      </c>
      <c r="E8" s="20" t="s">
        <v>67</v>
      </c>
      <c r="F8" s="8" t="s">
        <v>2</v>
      </c>
      <c r="G8" s="37">
        <v>359</v>
      </c>
      <c r="H8" s="38">
        <v>358.7</v>
      </c>
      <c r="I8" s="38">
        <v>357.4</v>
      </c>
      <c r="J8" s="38">
        <v>357.4</v>
      </c>
      <c r="K8" s="38">
        <v>357.7</v>
      </c>
      <c r="L8" s="39">
        <v>355.6</v>
      </c>
      <c r="N8" s="80"/>
      <c r="O8" s="80"/>
      <c r="P8" s="80"/>
      <c r="Q8" s="80"/>
      <c r="R8" s="80"/>
      <c r="S8" s="80"/>
    </row>
    <row r="9" spans="1:19" x14ac:dyDescent="0.2">
      <c r="A9" s="59">
        <v>44</v>
      </c>
      <c r="B9" s="59">
        <v>52</v>
      </c>
      <c r="C9" s="59" t="s">
        <v>65</v>
      </c>
      <c r="E9" s="20" t="s">
        <v>68</v>
      </c>
      <c r="F9" s="8" t="s">
        <v>2</v>
      </c>
      <c r="G9" s="37">
        <v>371.1</v>
      </c>
      <c r="H9" s="38">
        <v>370.2</v>
      </c>
      <c r="I9" s="38">
        <v>370.2</v>
      </c>
      <c r="J9" s="38">
        <v>370.2</v>
      </c>
      <c r="K9" s="38">
        <v>369.2</v>
      </c>
      <c r="L9" s="39">
        <v>367.4</v>
      </c>
      <c r="N9" s="80"/>
      <c r="O9" s="80"/>
      <c r="P9" s="80"/>
      <c r="Q9" s="80"/>
      <c r="R9" s="80"/>
      <c r="S9" s="80"/>
    </row>
    <row r="10" spans="1:19" x14ac:dyDescent="0.2">
      <c r="E10" s="20"/>
      <c r="F10" s="8"/>
      <c r="G10" s="37"/>
      <c r="H10" s="38"/>
      <c r="I10" s="38"/>
      <c r="J10" s="38"/>
      <c r="K10" s="38"/>
      <c r="L10" s="39"/>
      <c r="N10" s="80"/>
      <c r="O10" s="80"/>
      <c r="P10" s="80"/>
      <c r="Q10" s="80"/>
      <c r="R10" s="80"/>
      <c r="S10" s="80"/>
    </row>
    <row r="11" spans="1:19" x14ac:dyDescent="0.2">
      <c r="E11" s="5" t="s">
        <v>66</v>
      </c>
      <c r="F11" s="8"/>
      <c r="G11" s="7"/>
      <c r="H11" s="8"/>
      <c r="I11" s="8"/>
      <c r="J11" s="8"/>
      <c r="K11" s="8"/>
      <c r="L11" s="9"/>
      <c r="N11" s="80"/>
      <c r="O11" s="80"/>
      <c r="P11" s="80"/>
      <c r="Q11" s="80"/>
      <c r="R11" s="80"/>
      <c r="S11" s="80"/>
    </row>
    <row r="12" spans="1:19" x14ac:dyDescent="0.2">
      <c r="A12" s="59">
        <v>32</v>
      </c>
      <c r="B12" s="59">
        <v>40</v>
      </c>
      <c r="C12" s="59" t="s">
        <v>69</v>
      </c>
      <c r="E12" s="20" t="s">
        <v>13</v>
      </c>
      <c r="F12" s="8" t="s">
        <v>10</v>
      </c>
      <c r="G12" s="21">
        <v>9370</v>
      </c>
      <c r="H12" s="22">
        <v>9370</v>
      </c>
      <c r="I12" s="22">
        <v>9360</v>
      </c>
      <c r="J12" s="22">
        <v>9360</v>
      </c>
      <c r="K12" s="22">
        <v>9350</v>
      </c>
      <c r="L12" s="23">
        <v>9350</v>
      </c>
      <c r="N12" s="80"/>
      <c r="O12" s="80"/>
      <c r="P12" s="80"/>
      <c r="Q12" s="80"/>
      <c r="R12" s="80"/>
      <c r="S12" s="80"/>
    </row>
    <row r="13" spans="1:19" x14ac:dyDescent="0.2">
      <c r="A13" s="59">
        <v>44</v>
      </c>
      <c r="B13" s="59">
        <v>52</v>
      </c>
      <c r="C13" s="59" t="s">
        <v>69</v>
      </c>
      <c r="E13" s="20" t="s">
        <v>14</v>
      </c>
      <c r="F13" s="8" t="s">
        <v>10</v>
      </c>
      <c r="G13" s="21">
        <v>9300</v>
      </c>
      <c r="H13" s="22">
        <v>9300</v>
      </c>
      <c r="I13" s="22">
        <v>9300</v>
      </c>
      <c r="J13" s="22">
        <v>9300</v>
      </c>
      <c r="K13" s="22">
        <v>9290</v>
      </c>
      <c r="L13" s="23">
        <v>9280</v>
      </c>
      <c r="N13" s="80"/>
      <c r="O13" s="80"/>
      <c r="P13" s="80"/>
      <c r="Q13" s="80"/>
      <c r="R13" s="80"/>
      <c r="S13" s="80"/>
    </row>
    <row r="14" spans="1:19" x14ac:dyDescent="0.2">
      <c r="A14" s="59">
        <v>56</v>
      </c>
      <c r="B14" s="59">
        <v>64</v>
      </c>
      <c r="C14" s="59" t="s">
        <v>69</v>
      </c>
      <c r="E14" s="70" t="s">
        <v>212</v>
      </c>
      <c r="F14" s="71" t="s">
        <v>10</v>
      </c>
      <c r="G14" s="72">
        <v>9340</v>
      </c>
      <c r="H14" s="73">
        <v>9340</v>
      </c>
      <c r="I14" s="73">
        <v>9340</v>
      </c>
      <c r="J14" s="73">
        <v>9340</v>
      </c>
      <c r="K14" s="73">
        <v>9340</v>
      </c>
      <c r="L14" s="74">
        <v>9340</v>
      </c>
      <c r="M14" s="75" t="s">
        <v>213</v>
      </c>
      <c r="N14" s="80"/>
      <c r="O14" s="80"/>
      <c r="P14" s="80"/>
      <c r="Q14" s="80"/>
      <c r="R14" s="80"/>
      <c r="S14" s="80"/>
    </row>
    <row r="15" spans="1:19" x14ac:dyDescent="0.2">
      <c r="E15" s="5" t="s">
        <v>17</v>
      </c>
      <c r="F15" s="24"/>
      <c r="G15" s="7"/>
      <c r="H15" s="8"/>
      <c r="I15" s="8"/>
      <c r="J15" s="8"/>
      <c r="K15" s="8"/>
      <c r="L15" s="9"/>
      <c r="N15" s="80"/>
      <c r="O15" s="80"/>
      <c r="P15" s="80"/>
      <c r="Q15" s="80"/>
      <c r="R15" s="80"/>
      <c r="S15" s="80"/>
    </row>
    <row r="16" spans="1:19" ht="14.25" x14ac:dyDescent="0.2">
      <c r="A16" s="59">
        <v>211</v>
      </c>
      <c r="B16" s="59">
        <v>215</v>
      </c>
      <c r="C16" s="59" t="s">
        <v>70</v>
      </c>
      <c r="E16" s="20" t="s">
        <v>25</v>
      </c>
      <c r="F16" s="25" t="s">
        <v>15</v>
      </c>
      <c r="G16" s="62">
        <v>26.484796573875801</v>
      </c>
      <c r="H16" s="27">
        <v>26.484796573875801</v>
      </c>
      <c r="I16" s="27">
        <v>26.456531049250536</v>
      </c>
      <c r="J16" s="76">
        <v>26.456531049250536</v>
      </c>
      <c r="K16" s="27">
        <v>26.428265524625267</v>
      </c>
      <c r="L16" s="28">
        <v>26.428265524625267</v>
      </c>
      <c r="N16" s="80"/>
      <c r="O16" s="80"/>
      <c r="P16" s="80"/>
      <c r="Q16" s="80"/>
      <c r="R16" s="80"/>
      <c r="S16" s="80"/>
    </row>
    <row r="17" spans="1:19" ht="14.25" x14ac:dyDescent="0.2">
      <c r="A17" s="59">
        <v>211</v>
      </c>
      <c r="B17" s="59">
        <v>215</v>
      </c>
      <c r="C17" s="59" t="s">
        <v>71</v>
      </c>
      <c r="E17" s="20" t="s">
        <v>26</v>
      </c>
      <c r="F17" s="25" t="s">
        <v>15</v>
      </c>
      <c r="G17" s="26">
        <v>6.922162740899358</v>
      </c>
      <c r="H17" s="27">
        <v>6.922162740899358</v>
      </c>
      <c r="I17" s="27">
        <v>6.9147751605995715</v>
      </c>
      <c r="J17" s="27">
        <v>6.9147751605995715</v>
      </c>
      <c r="K17" s="27">
        <v>6.8072805139186299</v>
      </c>
      <c r="L17" s="28">
        <v>6.8072805139186299</v>
      </c>
      <c r="N17" s="80"/>
      <c r="O17" s="80"/>
      <c r="P17" s="80"/>
      <c r="Q17" s="80"/>
      <c r="R17" s="80"/>
      <c r="S17" s="80"/>
    </row>
    <row r="18" spans="1:19" ht="14.25" x14ac:dyDescent="0.2">
      <c r="A18" s="59">
        <v>211</v>
      </c>
      <c r="B18" s="59">
        <v>215</v>
      </c>
      <c r="C18" s="59" t="s">
        <v>72</v>
      </c>
      <c r="E18" s="20" t="s">
        <v>27</v>
      </c>
      <c r="F18" s="25" t="s">
        <v>15</v>
      </c>
      <c r="G18" s="21">
        <v>415329.76445396146</v>
      </c>
      <c r="H18" s="22">
        <v>415329.76445396146</v>
      </c>
      <c r="I18" s="22">
        <v>412481.3704496788</v>
      </c>
      <c r="J18" s="22">
        <v>412481.3704496788</v>
      </c>
      <c r="K18" s="22">
        <v>410839.40042826551</v>
      </c>
      <c r="L18" s="23">
        <v>408436.83083511778</v>
      </c>
      <c r="N18" s="80"/>
      <c r="O18" s="80"/>
      <c r="P18" s="80"/>
      <c r="Q18" s="80"/>
      <c r="R18" s="80"/>
      <c r="S18" s="80"/>
    </row>
    <row r="19" spans="1:19" x14ac:dyDescent="0.2">
      <c r="E19" s="5" t="s">
        <v>18</v>
      </c>
      <c r="F19" s="24"/>
      <c r="G19" s="29"/>
      <c r="H19" s="24"/>
      <c r="I19" s="24"/>
      <c r="J19" s="24"/>
      <c r="K19" s="24"/>
      <c r="L19" s="30"/>
      <c r="N19" s="80"/>
      <c r="O19" s="80"/>
      <c r="P19" s="80"/>
      <c r="Q19" s="80"/>
      <c r="R19" s="80"/>
      <c r="S19" s="80"/>
    </row>
    <row r="20" spans="1:19" ht="14.25" x14ac:dyDescent="0.2">
      <c r="A20" s="59">
        <v>211</v>
      </c>
      <c r="B20" s="59">
        <v>215</v>
      </c>
      <c r="C20" s="59" t="s">
        <v>70</v>
      </c>
      <c r="E20" s="20" t="s">
        <v>25</v>
      </c>
      <c r="F20" s="25" t="s">
        <v>15</v>
      </c>
      <c r="G20" s="26">
        <v>26.286937901498931</v>
      </c>
      <c r="H20" s="27">
        <v>26.286937901498931</v>
      </c>
      <c r="I20" s="27">
        <v>26.286937901498931</v>
      </c>
      <c r="J20" s="27">
        <v>26.286937901498931</v>
      </c>
      <c r="K20" s="27">
        <v>26.258672376873662</v>
      </c>
      <c r="L20" s="28">
        <v>26.230406852248393</v>
      </c>
      <c r="N20" s="80"/>
      <c r="O20" s="80"/>
      <c r="P20" s="80"/>
      <c r="Q20" s="80"/>
      <c r="R20" s="80"/>
      <c r="S20" s="80"/>
    </row>
    <row r="21" spans="1:19" ht="14.25" x14ac:dyDescent="0.2">
      <c r="A21" s="59">
        <v>211</v>
      </c>
      <c r="B21" s="59">
        <v>215</v>
      </c>
      <c r="C21" s="59" t="s">
        <v>71</v>
      </c>
      <c r="E21" s="20" t="s">
        <v>26</v>
      </c>
      <c r="F21" s="25" t="s">
        <v>15</v>
      </c>
      <c r="G21" s="26">
        <v>6.8704496788008562</v>
      </c>
      <c r="H21" s="27">
        <v>6.8704496788008562</v>
      </c>
      <c r="I21" s="27">
        <v>6.8704496788008562</v>
      </c>
      <c r="J21" s="27">
        <v>6.8704496788008562</v>
      </c>
      <c r="K21" s="27">
        <v>6.7635974304068522</v>
      </c>
      <c r="L21" s="28">
        <v>6.7563169164882231</v>
      </c>
      <c r="N21" s="80"/>
      <c r="O21" s="80"/>
      <c r="P21" s="80"/>
      <c r="Q21" s="80"/>
      <c r="R21" s="80"/>
      <c r="S21" s="80"/>
    </row>
    <row r="22" spans="1:19" ht="14.25" x14ac:dyDescent="0.2">
      <c r="A22" s="59">
        <v>211</v>
      </c>
      <c r="B22" s="59">
        <v>215</v>
      </c>
      <c r="C22" s="59" t="s">
        <v>72</v>
      </c>
      <c r="E22" s="20" t="s">
        <v>27</v>
      </c>
      <c r="F22" s="25" t="s">
        <v>15</v>
      </c>
      <c r="G22" s="21">
        <v>412226.98072805139</v>
      </c>
      <c r="H22" s="22">
        <v>412226.98072805139</v>
      </c>
      <c r="I22" s="22">
        <v>409837.2591006424</v>
      </c>
      <c r="J22" s="22">
        <v>409837.2591006424</v>
      </c>
      <c r="K22" s="22">
        <v>408202.9978586724</v>
      </c>
      <c r="L22" s="23">
        <v>405379.01498929336</v>
      </c>
      <c r="N22" s="80"/>
      <c r="O22" s="80"/>
      <c r="P22" s="80"/>
      <c r="Q22" s="80"/>
      <c r="R22" s="80"/>
      <c r="S22" s="80"/>
    </row>
    <row r="23" spans="1:19" x14ac:dyDescent="0.2">
      <c r="E23" s="5" t="s">
        <v>133</v>
      </c>
      <c r="F23" s="24"/>
      <c r="G23" s="21"/>
      <c r="H23" s="22"/>
      <c r="I23" s="22"/>
      <c r="J23" s="22"/>
      <c r="K23" s="22"/>
      <c r="L23" s="23"/>
      <c r="N23" s="80"/>
      <c r="O23" s="80"/>
      <c r="P23" s="80"/>
      <c r="Q23" s="80"/>
      <c r="R23" s="80"/>
      <c r="S23" s="80"/>
    </row>
    <row r="24" spans="1:19" ht="14.25" x14ac:dyDescent="0.2">
      <c r="A24" s="59">
        <v>226</v>
      </c>
      <c r="B24" s="59">
        <v>229</v>
      </c>
      <c r="C24" s="59" t="s">
        <v>70</v>
      </c>
      <c r="E24" s="20" t="s">
        <v>25</v>
      </c>
      <c r="F24" s="25" t="s">
        <v>15</v>
      </c>
      <c r="G24" s="26">
        <v>96.308351177730188</v>
      </c>
      <c r="H24" s="22">
        <v>96.308351177730188</v>
      </c>
      <c r="I24" s="22">
        <v>96.20556745182013</v>
      </c>
      <c r="J24" s="22">
        <v>96.20556745182013</v>
      </c>
      <c r="K24" s="22">
        <v>96.102783725910058</v>
      </c>
      <c r="L24" s="23">
        <v>96.102783725910058</v>
      </c>
      <c r="N24" s="80"/>
      <c r="O24" s="80"/>
      <c r="P24" s="80"/>
      <c r="Q24" s="80"/>
      <c r="R24" s="80"/>
      <c r="S24" s="80"/>
    </row>
    <row r="25" spans="1:19" ht="14.25" x14ac:dyDescent="0.2">
      <c r="A25" s="59">
        <v>226</v>
      </c>
      <c r="B25" s="59">
        <v>229</v>
      </c>
      <c r="C25" s="59" t="s">
        <v>71</v>
      </c>
      <c r="E25" s="20" t="s">
        <v>26</v>
      </c>
      <c r="F25" s="25" t="s">
        <v>15</v>
      </c>
      <c r="G25" s="21">
        <v>5.3170235546038542</v>
      </c>
      <c r="H25" s="22">
        <v>5.3170235546038542</v>
      </c>
      <c r="I25" s="22">
        <v>5.2111349036402572</v>
      </c>
      <c r="J25" s="22">
        <v>5.2111349036402572</v>
      </c>
      <c r="K25" s="22">
        <v>5.2055674518201283</v>
      </c>
      <c r="L25" s="23">
        <v>5.2055674518201283</v>
      </c>
      <c r="N25" s="80"/>
      <c r="O25" s="80"/>
      <c r="P25" s="80"/>
      <c r="Q25" s="80"/>
      <c r="R25" s="80"/>
      <c r="S25" s="80"/>
    </row>
    <row r="26" spans="1:19" ht="14.25" x14ac:dyDescent="0.2">
      <c r="A26" s="59">
        <v>226</v>
      </c>
      <c r="B26" s="59">
        <v>229</v>
      </c>
      <c r="C26" s="59" t="s">
        <v>72</v>
      </c>
      <c r="E26" s="20" t="s">
        <v>27</v>
      </c>
      <c r="F26" s="25" t="s">
        <v>15</v>
      </c>
      <c r="G26" s="21">
        <v>553773.01927194861</v>
      </c>
      <c r="H26" s="22">
        <v>553773.01927194861</v>
      </c>
      <c r="I26" s="22">
        <v>549975.16059957177</v>
      </c>
      <c r="J26" s="22">
        <v>549975.16059957177</v>
      </c>
      <c r="K26" s="22">
        <v>547785.86723768734</v>
      </c>
      <c r="L26" s="23">
        <v>544582.44111349038</v>
      </c>
      <c r="N26" s="80"/>
      <c r="O26" s="80"/>
      <c r="P26" s="80"/>
      <c r="Q26" s="80"/>
      <c r="R26" s="80"/>
      <c r="S26" s="80"/>
    </row>
    <row r="27" spans="1:19" x14ac:dyDescent="0.2">
      <c r="E27" s="5" t="s">
        <v>16</v>
      </c>
      <c r="F27" s="24"/>
      <c r="G27" s="29"/>
      <c r="H27" s="24"/>
      <c r="I27" s="24"/>
      <c r="J27" s="24"/>
      <c r="K27" s="24"/>
      <c r="L27" s="30"/>
      <c r="N27" s="80"/>
      <c r="O27" s="80"/>
      <c r="P27" s="80"/>
      <c r="Q27" s="80"/>
      <c r="R27" s="80"/>
      <c r="S27" s="80"/>
    </row>
    <row r="28" spans="1:19" ht="14.25" x14ac:dyDescent="0.2">
      <c r="A28" s="59">
        <v>226</v>
      </c>
      <c r="B28" s="59">
        <v>229</v>
      </c>
      <c r="C28" s="59" t="s">
        <v>70</v>
      </c>
      <c r="E28" s="20" t="s">
        <v>25</v>
      </c>
      <c r="F28" s="25" t="s">
        <v>15</v>
      </c>
      <c r="G28" s="26">
        <v>95.58886509635974</v>
      </c>
      <c r="H28" s="27">
        <v>95.58886509635974</v>
      </c>
      <c r="I28" s="27">
        <v>95.58886509635974</v>
      </c>
      <c r="J28" s="27">
        <v>95.58886509635974</v>
      </c>
      <c r="K28" s="27">
        <v>95.486081370449682</v>
      </c>
      <c r="L28" s="28">
        <v>95.38329764453961</v>
      </c>
      <c r="N28" s="80"/>
      <c r="O28" s="80"/>
      <c r="P28" s="80"/>
      <c r="Q28" s="80"/>
      <c r="R28" s="80"/>
      <c r="S28" s="80"/>
    </row>
    <row r="29" spans="1:19" ht="14.25" x14ac:dyDescent="0.2">
      <c r="A29" s="59">
        <v>226</v>
      </c>
      <c r="B29" s="59">
        <v>229</v>
      </c>
      <c r="C29" s="59" t="s">
        <v>71</v>
      </c>
      <c r="E29" s="20" t="s">
        <v>26</v>
      </c>
      <c r="F29" s="25" t="s">
        <v>15</v>
      </c>
      <c r="G29" s="26">
        <v>5.2773019271948609</v>
      </c>
      <c r="H29" s="27">
        <v>5.2773019271948609</v>
      </c>
      <c r="I29" s="27">
        <v>5.1777301927194861</v>
      </c>
      <c r="J29" s="27">
        <v>5.1777301927194861</v>
      </c>
      <c r="K29" s="27">
        <v>5.172162740899358</v>
      </c>
      <c r="L29" s="28">
        <v>5.166595289079229</v>
      </c>
      <c r="N29" s="80"/>
      <c r="O29" s="80"/>
      <c r="P29" s="80"/>
      <c r="Q29" s="80"/>
      <c r="R29" s="80"/>
      <c r="S29" s="80"/>
    </row>
    <row r="30" spans="1:19" ht="14.25" x14ac:dyDescent="0.2">
      <c r="A30" s="59">
        <v>226</v>
      </c>
      <c r="B30" s="59">
        <v>229</v>
      </c>
      <c r="C30" s="59" t="s">
        <v>72</v>
      </c>
      <c r="E30" s="20" t="s">
        <v>27</v>
      </c>
      <c r="F30" s="25" t="s">
        <v>15</v>
      </c>
      <c r="G30" s="21">
        <v>549635.97430406848</v>
      </c>
      <c r="H30" s="22">
        <v>549635.97430406848</v>
      </c>
      <c r="I30" s="22">
        <v>546449.67880085658</v>
      </c>
      <c r="J30" s="22">
        <v>546449.67880085658</v>
      </c>
      <c r="K30" s="22">
        <v>544270.66381156316</v>
      </c>
      <c r="L30" s="23">
        <v>540505.35331905785</v>
      </c>
      <c r="N30" s="80"/>
      <c r="O30" s="80"/>
      <c r="P30" s="80"/>
      <c r="Q30" s="80"/>
      <c r="R30" s="80"/>
      <c r="S30" s="80"/>
    </row>
    <row r="31" spans="1:19" x14ac:dyDescent="0.2">
      <c r="E31" s="4" t="s">
        <v>19</v>
      </c>
      <c r="F31" s="25"/>
      <c r="G31" s="29"/>
      <c r="H31" s="24"/>
      <c r="I31" s="24"/>
      <c r="J31" s="24"/>
      <c r="K31" s="24"/>
      <c r="L31" s="30"/>
      <c r="N31" s="80"/>
      <c r="O31" s="80"/>
      <c r="P31" s="80"/>
      <c r="Q31" s="80"/>
      <c r="R31" s="80"/>
      <c r="S31" s="80"/>
    </row>
    <row r="32" spans="1:19" x14ac:dyDescent="0.2">
      <c r="E32" s="31"/>
      <c r="F32" s="8"/>
      <c r="G32" s="53"/>
      <c r="H32" s="54"/>
      <c r="I32" s="54"/>
      <c r="J32" s="54"/>
      <c r="K32" s="54"/>
      <c r="L32" s="55"/>
      <c r="N32" s="80"/>
      <c r="O32" s="80"/>
      <c r="P32" s="80"/>
      <c r="Q32" s="80"/>
      <c r="R32" s="80"/>
      <c r="S32" s="80"/>
    </row>
    <row r="33" spans="1:19" ht="25.5" x14ac:dyDescent="0.2">
      <c r="A33" s="87" t="s">
        <v>158</v>
      </c>
      <c r="B33" s="87"/>
      <c r="C33" s="87"/>
      <c r="E33" s="31" t="s">
        <v>85</v>
      </c>
      <c r="F33" s="8" t="s">
        <v>7</v>
      </c>
      <c r="G33" s="53">
        <v>490</v>
      </c>
      <c r="H33" s="54">
        <v>490</v>
      </c>
      <c r="I33" s="54">
        <v>490</v>
      </c>
      <c r="J33" s="54">
        <v>490</v>
      </c>
      <c r="K33" s="54">
        <v>490</v>
      </c>
      <c r="L33" s="55">
        <v>490</v>
      </c>
      <c r="N33" s="80"/>
      <c r="O33" s="80"/>
      <c r="P33" s="80"/>
      <c r="Q33" s="80"/>
      <c r="R33" s="80"/>
      <c r="S33" s="80"/>
    </row>
    <row r="34" spans="1:19" ht="13.5" thickBot="1" x14ac:dyDescent="0.25">
      <c r="A34" s="59">
        <v>16</v>
      </c>
      <c r="B34" s="59">
        <v>16</v>
      </c>
      <c r="C34" s="59" t="s">
        <v>74</v>
      </c>
      <c r="E34" s="32" t="s">
        <v>6</v>
      </c>
      <c r="F34" s="52" t="s">
        <v>11</v>
      </c>
      <c r="G34" s="56">
        <v>4.3400000000000001E-2</v>
      </c>
      <c r="H34" s="57">
        <v>4.3400000000000001E-2</v>
      </c>
      <c r="I34" s="57">
        <v>4.3400000000000001E-2</v>
      </c>
      <c r="J34" s="57">
        <v>4.3400000000000001E-2</v>
      </c>
      <c r="K34" s="57">
        <v>4.3400000000000001E-2</v>
      </c>
      <c r="L34" s="58">
        <v>4.3400000000000001E-2</v>
      </c>
      <c r="N34" s="80"/>
      <c r="O34" s="80"/>
      <c r="P34" s="80"/>
      <c r="Q34" s="80"/>
      <c r="R34" s="80"/>
      <c r="S34" s="80"/>
    </row>
    <row r="35" spans="1:19" ht="12.75" customHeight="1" x14ac:dyDescent="0.2">
      <c r="E35" s="6" t="s">
        <v>210</v>
      </c>
      <c r="F35" s="24"/>
      <c r="G35" s="34"/>
      <c r="H35" s="35"/>
      <c r="I35" s="35"/>
      <c r="J35" s="35"/>
      <c r="K35" s="35"/>
      <c r="L35" s="36"/>
      <c r="N35" s="80"/>
      <c r="O35" s="80"/>
      <c r="P35" s="80"/>
      <c r="Q35" s="80"/>
      <c r="R35" s="80"/>
      <c r="S35" s="80"/>
    </row>
    <row r="36" spans="1:19" x14ac:dyDescent="0.2">
      <c r="A36" s="59">
        <v>184</v>
      </c>
      <c r="B36" s="59">
        <v>187</v>
      </c>
      <c r="C36" s="59" t="s">
        <v>77</v>
      </c>
      <c r="E36" s="20" t="s">
        <v>22</v>
      </c>
      <c r="F36" s="8" t="s">
        <v>9</v>
      </c>
      <c r="G36" s="63">
        <v>1.3900000000000001</v>
      </c>
      <c r="H36" s="41">
        <v>1.4300000000000002</v>
      </c>
      <c r="I36" s="41">
        <v>1.3900000000000001</v>
      </c>
      <c r="J36" s="41">
        <v>1.3900000000000001</v>
      </c>
      <c r="K36" s="41">
        <v>1.3900000000000001</v>
      </c>
      <c r="L36" s="42">
        <v>1.4</v>
      </c>
      <c r="N36" s="80"/>
      <c r="O36" s="80"/>
      <c r="P36" s="80"/>
      <c r="Q36" s="80"/>
      <c r="R36" s="80"/>
      <c r="S36" s="80"/>
    </row>
    <row r="37" spans="1:19" x14ac:dyDescent="0.2">
      <c r="A37" s="59">
        <v>190</v>
      </c>
      <c r="B37" s="59">
        <v>193</v>
      </c>
      <c r="C37" s="59" t="s">
        <v>77</v>
      </c>
      <c r="E37" s="20" t="s">
        <v>23</v>
      </c>
      <c r="F37" s="8" t="s">
        <v>9</v>
      </c>
      <c r="G37" s="40">
        <v>10.93</v>
      </c>
      <c r="H37" s="41">
        <v>11.459999999999999</v>
      </c>
      <c r="I37" s="41">
        <v>10.93</v>
      </c>
      <c r="J37" s="41">
        <v>10.93</v>
      </c>
      <c r="K37" s="41">
        <v>10.91</v>
      </c>
      <c r="L37" s="42">
        <v>10.91</v>
      </c>
      <c r="N37" s="80"/>
      <c r="O37" s="80"/>
      <c r="P37" s="80"/>
      <c r="Q37" s="80"/>
      <c r="R37" s="80"/>
      <c r="S37" s="80"/>
    </row>
    <row r="38" spans="1:19" ht="13.5" thickBot="1" x14ac:dyDescent="0.25">
      <c r="A38" s="59">
        <v>177</v>
      </c>
      <c r="B38" s="59">
        <v>180</v>
      </c>
      <c r="C38" s="59" t="s">
        <v>76</v>
      </c>
      <c r="E38" s="32" t="s">
        <v>211</v>
      </c>
      <c r="F38" s="33" t="s">
        <v>8</v>
      </c>
      <c r="G38" s="43">
        <v>26600</v>
      </c>
      <c r="H38" s="44">
        <v>26600</v>
      </c>
      <c r="I38" s="44">
        <v>26600</v>
      </c>
      <c r="J38" s="44">
        <v>26600</v>
      </c>
      <c r="K38" s="44">
        <v>26600</v>
      </c>
      <c r="L38" s="45">
        <v>26600</v>
      </c>
      <c r="N38" s="80"/>
      <c r="O38" s="80"/>
      <c r="P38" s="80"/>
      <c r="Q38" s="80"/>
      <c r="R38" s="80"/>
      <c r="S38" s="80"/>
    </row>
    <row r="40" spans="1:19" x14ac:dyDescent="0.2">
      <c r="E40" s="10" t="s">
        <v>234</v>
      </c>
    </row>
  </sheetData>
  <mergeCells count="3">
    <mergeCell ref="G4:L4"/>
    <mergeCell ref="G6:L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/>
  </sheetViews>
  <sheetFormatPr defaultRowHeight="12.75" x14ac:dyDescent="0.2"/>
  <cols>
    <col min="1" max="1" width="13.6640625" bestFit="1" customWidth="1"/>
    <col min="2" max="2" width="10.33203125" bestFit="1" customWidth="1"/>
    <col min="3" max="4" width="12.1640625" bestFit="1" customWidth="1"/>
    <col min="5" max="5" width="13.6640625" bestFit="1" customWidth="1"/>
    <col min="6" max="6" width="16" bestFit="1" customWidth="1"/>
    <col min="7" max="7" width="13" bestFit="1" customWidth="1"/>
    <col min="8" max="8" width="15.5" bestFit="1" customWidth="1"/>
  </cols>
  <sheetData>
    <row r="1" spans="1:4" x14ac:dyDescent="0.2">
      <c r="A1" t="s">
        <v>131</v>
      </c>
      <c r="B1" t="s">
        <v>56</v>
      </c>
      <c r="C1" t="s">
        <v>155</v>
      </c>
      <c r="D1" t="s">
        <v>156</v>
      </c>
    </row>
    <row r="2" spans="1:4" x14ac:dyDescent="0.2">
      <c r="A2" t="s">
        <v>24</v>
      </c>
      <c r="B2" t="s">
        <v>168</v>
      </c>
      <c r="C2" t="s">
        <v>24</v>
      </c>
      <c r="D2" t="s">
        <v>24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opLeftCell="E3" workbookViewId="0">
      <selection activeCell="E3" sqref="E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4" width="38" style="59" hidden="1" customWidth="1" outlineLevel="1"/>
    <col min="5" max="5" width="1.83203125" style="10" customWidth="1" collapsed="1"/>
    <col min="6" max="6" width="43.5" style="10" customWidth="1"/>
    <col min="7" max="7" width="16" style="10" customWidth="1"/>
    <col min="8" max="8" width="27.5" style="10" customWidth="1"/>
    <col min="9" max="9" width="24.83203125" style="10" customWidth="1"/>
    <col min="10" max="10" width="26.1640625" style="10" customWidth="1"/>
    <col min="11" max="16384" width="9.33203125" style="10"/>
  </cols>
  <sheetData>
    <row r="1" spans="1:14" s="59" customFormat="1" hidden="1" outlineLevel="1" x14ac:dyDescent="0.2">
      <c r="H1" s="59" t="s">
        <v>60</v>
      </c>
      <c r="I1" s="59" t="s">
        <v>62</v>
      </c>
      <c r="J1" s="59" t="s">
        <v>63</v>
      </c>
    </row>
    <row r="2" spans="1:14" s="59" customFormat="1" hidden="1" outlineLevel="1" x14ac:dyDescent="0.2">
      <c r="H2" s="59">
        <v>4</v>
      </c>
      <c r="I2" s="59">
        <v>3</v>
      </c>
      <c r="J2" s="59">
        <v>2</v>
      </c>
    </row>
    <row r="3" spans="1:14" ht="13.5" collapsed="1" thickBot="1" x14ac:dyDescent="0.25"/>
    <row r="4" spans="1:14" ht="14.25" x14ac:dyDescent="0.2">
      <c r="A4" s="60" t="s">
        <v>73</v>
      </c>
      <c r="B4" s="59" t="s">
        <v>153</v>
      </c>
      <c r="F4" s="11"/>
      <c r="G4" s="12"/>
      <c r="H4" s="81" t="s">
        <v>163</v>
      </c>
      <c r="I4" s="82"/>
      <c r="J4" s="83"/>
    </row>
    <row r="5" spans="1:14" ht="13.5" thickBot="1" x14ac:dyDescent="0.25">
      <c r="F5" s="3" t="s">
        <v>0</v>
      </c>
      <c r="G5" s="2" t="s">
        <v>1</v>
      </c>
      <c r="H5" s="13" t="s">
        <v>20</v>
      </c>
      <c r="I5" s="13" t="s">
        <v>4</v>
      </c>
      <c r="J5" s="15" t="s">
        <v>5</v>
      </c>
    </row>
    <row r="6" spans="1:14" ht="25.5" customHeight="1" x14ac:dyDescent="0.2">
      <c r="A6" s="61" t="s">
        <v>79</v>
      </c>
      <c r="B6" s="61" t="s">
        <v>80</v>
      </c>
      <c r="C6" s="61" t="s">
        <v>81</v>
      </c>
      <c r="D6" s="61"/>
      <c r="F6" s="4" t="s">
        <v>12</v>
      </c>
      <c r="G6" s="1"/>
      <c r="H6" s="88"/>
      <c r="I6" s="89"/>
      <c r="J6" s="90"/>
    </row>
    <row r="7" spans="1:14" x14ac:dyDescent="0.2">
      <c r="F7" s="5" t="s">
        <v>64</v>
      </c>
      <c r="G7" s="1"/>
      <c r="H7" s="16"/>
      <c r="I7" s="17"/>
      <c r="J7" s="19"/>
    </row>
    <row r="8" spans="1:14" x14ac:dyDescent="0.2">
      <c r="A8" s="59">
        <v>32</v>
      </c>
      <c r="B8" s="59">
        <v>40</v>
      </c>
      <c r="C8" s="59" t="s">
        <v>65</v>
      </c>
      <c r="F8" s="20" t="s">
        <v>67</v>
      </c>
      <c r="G8" s="8" t="s">
        <v>2</v>
      </c>
      <c r="H8" s="37">
        <v>340.9</v>
      </c>
      <c r="I8" s="38">
        <v>341.2</v>
      </c>
      <c r="J8" s="39">
        <v>338</v>
      </c>
      <c r="L8" s="80"/>
      <c r="M8" s="80"/>
      <c r="N8" s="80"/>
    </row>
    <row r="9" spans="1:14" x14ac:dyDescent="0.2">
      <c r="A9" s="59">
        <v>44</v>
      </c>
      <c r="B9" s="59">
        <v>52</v>
      </c>
      <c r="C9" s="59" t="s">
        <v>65</v>
      </c>
      <c r="F9" s="20" t="s">
        <v>68</v>
      </c>
      <c r="G9" s="8" t="s">
        <v>2</v>
      </c>
      <c r="H9" s="37">
        <v>350.5</v>
      </c>
      <c r="I9" s="38">
        <v>351</v>
      </c>
      <c r="J9" s="39">
        <v>346.1</v>
      </c>
      <c r="L9" s="80"/>
      <c r="M9" s="80"/>
      <c r="N9" s="80"/>
    </row>
    <row r="10" spans="1:14" x14ac:dyDescent="0.2">
      <c r="F10" s="20"/>
      <c r="G10" s="8"/>
      <c r="H10" s="37"/>
      <c r="I10" s="38"/>
      <c r="J10" s="39"/>
      <c r="L10" s="80"/>
      <c r="M10" s="80"/>
      <c r="N10" s="80"/>
    </row>
    <row r="11" spans="1:14" x14ac:dyDescent="0.2">
      <c r="F11" s="5" t="s">
        <v>66</v>
      </c>
      <c r="G11" s="8"/>
      <c r="H11" s="7"/>
      <c r="I11" s="8"/>
      <c r="J11" s="9"/>
      <c r="L11" s="80"/>
      <c r="M11" s="80"/>
      <c r="N11" s="80"/>
    </row>
    <row r="12" spans="1:14" x14ac:dyDescent="0.2">
      <c r="A12" s="59">
        <v>32</v>
      </c>
      <c r="B12" s="59">
        <v>40</v>
      </c>
      <c r="C12" s="59" t="s">
        <v>69</v>
      </c>
      <c r="F12" s="20" t="s">
        <v>13</v>
      </c>
      <c r="G12" s="8" t="s">
        <v>10</v>
      </c>
      <c r="H12" s="21">
        <v>9390</v>
      </c>
      <c r="I12" s="22">
        <v>9390</v>
      </c>
      <c r="J12" s="23">
        <v>9370</v>
      </c>
      <c r="L12" s="80"/>
      <c r="M12" s="80"/>
      <c r="N12" s="80"/>
    </row>
    <row r="13" spans="1:14" x14ac:dyDescent="0.2">
      <c r="A13" s="59">
        <v>44</v>
      </c>
      <c r="B13" s="59">
        <v>52</v>
      </c>
      <c r="C13" s="59" t="s">
        <v>69</v>
      </c>
      <c r="F13" s="20" t="s">
        <v>14</v>
      </c>
      <c r="G13" s="8" t="s">
        <v>10</v>
      </c>
      <c r="H13" s="21">
        <v>9340</v>
      </c>
      <c r="I13" s="22">
        <v>9320</v>
      </c>
      <c r="J13" s="23">
        <v>9320</v>
      </c>
      <c r="L13" s="80"/>
      <c r="M13" s="80"/>
      <c r="N13" s="80"/>
    </row>
    <row r="14" spans="1:14" x14ac:dyDescent="0.2">
      <c r="A14" s="59">
        <v>56</v>
      </c>
      <c r="B14" s="59">
        <v>64</v>
      </c>
      <c r="C14" s="59" t="s">
        <v>69</v>
      </c>
      <c r="F14" s="70" t="s">
        <v>212</v>
      </c>
      <c r="G14" s="71" t="s">
        <v>10</v>
      </c>
      <c r="H14" s="72">
        <v>9340</v>
      </c>
      <c r="I14" s="73">
        <v>9350</v>
      </c>
      <c r="J14" s="74">
        <v>9340</v>
      </c>
      <c r="K14" s="75" t="s">
        <v>213</v>
      </c>
      <c r="L14" s="80"/>
      <c r="M14" s="80"/>
      <c r="N14" s="80"/>
    </row>
    <row r="15" spans="1:14" x14ac:dyDescent="0.2">
      <c r="F15" s="5" t="s">
        <v>17</v>
      </c>
      <c r="G15" s="24"/>
      <c r="H15" s="7"/>
      <c r="I15" s="8"/>
      <c r="J15" s="9"/>
      <c r="L15" s="80"/>
      <c r="M15" s="80"/>
      <c r="N15" s="80"/>
    </row>
    <row r="16" spans="1:14" ht="14.25" x14ac:dyDescent="0.2">
      <c r="A16" s="59">
        <v>205</v>
      </c>
      <c r="B16" s="59">
        <v>209</v>
      </c>
      <c r="C16" s="59" t="s">
        <v>70</v>
      </c>
      <c r="F16" s="20" t="s">
        <v>25</v>
      </c>
      <c r="G16" s="25" t="s">
        <v>15</v>
      </c>
      <c r="H16" s="62">
        <v>189.60963597430407</v>
      </c>
      <c r="I16" s="27">
        <v>189.4068449197861</v>
      </c>
      <c r="J16" s="28">
        <v>189.20578158458244</v>
      </c>
      <c r="L16" s="80"/>
      <c r="M16" s="80"/>
      <c r="N16" s="80"/>
    </row>
    <row r="17" spans="1:14" ht="14.25" x14ac:dyDescent="0.2">
      <c r="A17" s="59">
        <v>205</v>
      </c>
      <c r="B17" s="59">
        <v>209</v>
      </c>
      <c r="C17" s="59" t="s">
        <v>71</v>
      </c>
      <c r="F17" s="20" t="s">
        <v>26</v>
      </c>
      <c r="G17" s="25" t="s">
        <v>15</v>
      </c>
      <c r="H17" s="26">
        <v>6.4342612419700211</v>
      </c>
      <c r="I17" s="27">
        <v>6.4273796791443853</v>
      </c>
      <c r="J17" s="28">
        <v>6.4205567451820125</v>
      </c>
      <c r="L17" s="80"/>
      <c r="M17" s="80"/>
      <c r="N17" s="80"/>
    </row>
    <row r="18" spans="1:14" ht="14.25" x14ac:dyDescent="0.2">
      <c r="A18" s="59">
        <v>205</v>
      </c>
      <c r="B18" s="59">
        <v>209</v>
      </c>
      <c r="C18" s="59" t="s">
        <v>72</v>
      </c>
      <c r="F18" s="20" t="s">
        <v>27</v>
      </c>
      <c r="G18" s="25" t="s">
        <v>15</v>
      </c>
      <c r="H18" s="21">
        <v>387262.09850107064</v>
      </c>
      <c r="I18" s="22">
        <v>385642.78074866312</v>
      </c>
      <c r="J18" s="23">
        <v>382825.69593147753</v>
      </c>
      <c r="L18" s="80"/>
      <c r="M18" s="80"/>
      <c r="N18" s="80"/>
    </row>
    <row r="19" spans="1:14" x14ac:dyDescent="0.2">
      <c r="F19" s="5" t="s">
        <v>18</v>
      </c>
      <c r="G19" s="24"/>
      <c r="H19" s="29"/>
      <c r="I19" s="24"/>
      <c r="J19" s="30"/>
      <c r="L19" s="80"/>
      <c r="M19" s="80"/>
      <c r="N19" s="80"/>
    </row>
    <row r="20" spans="1:14" ht="14.25" x14ac:dyDescent="0.2">
      <c r="A20" s="59">
        <v>205</v>
      </c>
      <c r="B20" s="59">
        <v>209</v>
      </c>
      <c r="C20" s="59" t="s">
        <v>70</v>
      </c>
      <c r="F20" s="20" t="s">
        <v>25</v>
      </c>
      <c r="G20" s="25" t="s">
        <v>15</v>
      </c>
      <c r="H20" s="26">
        <v>188.6</v>
      </c>
      <c r="I20" s="27">
        <v>187.99486631016043</v>
      </c>
      <c r="J20" s="28">
        <v>188.19614561027836</v>
      </c>
      <c r="L20" s="80"/>
      <c r="M20" s="80"/>
      <c r="N20" s="80"/>
    </row>
    <row r="21" spans="1:14" ht="14.25" x14ac:dyDescent="0.2">
      <c r="A21" s="59">
        <v>205</v>
      </c>
      <c r="B21" s="59">
        <v>209</v>
      </c>
      <c r="C21" s="59" t="s">
        <v>71</v>
      </c>
      <c r="F21" s="20" t="s">
        <v>26</v>
      </c>
      <c r="G21" s="25" t="s">
        <v>15</v>
      </c>
      <c r="H21" s="26">
        <v>6.4</v>
      </c>
      <c r="I21" s="27">
        <v>6.3794652406417116</v>
      </c>
      <c r="J21" s="28">
        <v>6.3862955032119917</v>
      </c>
      <c r="L21" s="80"/>
      <c r="M21" s="80"/>
      <c r="N21" s="80"/>
    </row>
    <row r="22" spans="1:14" ht="14.25" x14ac:dyDescent="0.2">
      <c r="A22" s="59">
        <v>205</v>
      </c>
      <c r="B22" s="59">
        <v>209</v>
      </c>
      <c r="C22" s="59" t="s">
        <v>72</v>
      </c>
      <c r="F22" s="20" t="s">
        <v>27</v>
      </c>
      <c r="G22" s="25" t="s">
        <v>15</v>
      </c>
      <c r="H22" s="21">
        <v>385200</v>
      </c>
      <c r="I22" s="22">
        <v>382767.91443850269</v>
      </c>
      <c r="J22" s="23">
        <v>380782.869379015</v>
      </c>
      <c r="L22" s="80"/>
      <c r="M22" s="80"/>
      <c r="N22" s="80"/>
    </row>
    <row r="23" spans="1:14" x14ac:dyDescent="0.2">
      <c r="F23" s="5" t="s">
        <v>133</v>
      </c>
      <c r="G23" s="24"/>
      <c r="H23" s="21"/>
      <c r="I23" s="22"/>
      <c r="J23" s="23"/>
      <c r="L23" s="80"/>
      <c r="M23" s="80"/>
      <c r="N23" s="80"/>
    </row>
    <row r="24" spans="1:14" ht="14.25" x14ac:dyDescent="0.2">
      <c r="A24" s="59">
        <v>219</v>
      </c>
      <c r="B24" s="59">
        <v>223</v>
      </c>
      <c r="C24" s="59" t="s">
        <v>70</v>
      </c>
      <c r="F24" s="20" t="s">
        <v>25</v>
      </c>
      <c r="G24" s="25" t="s">
        <v>15</v>
      </c>
      <c r="H24" s="62">
        <v>643.4261241970022</v>
      </c>
      <c r="I24" s="27">
        <v>642.73796791443851</v>
      </c>
      <c r="J24" s="28">
        <v>642.05567451820127</v>
      </c>
      <c r="L24" s="80"/>
      <c r="M24" s="80"/>
      <c r="N24" s="80"/>
    </row>
    <row r="25" spans="1:14" ht="14.25" x14ac:dyDescent="0.2">
      <c r="A25" s="59">
        <v>219</v>
      </c>
      <c r="B25" s="59">
        <v>223</v>
      </c>
      <c r="C25" s="59" t="s">
        <v>71</v>
      </c>
      <c r="F25" s="20" t="s">
        <v>26</v>
      </c>
      <c r="G25" s="25" t="s">
        <v>15</v>
      </c>
      <c r="H25" s="26">
        <v>4.9262312633832979</v>
      </c>
      <c r="I25" s="27">
        <v>4.9209625668449197</v>
      </c>
      <c r="J25" s="28">
        <v>4.8154175588865096</v>
      </c>
      <c r="L25" s="80"/>
      <c r="M25" s="80"/>
      <c r="N25" s="80"/>
    </row>
    <row r="26" spans="1:14" ht="14.25" x14ac:dyDescent="0.2">
      <c r="A26" s="59">
        <v>219</v>
      </c>
      <c r="B26" s="59">
        <v>223</v>
      </c>
      <c r="C26" s="59" t="s">
        <v>72</v>
      </c>
      <c r="F26" s="20" t="s">
        <v>27</v>
      </c>
      <c r="G26" s="25" t="s">
        <v>15</v>
      </c>
      <c r="H26" s="21">
        <v>516349.46466809424</v>
      </c>
      <c r="I26" s="22">
        <v>514190.37433155079</v>
      </c>
      <c r="J26" s="23">
        <v>510434.26124197</v>
      </c>
      <c r="L26" s="80"/>
      <c r="M26" s="80"/>
      <c r="N26" s="80"/>
    </row>
    <row r="27" spans="1:14" x14ac:dyDescent="0.2">
      <c r="F27" s="5" t="s">
        <v>16</v>
      </c>
      <c r="G27" s="24"/>
      <c r="H27" s="29"/>
      <c r="I27" s="24"/>
      <c r="J27" s="30"/>
      <c r="L27" s="80"/>
      <c r="M27" s="80"/>
      <c r="N27" s="80"/>
    </row>
    <row r="28" spans="1:14" ht="14.25" x14ac:dyDescent="0.2">
      <c r="A28" s="59">
        <v>219</v>
      </c>
      <c r="B28" s="59">
        <v>223</v>
      </c>
      <c r="C28" s="59" t="s">
        <v>70</v>
      </c>
      <c r="F28" s="20" t="s">
        <v>25</v>
      </c>
      <c r="G28" s="25" t="s">
        <v>15</v>
      </c>
      <c r="H28" s="26">
        <v>640</v>
      </c>
      <c r="I28" s="27">
        <v>637.94652406417117</v>
      </c>
      <c r="J28" s="28">
        <v>638.62955032119919</v>
      </c>
      <c r="L28" s="80"/>
      <c r="M28" s="80"/>
      <c r="N28" s="80"/>
    </row>
    <row r="29" spans="1:14" ht="14.25" x14ac:dyDescent="0.2">
      <c r="A29" s="59">
        <v>219</v>
      </c>
      <c r="B29" s="59">
        <v>223</v>
      </c>
      <c r="C29" s="59" t="s">
        <v>71</v>
      </c>
      <c r="F29" s="20" t="s">
        <v>26</v>
      </c>
      <c r="G29" s="25" t="s">
        <v>15</v>
      </c>
      <c r="H29" s="26">
        <v>4.9000000000000004</v>
      </c>
      <c r="I29" s="27">
        <v>4.8842780748663106</v>
      </c>
      <c r="J29" s="28">
        <v>4.7897216274089933</v>
      </c>
      <c r="L29" s="80"/>
      <c r="M29" s="80"/>
      <c r="N29" s="80"/>
    </row>
    <row r="30" spans="1:14" ht="14.25" x14ac:dyDescent="0.2">
      <c r="A30" s="59">
        <v>219</v>
      </c>
      <c r="B30" s="59">
        <v>223</v>
      </c>
      <c r="C30" s="59" t="s">
        <v>72</v>
      </c>
      <c r="F30" s="20" t="s">
        <v>27</v>
      </c>
      <c r="G30" s="25" t="s">
        <v>15</v>
      </c>
      <c r="H30" s="21">
        <v>513600</v>
      </c>
      <c r="I30" s="22">
        <v>510357.21925133688</v>
      </c>
      <c r="J30" s="23">
        <v>507710.49250535329</v>
      </c>
      <c r="L30" s="80"/>
      <c r="M30" s="80"/>
      <c r="N30" s="80"/>
    </row>
    <row r="31" spans="1:14" x14ac:dyDescent="0.2">
      <c r="F31" s="4" t="s">
        <v>19</v>
      </c>
      <c r="G31" s="25"/>
      <c r="H31" s="29"/>
      <c r="I31" s="24"/>
      <c r="J31" s="30"/>
      <c r="L31" s="80"/>
      <c r="M31" s="80"/>
      <c r="N31" s="80"/>
    </row>
    <row r="32" spans="1:14" x14ac:dyDescent="0.2">
      <c r="F32" s="31"/>
      <c r="G32" s="8"/>
      <c r="H32" s="53"/>
      <c r="I32" s="54"/>
      <c r="J32" s="55"/>
      <c r="L32" s="80"/>
      <c r="M32" s="80"/>
      <c r="N32" s="80"/>
    </row>
    <row r="33" spans="1:14" ht="25.5" x14ac:dyDescent="0.2">
      <c r="A33" s="87" t="s">
        <v>158</v>
      </c>
      <c r="B33" s="87"/>
      <c r="C33" s="87"/>
      <c r="D33" s="68"/>
      <c r="F33" s="31" t="s">
        <v>85</v>
      </c>
      <c r="G33" s="8" t="s">
        <v>7</v>
      </c>
      <c r="H33" s="53">
        <v>490</v>
      </c>
      <c r="I33" s="54">
        <v>490</v>
      </c>
      <c r="J33" s="55">
        <v>490</v>
      </c>
      <c r="L33" s="80"/>
      <c r="M33" s="80"/>
      <c r="N33" s="80"/>
    </row>
    <row r="34" spans="1:14" ht="13.5" thickBot="1" x14ac:dyDescent="0.25">
      <c r="A34" s="59">
        <v>16</v>
      </c>
      <c r="B34" s="59">
        <v>16</v>
      </c>
      <c r="C34" s="59" t="s">
        <v>74</v>
      </c>
      <c r="F34" s="32" t="s">
        <v>6</v>
      </c>
      <c r="G34" s="52" t="s">
        <v>11</v>
      </c>
      <c r="H34" s="56">
        <v>4.3400000000000001E-2</v>
      </c>
      <c r="I34" s="57">
        <v>4.3400000000000001E-2</v>
      </c>
      <c r="J34" s="58">
        <v>4.3400000000000001E-2</v>
      </c>
      <c r="L34" s="80"/>
      <c r="M34" s="80"/>
      <c r="N34" s="80"/>
    </row>
    <row r="35" spans="1:14" ht="12.75" customHeight="1" x14ac:dyDescent="0.2">
      <c r="F35" s="6" t="s">
        <v>210</v>
      </c>
      <c r="G35" s="24"/>
      <c r="H35" s="34"/>
      <c r="I35" s="35"/>
      <c r="J35" s="36"/>
      <c r="L35" s="80"/>
      <c r="M35" s="80"/>
      <c r="N35" s="80"/>
    </row>
    <row r="36" spans="1:14" x14ac:dyDescent="0.2">
      <c r="A36" s="59">
        <v>184</v>
      </c>
      <c r="B36" s="59">
        <v>187</v>
      </c>
      <c r="C36" s="59" t="s">
        <v>77</v>
      </c>
      <c r="D36" s="59" t="s">
        <v>78</v>
      </c>
      <c r="F36" s="20" t="s">
        <v>22</v>
      </c>
      <c r="G36" s="8" t="s">
        <v>9</v>
      </c>
      <c r="H36" s="63">
        <v>0.93</v>
      </c>
      <c r="I36" s="41">
        <v>0.93</v>
      </c>
      <c r="J36" s="42">
        <v>0.93</v>
      </c>
      <c r="L36" s="80"/>
      <c r="M36" s="80"/>
      <c r="N36" s="80"/>
    </row>
    <row r="37" spans="1:14" x14ac:dyDescent="0.2">
      <c r="A37" s="59">
        <v>190</v>
      </c>
      <c r="B37" s="59">
        <v>193</v>
      </c>
      <c r="C37" s="59" t="s">
        <v>77</v>
      </c>
      <c r="D37" s="59" t="s">
        <v>78</v>
      </c>
      <c r="F37" s="20" t="s">
        <v>23</v>
      </c>
      <c r="G37" s="8" t="s">
        <v>9</v>
      </c>
      <c r="H37" s="40">
        <v>10.210000000000001</v>
      </c>
      <c r="I37" s="41">
        <v>10.210000000000001</v>
      </c>
      <c r="J37" s="42">
        <v>10.210000000000001</v>
      </c>
      <c r="L37" s="80"/>
      <c r="M37" s="80"/>
      <c r="N37" s="80"/>
    </row>
    <row r="38" spans="1:14" ht="13.5" thickBot="1" x14ac:dyDescent="0.25">
      <c r="A38" s="59">
        <v>177</v>
      </c>
      <c r="B38" s="59">
        <v>180</v>
      </c>
      <c r="C38" s="59" t="s">
        <v>76</v>
      </c>
      <c r="F38" s="32" t="s">
        <v>211</v>
      </c>
      <c r="G38" s="33" t="s">
        <v>8</v>
      </c>
      <c r="H38" s="43">
        <v>26600</v>
      </c>
      <c r="I38" s="44">
        <v>26600</v>
      </c>
      <c r="J38" s="45">
        <v>26600</v>
      </c>
      <c r="L38" s="80"/>
      <c r="M38" s="80"/>
      <c r="N38" s="80"/>
    </row>
    <row r="40" spans="1:14" x14ac:dyDescent="0.2">
      <c r="F40" s="10" t="s">
        <v>234</v>
      </c>
    </row>
  </sheetData>
  <mergeCells count="3">
    <mergeCell ref="H4:J4"/>
    <mergeCell ref="H6:J6"/>
    <mergeCell ref="A33:C33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opLeftCell="D3" workbookViewId="0">
      <selection activeCell="D3" sqref="D3"/>
    </sheetView>
  </sheetViews>
  <sheetFormatPr defaultRowHeight="12.75" outlineLevelRow="1" outlineLevelCol="1" x14ac:dyDescent="0.2"/>
  <cols>
    <col min="1" max="1" width="13" style="59" hidden="1" customWidth="1" outlineLevel="1"/>
    <col min="2" max="2" width="13.33203125" style="59" hidden="1" customWidth="1" outlineLevel="1"/>
    <col min="3" max="3" width="38" style="59" hidden="1" customWidth="1" outlineLevel="1"/>
    <col min="4" max="4" width="1.83203125" style="10" customWidth="1" collapsed="1"/>
    <col min="5" max="5" width="43.5" style="10" customWidth="1"/>
    <col min="6" max="6" width="16" style="10" customWidth="1"/>
    <col min="7" max="7" width="16.33203125" style="10" customWidth="1"/>
    <col min="8" max="8" width="16.5" style="10" customWidth="1"/>
    <col min="9" max="9" width="16.33203125" style="10" customWidth="1"/>
    <col min="10" max="10" width="16.1640625" style="10" customWidth="1"/>
    <col min="11" max="11" width="17.5" style="10" customWidth="1"/>
    <col min="12" max="12" width="17.83203125" style="10" customWidth="1"/>
    <col min="13" max="16384" width="9.33203125" style="10"/>
  </cols>
  <sheetData>
    <row r="1" spans="1:19" s="59" customFormat="1" hidden="1" outlineLevel="1" x14ac:dyDescent="0.2">
      <c r="G1" s="59" t="s">
        <v>58</v>
      </c>
      <c r="H1" s="59" t="s">
        <v>59</v>
      </c>
      <c r="I1" s="59" t="s">
        <v>60</v>
      </c>
      <c r="J1" s="59" t="s">
        <v>61</v>
      </c>
      <c r="K1" s="59" t="s">
        <v>62</v>
      </c>
      <c r="L1" s="59" t="s">
        <v>63</v>
      </c>
    </row>
    <row r="2" spans="1:19" s="59" customFormat="1" hidden="1" outlineLevel="1" x14ac:dyDescent="0.2">
      <c r="G2" s="59">
        <v>7</v>
      </c>
      <c r="H2" s="59">
        <v>6</v>
      </c>
      <c r="I2" s="59">
        <v>4</v>
      </c>
      <c r="J2" s="59">
        <v>5</v>
      </c>
      <c r="K2" s="59">
        <v>3</v>
      </c>
      <c r="L2" s="59">
        <v>2</v>
      </c>
    </row>
    <row r="3" spans="1:19" ht="13.5" collapsed="1" thickBot="1" x14ac:dyDescent="0.25"/>
    <row r="4" spans="1:19" ht="14.25" x14ac:dyDescent="0.2">
      <c r="A4" s="60" t="s">
        <v>73</v>
      </c>
      <c r="B4" s="59" t="s">
        <v>88</v>
      </c>
      <c r="E4" s="11"/>
      <c r="F4" s="12"/>
      <c r="G4" s="81" t="s">
        <v>167</v>
      </c>
      <c r="H4" s="82"/>
      <c r="I4" s="82"/>
      <c r="J4" s="82"/>
      <c r="K4" s="82"/>
      <c r="L4" s="83"/>
    </row>
    <row r="5" spans="1:19" ht="26.25" thickBot="1" x14ac:dyDescent="0.25">
      <c r="E5" s="3" t="s">
        <v>0</v>
      </c>
      <c r="F5" s="2" t="s">
        <v>1</v>
      </c>
      <c r="G5" s="13" t="s">
        <v>3</v>
      </c>
      <c r="H5" s="13" t="s">
        <v>28</v>
      </c>
      <c r="I5" s="13" t="s">
        <v>20</v>
      </c>
      <c r="J5" s="14" t="s">
        <v>21</v>
      </c>
      <c r="K5" s="13" t="s">
        <v>4</v>
      </c>
      <c r="L5" s="15" t="s">
        <v>5</v>
      </c>
    </row>
    <row r="6" spans="1:19" ht="25.5" customHeight="1" x14ac:dyDescent="0.2">
      <c r="A6" s="61" t="s">
        <v>79</v>
      </c>
      <c r="B6" s="61" t="s">
        <v>80</v>
      </c>
      <c r="C6" s="61" t="s">
        <v>81</v>
      </c>
      <c r="E6" s="4" t="s">
        <v>12</v>
      </c>
      <c r="F6" s="1"/>
      <c r="G6" s="84"/>
      <c r="H6" s="85"/>
      <c r="I6" s="85"/>
      <c r="J6" s="85"/>
      <c r="K6" s="85"/>
      <c r="L6" s="86"/>
    </row>
    <row r="7" spans="1:19" x14ac:dyDescent="0.2">
      <c r="E7" s="5" t="s">
        <v>64</v>
      </c>
      <c r="F7" s="1"/>
      <c r="G7" s="16"/>
      <c r="H7" s="17"/>
      <c r="I7" s="17"/>
      <c r="J7" s="18"/>
      <c r="K7" s="17"/>
      <c r="L7" s="19"/>
    </row>
    <row r="8" spans="1:19" x14ac:dyDescent="0.2">
      <c r="A8" s="59">
        <v>101</v>
      </c>
      <c r="B8" s="59">
        <v>104</v>
      </c>
      <c r="C8" s="59" t="s">
        <v>65</v>
      </c>
      <c r="E8" s="20" t="s">
        <v>67</v>
      </c>
      <c r="F8" s="8" t="s">
        <v>2</v>
      </c>
      <c r="G8" s="37">
        <v>517.9</v>
      </c>
      <c r="H8" s="38">
        <v>512.29999999999995</v>
      </c>
      <c r="I8" s="38">
        <v>514.70000000000005</v>
      </c>
      <c r="J8" s="38">
        <v>514.70000000000005</v>
      </c>
      <c r="K8" s="38">
        <v>513.29999999999995</v>
      </c>
      <c r="L8" s="39">
        <v>509.9</v>
      </c>
      <c r="N8" s="50"/>
      <c r="O8" s="50"/>
      <c r="P8" s="50"/>
      <c r="Q8" s="50"/>
      <c r="R8" s="50"/>
      <c r="S8" s="50"/>
    </row>
    <row r="9" spans="1:19" x14ac:dyDescent="0.2">
      <c r="A9" s="59">
        <v>67</v>
      </c>
      <c r="B9" s="59">
        <v>70</v>
      </c>
      <c r="C9" s="59" t="s">
        <v>65</v>
      </c>
      <c r="E9" s="20" t="s">
        <v>68</v>
      </c>
      <c r="F9" s="8" t="s">
        <v>2</v>
      </c>
      <c r="G9" s="37">
        <v>547.79999999999995</v>
      </c>
      <c r="H9" s="38">
        <v>546.70000000000005</v>
      </c>
      <c r="I9" s="38">
        <v>544.79999999999995</v>
      </c>
      <c r="J9" s="38">
        <v>544.79999999999995</v>
      </c>
      <c r="K9" s="38">
        <v>542.1</v>
      </c>
      <c r="L9" s="39">
        <v>539.20000000000005</v>
      </c>
      <c r="N9" s="50"/>
      <c r="O9" s="50"/>
      <c r="P9" s="50"/>
      <c r="Q9" s="50"/>
      <c r="R9" s="50"/>
      <c r="S9" s="50"/>
    </row>
    <row r="10" spans="1:19" x14ac:dyDescent="0.2">
      <c r="E10" s="20"/>
      <c r="F10" s="8"/>
      <c r="G10" s="37"/>
      <c r="H10" s="38"/>
      <c r="I10" s="38"/>
      <c r="J10" s="38"/>
      <c r="K10" s="38"/>
      <c r="L10" s="39"/>
      <c r="N10" s="50"/>
      <c r="O10" s="50"/>
      <c r="P10" s="50"/>
      <c r="Q10" s="50"/>
      <c r="R10" s="50"/>
      <c r="S10" s="50"/>
    </row>
    <row r="11" spans="1:19" x14ac:dyDescent="0.2">
      <c r="E11" s="5" t="s">
        <v>90</v>
      </c>
      <c r="F11" s="8"/>
      <c r="G11" s="37"/>
      <c r="H11" s="38"/>
      <c r="I11" s="38"/>
      <c r="J11" s="38"/>
      <c r="K11" s="38"/>
      <c r="L11" s="39"/>
      <c r="N11" s="50"/>
      <c r="O11" s="50"/>
      <c r="P11" s="50"/>
      <c r="Q11" s="50"/>
      <c r="R11" s="50"/>
      <c r="S11" s="50"/>
    </row>
    <row r="12" spans="1:19" x14ac:dyDescent="0.2">
      <c r="A12" s="59">
        <v>111</v>
      </c>
      <c r="B12" s="59">
        <v>114</v>
      </c>
      <c r="C12" s="59" t="s">
        <v>65</v>
      </c>
      <c r="E12" s="20" t="s">
        <v>67</v>
      </c>
      <c r="F12" s="8" t="s">
        <v>2</v>
      </c>
      <c r="G12" s="37">
        <v>235.7</v>
      </c>
      <c r="H12" s="38">
        <v>232.3</v>
      </c>
      <c r="I12" s="38">
        <v>234</v>
      </c>
      <c r="J12" s="38">
        <v>234</v>
      </c>
      <c r="K12" s="38">
        <v>233.4</v>
      </c>
      <c r="L12" s="39">
        <v>232.1</v>
      </c>
      <c r="N12" s="50"/>
      <c r="O12" s="50"/>
      <c r="P12" s="50"/>
      <c r="Q12" s="50"/>
      <c r="R12" s="50"/>
      <c r="S12" s="50"/>
    </row>
    <row r="13" spans="1:19" x14ac:dyDescent="0.2">
      <c r="A13" s="59">
        <v>77</v>
      </c>
      <c r="B13" s="59">
        <v>80</v>
      </c>
      <c r="C13" s="59" t="s">
        <v>65</v>
      </c>
      <c r="E13" s="20" t="s">
        <v>68</v>
      </c>
      <c r="F13" s="8" t="s">
        <v>2</v>
      </c>
      <c r="G13" s="37">
        <v>199.5</v>
      </c>
      <c r="H13" s="38">
        <v>199.3</v>
      </c>
      <c r="I13" s="38">
        <v>198.7</v>
      </c>
      <c r="J13" s="38">
        <v>198.7</v>
      </c>
      <c r="K13" s="38">
        <v>198</v>
      </c>
      <c r="L13" s="39">
        <v>197</v>
      </c>
      <c r="N13" s="50"/>
      <c r="O13" s="50"/>
      <c r="P13" s="50"/>
      <c r="Q13" s="50"/>
      <c r="R13" s="50"/>
      <c r="S13" s="50"/>
    </row>
    <row r="14" spans="1:19" x14ac:dyDescent="0.2">
      <c r="E14" s="20"/>
      <c r="F14" s="8"/>
      <c r="G14" s="37"/>
      <c r="H14" s="38"/>
      <c r="I14" s="38"/>
      <c r="J14" s="38"/>
      <c r="K14" s="38"/>
      <c r="L14" s="39"/>
      <c r="N14" s="50"/>
      <c r="O14" s="50"/>
      <c r="P14" s="50"/>
      <c r="Q14" s="50"/>
      <c r="R14" s="50"/>
      <c r="S14" s="50"/>
    </row>
    <row r="15" spans="1:19" x14ac:dyDescent="0.2">
      <c r="E15" s="5" t="s">
        <v>92</v>
      </c>
      <c r="F15" s="8"/>
      <c r="G15" s="7"/>
      <c r="H15" s="8"/>
      <c r="I15" s="8"/>
      <c r="J15" s="8"/>
      <c r="K15" s="8"/>
      <c r="L15" s="9"/>
      <c r="N15" s="50"/>
      <c r="O15" s="50"/>
      <c r="P15" s="50"/>
      <c r="Q15" s="50"/>
      <c r="R15" s="50"/>
      <c r="S15" s="50"/>
    </row>
    <row r="16" spans="1:19" x14ac:dyDescent="0.2">
      <c r="A16" s="59">
        <v>101</v>
      </c>
      <c r="B16" s="59">
        <v>104</v>
      </c>
      <c r="C16" s="59" t="s">
        <v>69</v>
      </c>
      <c r="E16" s="20" t="s">
        <v>67</v>
      </c>
      <c r="F16" s="8" t="s">
        <v>10</v>
      </c>
      <c r="G16" s="21">
        <v>6370</v>
      </c>
      <c r="H16" s="22">
        <v>6370</v>
      </c>
      <c r="I16" s="22">
        <v>6360</v>
      </c>
      <c r="J16" s="22">
        <v>6360</v>
      </c>
      <c r="K16" s="22">
        <v>6360</v>
      </c>
      <c r="L16" s="23">
        <v>6370</v>
      </c>
      <c r="N16" s="50"/>
      <c r="O16" s="50"/>
      <c r="P16" s="50"/>
      <c r="Q16" s="50"/>
      <c r="R16" s="50"/>
      <c r="S16" s="50"/>
    </row>
    <row r="17" spans="1:19" x14ac:dyDescent="0.2">
      <c r="A17" s="59">
        <v>67</v>
      </c>
      <c r="B17" s="59">
        <v>70</v>
      </c>
      <c r="C17" s="59" t="s">
        <v>69</v>
      </c>
      <c r="E17" s="20" t="s">
        <v>68</v>
      </c>
      <c r="F17" s="8" t="s">
        <v>10</v>
      </c>
      <c r="G17" s="21">
        <v>6340</v>
      </c>
      <c r="H17" s="22">
        <v>6350</v>
      </c>
      <c r="I17" s="22">
        <v>6350</v>
      </c>
      <c r="J17" s="22">
        <v>6350</v>
      </c>
      <c r="K17" s="22">
        <v>6360</v>
      </c>
      <c r="L17" s="23">
        <v>6360</v>
      </c>
      <c r="N17" s="50"/>
      <c r="O17" s="50"/>
      <c r="P17" s="50"/>
      <c r="Q17" s="50"/>
      <c r="R17" s="50"/>
      <c r="S17" s="50"/>
    </row>
    <row r="18" spans="1:19" x14ac:dyDescent="0.2">
      <c r="A18" s="59">
        <v>82</v>
      </c>
      <c r="B18" s="59">
        <v>85</v>
      </c>
      <c r="C18" s="59" t="s">
        <v>69</v>
      </c>
      <c r="E18" s="70" t="s">
        <v>214</v>
      </c>
      <c r="F18" s="8" t="s">
        <v>10</v>
      </c>
      <c r="G18" s="21">
        <v>6300</v>
      </c>
      <c r="H18" s="22">
        <v>6310</v>
      </c>
      <c r="I18" s="22">
        <v>6300</v>
      </c>
      <c r="J18" s="22">
        <v>6300</v>
      </c>
      <c r="K18" s="22">
        <v>6300</v>
      </c>
      <c r="L18" s="23">
        <v>6300</v>
      </c>
      <c r="N18" s="50"/>
      <c r="O18" s="50"/>
      <c r="P18" s="50"/>
      <c r="Q18" s="50"/>
      <c r="R18" s="50"/>
      <c r="S18" s="50"/>
    </row>
    <row r="19" spans="1:19" x14ac:dyDescent="0.2">
      <c r="E19" s="5" t="s">
        <v>91</v>
      </c>
      <c r="F19" s="8"/>
      <c r="G19" s="21"/>
      <c r="H19" s="22"/>
      <c r="I19" s="22"/>
      <c r="J19" s="22"/>
      <c r="K19" s="22"/>
      <c r="L19" s="23"/>
      <c r="N19" s="50"/>
      <c r="O19" s="50"/>
      <c r="P19" s="50"/>
      <c r="Q19" s="50"/>
      <c r="R19" s="50"/>
      <c r="S19" s="50"/>
    </row>
    <row r="20" spans="1:19" x14ac:dyDescent="0.2">
      <c r="A20" s="59">
        <v>111</v>
      </c>
      <c r="B20" s="59">
        <v>114</v>
      </c>
      <c r="C20" s="59" t="s">
        <v>69</v>
      </c>
      <c r="E20" s="20" t="s">
        <v>67</v>
      </c>
      <c r="F20" s="8" t="s">
        <v>10</v>
      </c>
      <c r="G20" s="21">
        <v>7130</v>
      </c>
      <c r="H20" s="22">
        <v>7180</v>
      </c>
      <c r="I20" s="22">
        <v>7130</v>
      </c>
      <c r="J20" s="22">
        <v>7130</v>
      </c>
      <c r="K20" s="22">
        <v>7130</v>
      </c>
      <c r="L20" s="23">
        <v>7130</v>
      </c>
      <c r="N20" s="50"/>
      <c r="O20" s="50"/>
      <c r="P20" s="50"/>
      <c r="Q20" s="50"/>
      <c r="R20" s="50"/>
      <c r="S20" s="50"/>
    </row>
    <row r="21" spans="1:19" x14ac:dyDescent="0.2">
      <c r="A21" s="59">
        <v>77</v>
      </c>
      <c r="B21" s="59">
        <v>80</v>
      </c>
      <c r="C21" s="59" t="s">
        <v>69</v>
      </c>
      <c r="E21" s="20" t="s">
        <v>68</v>
      </c>
      <c r="F21" s="8" t="s">
        <v>10</v>
      </c>
      <c r="G21" s="21">
        <v>7540</v>
      </c>
      <c r="H21" s="22">
        <v>7530</v>
      </c>
      <c r="I21" s="22">
        <v>7550</v>
      </c>
      <c r="J21" s="22">
        <v>7550</v>
      </c>
      <c r="K21" s="22">
        <v>7560</v>
      </c>
      <c r="L21" s="23">
        <v>7570</v>
      </c>
      <c r="N21" s="50"/>
      <c r="O21" s="50"/>
      <c r="P21" s="50"/>
      <c r="Q21" s="50"/>
      <c r="R21" s="50"/>
      <c r="S21" s="50"/>
    </row>
    <row r="22" spans="1:19" x14ac:dyDescent="0.2">
      <c r="E22" s="70"/>
      <c r="F22" s="8"/>
      <c r="G22" s="21"/>
      <c r="H22" s="22"/>
      <c r="I22" s="22"/>
      <c r="J22" s="22"/>
      <c r="K22" s="22"/>
      <c r="L22" s="23"/>
      <c r="M22" s="75"/>
      <c r="N22" s="50"/>
      <c r="O22" s="50"/>
      <c r="P22" s="50"/>
      <c r="Q22" s="50"/>
      <c r="R22" s="50"/>
      <c r="S22" s="50"/>
    </row>
    <row r="23" spans="1:19" x14ac:dyDescent="0.2">
      <c r="E23" s="5" t="s">
        <v>17</v>
      </c>
      <c r="F23" s="24"/>
      <c r="G23" s="7"/>
      <c r="H23" s="8"/>
      <c r="I23" s="8"/>
      <c r="J23" s="8"/>
      <c r="K23" s="8"/>
      <c r="L23" s="9"/>
      <c r="N23" s="50"/>
      <c r="O23" s="50"/>
      <c r="P23" s="50"/>
      <c r="Q23" s="50"/>
      <c r="R23" s="50"/>
      <c r="S23" s="50"/>
    </row>
    <row r="24" spans="1:19" ht="14.25" x14ac:dyDescent="0.2">
      <c r="A24" s="59">
        <v>239</v>
      </c>
      <c r="B24" s="59">
        <v>242</v>
      </c>
      <c r="C24" s="59" t="s">
        <v>89</v>
      </c>
      <c r="E24" s="20" t="s">
        <v>25</v>
      </c>
      <c r="F24" s="25" t="s">
        <v>15</v>
      </c>
      <c r="G24" s="62">
        <v>26.693333333333332</v>
      </c>
      <c r="H24" s="27">
        <v>26.651030110935025</v>
      </c>
      <c r="I24" s="27">
        <v>26.651428571428571</v>
      </c>
      <c r="J24" s="27">
        <v>26.651428571428571</v>
      </c>
      <c r="K24" s="27">
        <v>26.651428571428571</v>
      </c>
      <c r="L24" s="28">
        <v>26.693333333333332</v>
      </c>
      <c r="N24" s="50"/>
      <c r="O24" s="50"/>
      <c r="P24" s="50"/>
      <c r="Q24" s="50"/>
      <c r="R24" s="50"/>
      <c r="S24" s="50"/>
    </row>
    <row r="25" spans="1:19" ht="14.25" x14ac:dyDescent="0.2">
      <c r="A25" s="59">
        <v>239</v>
      </c>
      <c r="B25" s="59">
        <v>242</v>
      </c>
      <c r="C25" s="59" t="s">
        <v>71</v>
      </c>
      <c r="E25" s="20" t="s">
        <v>26</v>
      </c>
      <c r="F25" s="25" t="s">
        <v>15</v>
      </c>
      <c r="G25" s="26">
        <v>6.8755555555555556</v>
      </c>
      <c r="H25" s="27">
        <v>6.8646592709984153</v>
      </c>
      <c r="I25" s="27">
        <v>6.7638095238095239</v>
      </c>
      <c r="J25" s="27">
        <v>6.7638095238095239</v>
      </c>
      <c r="K25" s="27">
        <v>6.7638095238095239</v>
      </c>
      <c r="L25" s="28">
        <v>6.6733333333333329</v>
      </c>
      <c r="N25" s="50"/>
      <c r="O25" s="50"/>
      <c r="P25" s="50"/>
      <c r="Q25" s="50"/>
      <c r="R25" s="50"/>
      <c r="S25" s="50"/>
    </row>
    <row r="26" spans="1:19" ht="14.25" x14ac:dyDescent="0.2">
      <c r="A26" s="59">
        <v>239</v>
      </c>
      <c r="B26" s="59">
        <v>242</v>
      </c>
      <c r="C26" s="59" t="s">
        <v>72</v>
      </c>
      <c r="E26" s="20" t="s">
        <v>27</v>
      </c>
      <c r="F26" s="25" t="s">
        <v>15</v>
      </c>
      <c r="G26" s="21">
        <v>411320</v>
      </c>
      <c r="H26" s="22">
        <v>410668.14580031694</v>
      </c>
      <c r="I26" s="22">
        <v>408251.42857142858</v>
      </c>
      <c r="J26" s="22">
        <v>408251.42857142858</v>
      </c>
      <c r="K26" s="22">
        <v>407040</v>
      </c>
      <c r="L26" s="23">
        <v>397973.33333333331</v>
      </c>
      <c r="N26" s="50"/>
      <c r="O26" s="50"/>
      <c r="P26" s="50"/>
      <c r="Q26" s="50"/>
      <c r="R26" s="50"/>
      <c r="S26" s="50"/>
    </row>
    <row r="27" spans="1:19" x14ac:dyDescent="0.2">
      <c r="E27" s="5" t="s">
        <v>18</v>
      </c>
      <c r="F27" s="24"/>
      <c r="G27" s="29"/>
      <c r="H27" s="24"/>
      <c r="I27" s="24"/>
      <c r="J27" s="24"/>
      <c r="K27" s="24"/>
      <c r="L27" s="30"/>
      <c r="N27" s="50"/>
      <c r="O27" s="50"/>
      <c r="P27" s="50"/>
      <c r="Q27" s="50"/>
      <c r="R27" s="50"/>
      <c r="S27" s="50"/>
    </row>
    <row r="28" spans="1:19" ht="14.25" x14ac:dyDescent="0.2">
      <c r="A28" s="59">
        <v>239</v>
      </c>
      <c r="B28" s="59">
        <v>242</v>
      </c>
      <c r="C28" s="59" t="s">
        <v>89</v>
      </c>
      <c r="E28" s="20" t="s">
        <v>25</v>
      </c>
      <c r="F28" s="25" t="s">
        <v>15</v>
      </c>
      <c r="G28" s="26">
        <v>26.567619047619047</v>
      </c>
      <c r="H28" s="27">
        <v>26.567353407290017</v>
      </c>
      <c r="I28" s="27">
        <v>26.609523809523811</v>
      </c>
      <c r="J28" s="27">
        <v>26.609523809523811</v>
      </c>
      <c r="K28" s="27">
        <v>26.651428571428571</v>
      </c>
      <c r="L28" s="28">
        <v>26.651428571428571</v>
      </c>
      <c r="N28" s="50"/>
      <c r="O28" s="50"/>
      <c r="P28" s="50"/>
      <c r="Q28" s="50"/>
      <c r="R28" s="50"/>
      <c r="S28" s="50"/>
    </row>
    <row r="29" spans="1:19" ht="14.25" x14ac:dyDescent="0.2">
      <c r="A29" s="59">
        <v>239</v>
      </c>
      <c r="B29" s="59">
        <v>242</v>
      </c>
      <c r="C29" s="59" t="s">
        <v>71</v>
      </c>
      <c r="E29" s="20" t="s">
        <v>26</v>
      </c>
      <c r="F29" s="25" t="s">
        <v>15</v>
      </c>
      <c r="G29" s="26">
        <v>6.843174603174603</v>
      </c>
      <c r="H29" s="27">
        <v>6.8431061806656102</v>
      </c>
      <c r="I29" s="27">
        <v>6.7531746031746032</v>
      </c>
      <c r="J29" s="27">
        <v>6.7531746031746032</v>
      </c>
      <c r="K29" s="27">
        <v>6.7638095238095239</v>
      </c>
      <c r="L29" s="28">
        <v>6.6628571428571428</v>
      </c>
      <c r="N29" s="50"/>
      <c r="O29" s="50"/>
      <c r="P29" s="50"/>
      <c r="Q29" s="50"/>
      <c r="R29" s="50"/>
      <c r="S29" s="50"/>
    </row>
    <row r="30" spans="1:19" ht="14.25" x14ac:dyDescent="0.2">
      <c r="A30" s="59">
        <v>239</v>
      </c>
      <c r="B30" s="59">
        <v>242</v>
      </c>
      <c r="C30" s="59" t="s">
        <v>72</v>
      </c>
      <c r="E30" s="20" t="s">
        <v>27</v>
      </c>
      <c r="F30" s="25" t="s">
        <v>15</v>
      </c>
      <c r="G30" s="21">
        <v>409382.85714285716</v>
      </c>
      <c r="H30" s="22">
        <v>409378.763866878</v>
      </c>
      <c r="I30" s="22">
        <v>407609.52380952379</v>
      </c>
      <c r="J30" s="22">
        <v>407609.52380952379</v>
      </c>
      <c r="K30" s="22">
        <v>407040</v>
      </c>
      <c r="L30" s="23">
        <v>397348.57142857142</v>
      </c>
      <c r="N30" s="50"/>
      <c r="O30" s="50"/>
      <c r="P30" s="50"/>
      <c r="Q30" s="50"/>
      <c r="R30" s="50"/>
      <c r="S30" s="50"/>
    </row>
    <row r="31" spans="1:19" x14ac:dyDescent="0.2">
      <c r="E31" s="5" t="s">
        <v>133</v>
      </c>
      <c r="F31" s="24"/>
      <c r="G31" s="21"/>
      <c r="H31" s="22"/>
      <c r="I31" s="22"/>
      <c r="J31" s="22"/>
      <c r="K31" s="22"/>
      <c r="L31" s="23"/>
      <c r="N31" s="50"/>
      <c r="O31" s="50"/>
      <c r="P31" s="50"/>
      <c r="Q31" s="50"/>
      <c r="R31" s="50"/>
      <c r="S31" s="50"/>
    </row>
    <row r="32" spans="1:19" ht="14.25" x14ac:dyDescent="0.2">
      <c r="A32" s="59">
        <v>246</v>
      </c>
      <c r="B32" s="59">
        <v>249</v>
      </c>
      <c r="C32" s="59" t="s">
        <v>70</v>
      </c>
      <c r="E32" s="20" t="s">
        <v>25</v>
      </c>
      <c r="F32" s="25" t="s">
        <v>15</v>
      </c>
      <c r="G32" s="26">
        <v>97.066666666666663</v>
      </c>
      <c r="H32" s="22">
        <v>96.912836767036453</v>
      </c>
      <c r="I32" s="22">
        <v>96.914285714285711</v>
      </c>
      <c r="J32" s="22">
        <v>96.914285714285711</v>
      </c>
      <c r="K32" s="22">
        <v>96.914285714285711</v>
      </c>
      <c r="L32" s="23">
        <v>97.066666666666663</v>
      </c>
      <c r="N32" s="50"/>
      <c r="O32" s="50"/>
      <c r="P32" s="50"/>
      <c r="Q32" s="50"/>
      <c r="R32" s="50"/>
      <c r="S32" s="50"/>
    </row>
    <row r="33" spans="1:19" ht="14.25" x14ac:dyDescent="0.2">
      <c r="A33" s="59">
        <v>246</v>
      </c>
      <c r="B33" s="59">
        <v>249</v>
      </c>
      <c r="C33" s="59" t="s">
        <v>71</v>
      </c>
      <c r="E33" s="20" t="s">
        <v>26</v>
      </c>
      <c r="F33" s="25" t="s">
        <v>15</v>
      </c>
      <c r="G33" s="21">
        <v>5.358888888888889</v>
      </c>
      <c r="H33" s="22">
        <v>5.3503961965134703</v>
      </c>
      <c r="I33" s="22">
        <v>5.2495238095238097</v>
      </c>
      <c r="J33" s="22">
        <v>5.2495238095238097</v>
      </c>
      <c r="K33" s="22">
        <v>5.2495238095238097</v>
      </c>
      <c r="L33" s="23">
        <v>5.2577777777777781</v>
      </c>
      <c r="N33" s="50"/>
      <c r="O33" s="50"/>
      <c r="P33" s="50"/>
      <c r="Q33" s="50"/>
      <c r="R33" s="50"/>
      <c r="S33" s="50"/>
    </row>
    <row r="34" spans="1:19" ht="14.25" x14ac:dyDescent="0.2">
      <c r="A34" s="59">
        <v>246</v>
      </c>
      <c r="B34" s="59">
        <v>249</v>
      </c>
      <c r="C34" s="59" t="s">
        <v>72</v>
      </c>
      <c r="E34" s="20" t="s">
        <v>27</v>
      </c>
      <c r="F34" s="25" t="s">
        <v>15</v>
      </c>
      <c r="G34" s="21">
        <v>558133.33333333337</v>
      </c>
      <c r="H34" s="22">
        <v>557248.81141045957</v>
      </c>
      <c r="I34" s="22">
        <v>554026.66666666663</v>
      </c>
      <c r="J34" s="22">
        <v>554026.66666666663</v>
      </c>
      <c r="K34" s="22">
        <v>552411.42857142852</v>
      </c>
      <c r="L34" s="23">
        <v>550044.4444444445</v>
      </c>
      <c r="N34" s="50"/>
      <c r="O34" s="50"/>
      <c r="P34" s="50"/>
      <c r="Q34" s="50"/>
      <c r="R34" s="50"/>
      <c r="S34" s="50"/>
    </row>
    <row r="35" spans="1:19" x14ac:dyDescent="0.2">
      <c r="E35" s="5" t="s">
        <v>16</v>
      </c>
      <c r="F35" s="24"/>
      <c r="G35" s="29"/>
      <c r="H35" s="24"/>
      <c r="I35" s="24"/>
      <c r="J35" s="24"/>
      <c r="K35" s="24"/>
      <c r="L35" s="30"/>
      <c r="N35" s="50"/>
      <c r="O35" s="50"/>
      <c r="P35" s="50"/>
      <c r="Q35" s="50"/>
      <c r="R35" s="50"/>
      <c r="S35" s="50"/>
    </row>
    <row r="36" spans="1:19" ht="14.25" x14ac:dyDescent="0.2">
      <c r="A36" s="59">
        <v>246</v>
      </c>
      <c r="B36" s="59">
        <v>249</v>
      </c>
      <c r="C36" s="59" t="s">
        <v>70</v>
      </c>
      <c r="E36" s="20" t="s">
        <v>25</v>
      </c>
      <c r="F36" s="25" t="s">
        <v>15</v>
      </c>
      <c r="G36" s="26">
        <v>96.609523809523807</v>
      </c>
      <c r="H36" s="27">
        <v>96.608557844690964</v>
      </c>
      <c r="I36" s="27">
        <v>96.761904761904759</v>
      </c>
      <c r="J36" s="27">
        <v>96.761904761904759</v>
      </c>
      <c r="K36" s="27">
        <v>96.914285714285711</v>
      </c>
      <c r="L36" s="28">
        <v>96.914285714285711</v>
      </c>
      <c r="N36" s="50"/>
      <c r="O36" s="50"/>
      <c r="P36" s="50"/>
      <c r="Q36" s="50"/>
      <c r="R36" s="50"/>
      <c r="S36" s="50"/>
    </row>
    <row r="37" spans="1:19" ht="14.25" x14ac:dyDescent="0.2">
      <c r="A37" s="59">
        <v>246</v>
      </c>
      <c r="B37" s="59">
        <v>249</v>
      </c>
      <c r="C37" s="59" t="s">
        <v>71</v>
      </c>
      <c r="E37" s="20" t="s">
        <v>26</v>
      </c>
      <c r="F37" s="25" t="s">
        <v>15</v>
      </c>
      <c r="G37" s="26">
        <v>5.3336507936507935</v>
      </c>
      <c r="H37" s="27">
        <v>5.3335974643423141</v>
      </c>
      <c r="I37" s="27">
        <v>5.2412698412698413</v>
      </c>
      <c r="J37" s="27">
        <v>5.2412698412698413</v>
      </c>
      <c r="K37" s="27">
        <v>5.2495238095238097</v>
      </c>
      <c r="L37" s="28">
        <v>5.2495238095238097</v>
      </c>
      <c r="N37" s="50"/>
      <c r="O37" s="50"/>
      <c r="P37" s="50"/>
      <c r="Q37" s="50"/>
      <c r="R37" s="50"/>
      <c r="S37" s="50"/>
    </row>
    <row r="38" spans="1:19" ht="14.25" x14ac:dyDescent="0.2">
      <c r="A38" s="59">
        <v>246</v>
      </c>
      <c r="B38" s="59">
        <v>249</v>
      </c>
      <c r="C38" s="59" t="s">
        <v>72</v>
      </c>
      <c r="E38" s="20" t="s">
        <v>27</v>
      </c>
      <c r="F38" s="25" t="s">
        <v>15</v>
      </c>
      <c r="G38" s="21">
        <v>555504.76190476189</v>
      </c>
      <c r="H38" s="22">
        <v>555499.20760697301</v>
      </c>
      <c r="I38" s="22">
        <v>553155.5555555555</v>
      </c>
      <c r="J38" s="22">
        <v>553155.5555555555</v>
      </c>
      <c r="K38" s="22">
        <v>552411.42857142852</v>
      </c>
      <c r="L38" s="23">
        <v>549180.95238095243</v>
      </c>
      <c r="N38" s="50"/>
      <c r="O38" s="50"/>
      <c r="P38" s="50"/>
      <c r="Q38" s="50"/>
      <c r="R38" s="50"/>
      <c r="S38" s="50"/>
    </row>
    <row r="39" spans="1:19" x14ac:dyDescent="0.2">
      <c r="E39" s="5" t="s">
        <v>219</v>
      </c>
      <c r="F39" s="24"/>
      <c r="G39" s="21"/>
      <c r="H39" s="22"/>
      <c r="I39" s="22"/>
      <c r="J39" s="22"/>
      <c r="K39" s="22"/>
      <c r="L39" s="23"/>
      <c r="N39" s="50"/>
      <c r="O39" s="50"/>
      <c r="P39" s="50"/>
      <c r="Q39" s="50"/>
      <c r="R39" s="50"/>
      <c r="S39" s="50"/>
    </row>
    <row r="40" spans="1:19" ht="14.25" x14ac:dyDescent="0.2">
      <c r="A40" s="59">
        <v>239</v>
      </c>
      <c r="B40" s="59">
        <v>242</v>
      </c>
      <c r="C40" s="59" t="s">
        <v>89</v>
      </c>
      <c r="E40" s="20" t="s">
        <v>25</v>
      </c>
      <c r="F40" s="25" t="s">
        <v>15</v>
      </c>
      <c r="G40" s="62">
        <v>29.878095238095238</v>
      </c>
      <c r="H40" s="27">
        <v>30.039936608557845</v>
      </c>
      <c r="I40" s="27">
        <v>29.878095238095238</v>
      </c>
      <c r="J40" s="27">
        <v>29.878095238095238</v>
      </c>
      <c r="K40" s="27">
        <v>29.878095238095238</v>
      </c>
      <c r="L40" s="28">
        <v>29.878095238095238</v>
      </c>
      <c r="N40" s="50"/>
      <c r="O40" s="50"/>
      <c r="P40" s="50"/>
      <c r="Q40" s="50"/>
      <c r="R40" s="50"/>
      <c r="S40" s="50"/>
    </row>
    <row r="41" spans="1:19" ht="14.25" x14ac:dyDescent="0.2">
      <c r="A41" s="59">
        <v>239</v>
      </c>
      <c r="B41" s="59">
        <v>242</v>
      </c>
      <c r="C41" s="59" t="s">
        <v>71</v>
      </c>
      <c r="E41" s="20" t="s">
        <v>26</v>
      </c>
      <c r="F41" s="25" t="s">
        <v>15</v>
      </c>
      <c r="G41" s="26">
        <v>7.6958730158730155</v>
      </c>
      <c r="H41" s="27">
        <v>7.7375594294770202</v>
      </c>
      <c r="I41" s="27">
        <v>7.5826984126984129</v>
      </c>
      <c r="J41" s="27">
        <v>7.5826984126984129</v>
      </c>
      <c r="K41" s="27">
        <v>7.5826984126984129</v>
      </c>
      <c r="L41" s="28">
        <v>7.4695238095238095</v>
      </c>
      <c r="N41" s="50"/>
      <c r="O41" s="50"/>
      <c r="P41" s="50"/>
      <c r="Q41" s="50"/>
      <c r="R41" s="50"/>
      <c r="S41" s="50"/>
    </row>
    <row r="42" spans="1:19" ht="14.25" x14ac:dyDescent="0.2">
      <c r="A42" s="59">
        <v>239</v>
      </c>
      <c r="B42" s="59">
        <v>242</v>
      </c>
      <c r="C42" s="59" t="s">
        <v>72</v>
      </c>
      <c r="E42" s="20" t="s">
        <v>27</v>
      </c>
      <c r="F42" s="25" t="s">
        <v>15</v>
      </c>
      <c r="G42" s="21">
        <v>460394.28571428574</v>
      </c>
      <c r="H42" s="22">
        <v>462888.11410459591</v>
      </c>
      <c r="I42" s="22">
        <v>457678.09523809527</v>
      </c>
      <c r="J42" s="22">
        <v>457678.09523809527</v>
      </c>
      <c r="K42" s="22">
        <v>456320</v>
      </c>
      <c r="L42" s="23">
        <v>445455.23809523811</v>
      </c>
      <c r="N42" s="50"/>
      <c r="O42" s="50"/>
      <c r="P42" s="50"/>
      <c r="Q42" s="50"/>
      <c r="R42" s="50"/>
      <c r="S42" s="50"/>
    </row>
    <row r="43" spans="1:19" x14ac:dyDescent="0.2">
      <c r="E43" s="5" t="s">
        <v>220</v>
      </c>
      <c r="F43" s="24"/>
      <c r="G43" s="21"/>
      <c r="H43" s="22"/>
      <c r="I43" s="22"/>
      <c r="J43" s="22"/>
      <c r="K43" s="22"/>
      <c r="L43" s="23"/>
      <c r="N43" s="50"/>
      <c r="O43" s="50"/>
      <c r="P43" s="50"/>
      <c r="Q43" s="50"/>
      <c r="R43" s="50"/>
      <c r="S43" s="50"/>
    </row>
    <row r="44" spans="1:19" ht="14.25" x14ac:dyDescent="0.2">
      <c r="A44" s="59">
        <v>239</v>
      </c>
      <c r="B44" s="59">
        <v>242</v>
      </c>
      <c r="C44" s="59" t="s">
        <v>89</v>
      </c>
      <c r="E44" s="20" t="s">
        <v>25</v>
      </c>
      <c r="F44" s="25" t="s">
        <v>15</v>
      </c>
      <c r="G44" s="21">
        <v>31.596190476190475</v>
      </c>
      <c r="H44" s="22">
        <v>31.504278922345485</v>
      </c>
      <c r="I44" s="22">
        <v>31.638095238095239</v>
      </c>
      <c r="J44" s="22">
        <v>31.638095238095239</v>
      </c>
      <c r="K44" s="22">
        <v>31.68</v>
      </c>
      <c r="L44" s="23">
        <v>31.721904761904764</v>
      </c>
      <c r="N44" s="50"/>
      <c r="O44" s="50"/>
      <c r="P44" s="50"/>
      <c r="Q44" s="50"/>
      <c r="R44" s="50"/>
      <c r="S44" s="50"/>
    </row>
    <row r="45" spans="1:19" ht="14.25" x14ac:dyDescent="0.2">
      <c r="A45" s="59">
        <v>239</v>
      </c>
      <c r="B45" s="59">
        <v>242</v>
      </c>
      <c r="C45" s="59" t="s">
        <v>71</v>
      </c>
      <c r="E45" s="20" t="s">
        <v>26</v>
      </c>
      <c r="F45" s="25" t="s">
        <v>15</v>
      </c>
      <c r="G45" s="21">
        <v>8.138412698412699</v>
      </c>
      <c r="H45" s="22">
        <v>8.1147385103011089</v>
      </c>
      <c r="I45" s="22">
        <v>8.0293650793650801</v>
      </c>
      <c r="J45" s="22">
        <v>8.0293650793650801</v>
      </c>
      <c r="K45" s="22">
        <v>8.0399999999999991</v>
      </c>
      <c r="L45" s="23">
        <v>7.9304761904761909</v>
      </c>
      <c r="N45" s="50"/>
      <c r="O45" s="50"/>
      <c r="P45" s="50"/>
      <c r="Q45" s="50"/>
      <c r="R45" s="50"/>
      <c r="S45" s="50"/>
    </row>
    <row r="46" spans="1:19" ht="14.25" x14ac:dyDescent="0.2">
      <c r="A46" s="59">
        <v>239</v>
      </c>
      <c r="B46" s="59">
        <v>242</v>
      </c>
      <c r="C46" s="59" t="s">
        <v>72</v>
      </c>
      <c r="E46" s="20" t="s">
        <v>27</v>
      </c>
      <c r="F46" s="25" t="s">
        <v>15</v>
      </c>
      <c r="G46" s="21">
        <v>486868.57142857142</v>
      </c>
      <c r="H46" s="22">
        <v>485452.29793977813</v>
      </c>
      <c r="I46" s="22">
        <v>484638.09523809527</v>
      </c>
      <c r="J46" s="22">
        <v>484638.09523809527</v>
      </c>
      <c r="K46" s="22">
        <v>483840</v>
      </c>
      <c r="L46" s="23">
        <v>472944.76190476189</v>
      </c>
      <c r="N46" s="50"/>
      <c r="O46" s="50"/>
      <c r="P46" s="50"/>
      <c r="Q46" s="50"/>
      <c r="R46" s="50"/>
      <c r="S46" s="50"/>
    </row>
    <row r="47" spans="1:19" x14ac:dyDescent="0.2">
      <c r="E47" s="5" t="s">
        <v>221</v>
      </c>
      <c r="F47" s="24"/>
      <c r="G47" s="21"/>
      <c r="H47" s="22"/>
      <c r="I47" s="22"/>
      <c r="J47" s="22"/>
      <c r="K47" s="22"/>
      <c r="L47" s="23"/>
      <c r="N47" s="50"/>
      <c r="O47" s="50"/>
      <c r="P47" s="50"/>
      <c r="Q47" s="50"/>
      <c r="R47" s="50"/>
      <c r="S47" s="50"/>
    </row>
    <row r="48" spans="1:19" ht="14.25" x14ac:dyDescent="0.2">
      <c r="A48" s="59">
        <v>246</v>
      </c>
      <c r="B48" s="59">
        <v>249</v>
      </c>
      <c r="C48" s="59" t="s">
        <v>70</v>
      </c>
      <c r="E48" s="20" t="s">
        <v>25</v>
      </c>
      <c r="F48" s="25" t="s">
        <v>15</v>
      </c>
      <c r="G48" s="21">
        <v>108.64761904761905</v>
      </c>
      <c r="H48" s="22">
        <v>109.23613312202852</v>
      </c>
      <c r="I48" s="22">
        <v>108.64761904761905</v>
      </c>
      <c r="J48" s="22">
        <v>108.64761904761905</v>
      </c>
      <c r="K48" s="22">
        <v>108.64761904761905</v>
      </c>
      <c r="L48" s="23">
        <v>108.64761904761905</v>
      </c>
      <c r="N48" s="50"/>
      <c r="O48" s="50"/>
      <c r="P48" s="50"/>
      <c r="Q48" s="50"/>
      <c r="R48" s="50"/>
      <c r="S48" s="50"/>
    </row>
    <row r="49" spans="1:19" ht="14.25" x14ac:dyDescent="0.2">
      <c r="A49" s="59">
        <v>246</v>
      </c>
      <c r="B49" s="59">
        <v>249</v>
      </c>
      <c r="C49" s="59" t="s">
        <v>71</v>
      </c>
      <c r="E49" s="20" t="s">
        <v>26</v>
      </c>
      <c r="F49" s="25" t="s">
        <v>15</v>
      </c>
      <c r="G49" s="21">
        <v>5.9982539682539686</v>
      </c>
      <c r="H49" s="22">
        <v>6.0307448494453251</v>
      </c>
      <c r="I49" s="22">
        <v>5.8850793650793651</v>
      </c>
      <c r="J49" s="22">
        <v>5.8850793650793651</v>
      </c>
      <c r="K49" s="22">
        <v>5.8850793650793651</v>
      </c>
      <c r="L49" s="23">
        <v>5.8850793650793651</v>
      </c>
      <c r="N49" s="50"/>
      <c r="O49" s="50"/>
      <c r="P49" s="50"/>
      <c r="Q49" s="50"/>
      <c r="R49" s="50"/>
      <c r="S49" s="50"/>
    </row>
    <row r="50" spans="1:19" ht="14.25" x14ac:dyDescent="0.2">
      <c r="A50" s="59">
        <v>246</v>
      </c>
      <c r="B50" s="59">
        <v>249</v>
      </c>
      <c r="C50" s="59" t="s">
        <v>72</v>
      </c>
      <c r="E50" s="20" t="s">
        <v>27</v>
      </c>
      <c r="F50" s="25" t="s">
        <v>15</v>
      </c>
      <c r="G50" s="21">
        <v>624723.80952380947</v>
      </c>
      <c r="H50" s="22">
        <v>628107.76545166399</v>
      </c>
      <c r="I50" s="22">
        <v>621102.22222222225</v>
      </c>
      <c r="J50" s="22">
        <v>621102.22222222225</v>
      </c>
      <c r="K50" s="22">
        <v>619291.42857142852</v>
      </c>
      <c r="L50" s="23">
        <v>615669.8412698413</v>
      </c>
      <c r="N50" s="50"/>
      <c r="O50" s="50"/>
      <c r="P50" s="50"/>
      <c r="Q50" s="50"/>
      <c r="R50" s="50"/>
      <c r="S50" s="50"/>
    </row>
    <row r="51" spans="1:19" x14ac:dyDescent="0.2">
      <c r="E51" s="5" t="s">
        <v>222</v>
      </c>
      <c r="F51" s="24"/>
      <c r="G51" s="21"/>
      <c r="H51" s="22"/>
      <c r="I51" s="22"/>
      <c r="J51" s="22"/>
      <c r="K51" s="22"/>
      <c r="L51" s="23"/>
      <c r="N51" s="50"/>
      <c r="O51" s="50"/>
      <c r="P51" s="50"/>
      <c r="Q51" s="50"/>
      <c r="R51" s="50"/>
      <c r="S51" s="50"/>
    </row>
    <row r="52" spans="1:19" ht="14.25" x14ac:dyDescent="0.2">
      <c r="A52" s="59">
        <v>246</v>
      </c>
      <c r="B52" s="59">
        <v>249</v>
      </c>
      <c r="C52" s="59" t="s">
        <v>70</v>
      </c>
      <c r="E52" s="20" t="s">
        <v>25</v>
      </c>
      <c r="F52" s="25" t="s">
        <v>15</v>
      </c>
      <c r="G52" s="21">
        <v>114.8952380952381</v>
      </c>
      <c r="H52" s="22">
        <v>114.56101426307448</v>
      </c>
      <c r="I52" s="22">
        <v>115.04761904761905</v>
      </c>
      <c r="J52" s="22">
        <v>115.04761904761905</v>
      </c>
      <c r="K52" s="22">
        <v>115.2</v>
      </c>
      <c r="L52" s="23">
        <v>115.35238095238095</v>
      </c>
      <c r="N52" s="50"/>
      <c r="O52" s="50"/>
      <c r="P52" s="50"/>
      <c r="Q52" s="50"/>
      <c r="R52" s="50"/>
      <c r="S52" s="50"/>
    </row>
    <row r="53" spans="1:19" ht="14.25" x14ac:dyDescent="0.2">
      <c r="A53" s="59">
        <v>246</v>
      </c>
      <c r="B53" s="59">
        <v>249</v>
      </c>
      <c r="C53" s="59" t="s">
        <v>71</v>
      </c>
      <c r="E53" s="20" t="s">
        <v>26</v>
      </c>
      <c r="F53" s="25" t="s">
        <v>15</v>
      </c>
      <c r="G53" s="21">
        <v>6.343174603174603</v>
      </c>
      <c r="H53" s="22">
        <v>6.3247226624405704</v>
      </c>
      <c r="I53" s="22">
        <v>6.2317460317460318</v>
      </c>
      <c r="J53" s="22">
        <v>6.2317460317460318</v>
      </c>
      <c r="K53" s="22">
        <v>6.24</v>
      </c>
      <c r="L53" s="23">
        <v>6.2482539682539686</v>
      </c>
      <c r="N53" s="50"/>
      <c r="O53" s="50"/>
      <c r="P53" s="50"/>
      <c r="Q53" s="50"/>
      <c r="R53" s="50"/>
      <c r="S53" s="50"/>
    </row>
    <row r="54" spans="1:19" ht="14.25" x14ac:dyDescent="0.2">
      <c r="A54" s="59">
        <v>246</v>
      </c>
      <c r="B54" s="59">
        <v>249</v>
      </c>
      <c r="C54" s="59" t="s">
        <v>72</v>
      </c>
      <c r="E54" s="20" t="s">
        <v>27</v>
      </c>
      <c r="F54" s="25" t="s">
        <v>15</v>
      </c>
      <c r="G54" s="21">
        <v>660647.61904761905</v>
      </c>
      <c r="H54" s="22">
        <v>658725.83201267826</v>
      </c>
      <c r="I54" s="22">
        <v>657688.88888888888</v>
      </c>
      <c r="J54" s="22">
        <v>657688.88888888888</v>
      </c>
      <c r="K54" s="22">
        <v>656640</v>
      </c>
      <c r="L54" s="23">
        <v>653663.49206349207</v>
      </c>
      <c r="N54" s="50"/>
      <c r="O54" s="50"/>
      <c r="P54" s="50"/>
      <c r="Q54" s="50"/>
      <c r="R54" s="50"/>
      <c r="S54" s="50"/>
    </row>
    <row r="55" spans="1:19" x14ac:dyDescent="0.2">
      <c r="E55" s="4" t="s">
        <v>19</v>
      </c>
      <c r="F55" s="25"/>
      <c r="G55" s="29"/>
      <c r="H55" s="24"/>
      <c r="I55" s="24"/>
      <c r="J55" s="24"/>
      <c r="K55" s="24"/>
      <c r="L55" s="30"/>
      <c r="N55" s="50"/>
      <c r="O55" s="50"/>
      <c r="P55" s="50"/>
      <c r="Q55" s="50"/>
      <c r="R55" s="50"/>
      <c r="S55" s="50"/>
    </row>
    <row r="56" spans="1:19" x14ac:dyDescent="0.2">
      <c r="E56" s="31"/>
      <c r="F56" s="8"/>
      <c r="G56" s="53"/>
      <c r="H56" s="54"/>
      <c r="I56" s="54"/>
      <c r="J56" s="54"/>
      <c r="K56" s="54"/>
      <c r="L56" s="55"/>
      <c r="N56" s="50"/>
      <c r="O56" s="50"/>
      <c r="P56" s="50"/>
      <c r="Q56" s="50"/>
      <c r="R56" s="50"/>
      <c r="S56" s="50"/>
    </row>
    <row r="57" spans="1:19" ht="25.5" x14ac:dyDescent="0.2">
      <c r="A57" s="87" t="s">
        <v>158</v>
      </c>
      <c r="B57" s="87"/>
      <c r="C57" s="87"/>
      <c r="E57" s="31" t="s">
        <v>85</v>
      </c>
      <c r="F57" s="8" t="s">
        <v>7</v>
      </c>
      <c r="G57" s="53">
        <v>3490</v>
      </c>
      <c r="H57" s="54">
        <v>3490</v>
      </c>
      <c r="I57" s="54">
        <v>3490</v>
      </c>
      <c r="J57" s="54">
        <v>3490</v>
      </c>
      <c r="K57" s="54">
        <v>3490</v>
      </c>
      <c r="L57" s="55">
        <v>3490</v>
      </c>
      <c r="N57" s="50"/>
      <c r="O57" s="50"/>
      <c r="P57" s="50"/>
      <c r="Q57" s="50"/>
      <c r="R57" s="50"/>
      <c r="S57" s="50"/>
    </row>
    <row r="58" spans="1:19" ht="13.5" thickBot="1" x14ac:dyDescent="0.25">
      <c r="A58" s="59">
        <v>22</v>
      </c>
      <c r="B58" s="59">
        <v>22</v>
      </c>
      <c r="C58" s="59" t="s">
        <v>74</v>
      </c>
      <c r="E58" s="32" t="s">
        <v>6</v>
      </c>
      <c r="F58" s="52" t="s">
        <v>11</v>
      </c>
      <c r="G58" s="56">
        <v>2.92E-2</v>
      </c>
      <c r="H58" s="57">
        <v>2.92E-2</v>
      </c>
      <c r="I58" s="57">
        <v>2.92E-2</v>
      </c>
      <c r="J58" s="57">
        <v>2.92E-2</v>
      </c>
      <c r="K58" s="57">
        <v>2.92E-2</v>
      </c>
      <c r="L58" s="58">
        <v>2.92E-2</v>
      </c>
      <c r="N58" s="50"/>
      <c r="O58" s="50"/>
      <c r="P58" s="50"/>
      <c r="Q58" s="50"/>
      <c r="R58" s="50"/>
      <c r="S58" s="50"/>
    </row>
    <row r="59" spans="1:19" ht="12.75" customHeight="1" x14ac:dyDescent="0.2">
      <c r="E59" s="6" t="s">
        <v>210</v>
      </c>
      <c r="F59" s="24"/>
      <c r="G59" s="34"/>
      <c r="H59" s="35"/>
      <c r="I59" s="35"/>
      <c r="J59" s="35"/>
      <c r="K59" s="35"/>
      <c r="L59" s="36"/>
      <c r="N59" s="50"/>
      <c r="O59" s="50"/>
      <c r="P59" s="50"/>
      <c r="Q59" s="50"/>
      <c r="R59" s="50"/>
      <c r="S59" s="50"/>
    </row>
    <row r="60" spans="1:19" x14ac:dyDescent="0.2">
      <c r="A60" s="59">
        <v>212</v>
      </c>
      <c r="B60" s="59">
        <v>215</v>
      </c>
      <c r="C60" s="59" t="s">
        <v>166</v>
      </c>
      <c r="E60" s="20" t="s">
        <v>22</v>
      </c>
      <c r="F60" s="8" t="s">
        <v>9</v>
      </c>
      <c r="G60" s="63">
        <v>1.58</v>
      </c>
      <c r="H60" s="41">
        <v>1.6099999999999999</v>
      </c>
      <c r="I60" s="41">
        <v>1.5899999999999999</v>
      </c>
      <c r="J60" s="41">
        <v>1.5899999999999999</v>
      </c>
      <c r="K60" s="41">
        <v>1.5899999999999999</v>
      </c>
      <c r="L60" s="42">
        <v>1.5899999999999999</v>
      </c>
      <c r="N60" s="50"/>
      <c r="O60" s="50"/>
      <c r="P60" s="50"/>
      <c r="Q60" s="50"/>
      <c r="R60" s="50"/>
      <c r="S60" s="50"/>
    </row>
    <row r="61" spans="1:19" x14ac:dyDescent="0.2">
      <c r="A61" s="59">
        <v>223</v>
      </c>
      <c r="B61" s="59">
        <v>226</v>
      </c>
      <c r="C61" s="59" t="s">
        <v>166</v>
      </c>
      <c r="E61" s="20" t="s">
        <v>23</v>
      </c>
      <c r="F61" s="8" t="s">
        <v>9</v>
      </c>
      <c r="G61" s="40">
        <v>2.48</v>
      </c>
      <c r="H61" s="41">
        <v>2.84</v>
      </c>
      <c r="I61" s="41">
        <v>2.4500000000000002</v>
      </c>
      <c r="J61" s="41">
        <v>2.4500000000000002</v>
      </c>
      <c r="K61" s="41">
        <v>2.4500000000000002</v>
      </c>
      <c r="L61" s="42">
        <v>2.4500000000000002</v>
      </c>
      <c r="N61" s="50"/>
      <c r="O61" s="50"/>
      <c r="P61" s="50"/>
      <c r="Q61" s="50"/>
      <c r="R61" s="50"/>
      <c r="S61" s="50"/>
    </row>
    <row r="62" spans="1:19" x14ac:dyDescent="0.2">
      <c r="A62" s="59">
        <v>205</v>
      </c>
      <c r="B62" s="59">
        <v>208</v>
      </c>
      <c r="C62" s="59" t="s">
        <v>165</v>
      </c>
      <c r="E62" s="20" t="s">
        <v>215</v>
      </c>
      <c r="F62" s="8" t="s">
        <v>216</v>
      </c>
      <c r="G62" s="77">
        <v>600</v>
      </c>
      <c r="H62" s="78">
        <v>600</v>
      </c>
      <c r="I62" s="78">
        <v>600</v>
      </c>
      <c r="J62" s="78">
        <v>600</v>
      </c>
      <c r="K62" s="78">
        <v>600</v>
      </c>
      <c r="L62" s="79">
        <v>600</v>
      </c>
      <c r="N62" s="50"/>
      <c r="O62" s="50"/>
      <c r="P62" s="50"/>
      <c r="Q62" s="50"/>
      <c r="R62" s="50"/>
      <c r="S62" s="50"/>
    </row>
    <row r="63" spans="1:19" ht="13.5" thickBot="1" x14ac:dyDescent="0.25">
      <c r="A63" s="59">
        <v>205</v>
      </c>
      <c r="B63" s="59">
        <v>208</v>
      </c>
      <c r="C63" s="59" t="s">
        <v>76</v>
      </c>
      <c r="E63" s="32" t="s">
        <v>211</v>
      </c>
      <c r="F63" s="33" t="s">
        <v>8</v>
      </c>
      <c r="G63" s="43">
        <v>26600</v>
      </c>
      <c r="H63" s="44">
        <v>26600</v>
      </c>
      <c r="I63" s="44">
        <v>26600</v>
      </c>
      <c r="J63" s="44">
        <v>26600</v>
      </c>
      <c r="K63" s="44">
        <v>26600</v>
      </c>
      <c r="L63" s="45">
        <v>26600</v>
      </c>
      <c r="N63" s="50"/>
      <c r="O63" s="50"/>
      <c r="P63" s="50"/>
      <c r="Q63" s="50"/>
      <c r="R63" s="50"/>
      <c r="S63" s="50"/>
    </row>
    <row r="65" spans="5:5" x14ac:dyDescent="0.2">
      <c r="E65" s="10" t="s">
        <v>234</v>
      </c>
    </row>
  </sheetData>
  <mergeCells count="3">
    <mergeCell ref="G4:L4"/>
    <mergeCell ref="G6:L6"/>
    <mergeCell ref="A57:C57"/>
  </mergeCells>
  <printOptions horizontalCentered="1" gridLines="1"/>
  <pageMargins left="0.7" right="0.7" top="0.75" bottom="0.75" header="0.3" footer="0.3"/>
  <pageSetup scale="85" orientation="landscape" r:id="rId1"/>
  <headerFooter>
    <oddHeader>&amp;C&amp;F</oddHeader>
    <oddFooter>&amp;L&amp;D&amp;C&amp;A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/>
  </sheetViews>
  <sheetFormatPr defaultRowHeight="12.75" x14ac:dyDescent="0.2"/>
  <cols>
    <col min="1" max="1" width="16.33203125" bestFit="1" customWidth="1"/>
    <col min="2" max="3" width="15" bestFit="1" customWidth="1"/>
    <col min="4" max="4" width="13" bestFit="1" customWidth="1"/>
    <col min="5" max="5" width="15" bestFit="1" customWidth="1"/>
  </cols>
  <sheetData>
    <row r="1" spans="1:5" x14ac:dyDescent="0.2">
      <c r="A1" t="s">
        <v>132</v>
      </c>
      <c r="B1" t="s">
        <v>154</v>
      </c>
      <c r="C1" s="69" t="s">
        <v>157</v>
      </c>
      <c r="D1" t="s">
        <v>57</v>
      </c>
      <c r="E1" t="s">
        <v>170</v>
      </c>
    </row>
    <row r="2" spans="1:5" x14ac:dyDescent="0.2">
      <c r="A2">
        <v>3066</v>
      </c>
      <c r="B2">
        <v>3066</v>
      </c>
      <c r="C2">
        <v>3066</v>
      </c>
      <c r="D2">
        <v>3066</v>
      </c>
      <c r="E2">
        <v>8760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2.75" x14ac:dyDescent="0.2"/>
  <sheetData>
    <row r="1" spans="1:2" x14ac:dyDescent="0.2">
      <c r="A1" t="s">
        <v>171</v>
      </c>
      <c r="B1" t="s">
        <v>172</v>
      </c>
    </row>
    <row r="2" spans="1:2" x14ac:dyDescent="0.2">
      <c r="A2" t="s">
        <v>29</v>
      </c>
      <c r="B2">
        <v>200000</v>
      </c>
    </row>
    <row r="3" spans="1:2" x14ac:dyDescent="0.2">
      <c r="A3" t="s">
        <v>30</v>
      </c>
      <c r="B3">
        <v>200000</v>
      </c>
    </row>
    <row r="4" spans="1:2" x14ac:dyDescent="0.2">
      <c r="A4" t="s">
        <v>54</v>
      </c>
      <c r="B4">
        <v>200000</v>
      </c>
    </row>
    <row r="5" spans="1:2" x14ac:dyDescent="0.2">
      <c r="A5" t="s">
        <v>36</v>
      </c>
      <c r="B5">
        <v>50000</v>
      </c>
    </row>
    <row r="6" spans="1:2" x14ac:dyDescent="0.2">
      <c r="A6" t="s">
        <v>31</v>
      </c>
      <c r="B6">
        <v>50000</v>
      </c>
    </row>
    <row r="7" spans="1:2" x14ac:dyDescent="0.2">
      <c r="A7" t="s">
        <v>32</v>
      </c>
      <c r="B7">
        <v>50000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14"/>
  <sheetViews>
    <sheetView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17.83203125" style="10" customWidth="1"/>
    <col min="10" max="10" width="23.83203125" style="10" bestFit="1" customWidth="1"/>
    <col min="11" max="11" width="23.33203125" style="10" bestFit="1" customWidth="1"/>
    <col min="12" max="12" width="21.6640625" style="10" bestFit="1" customWidth="1"/>
    <col min="13" max="13" width="20.83203125" style="10" bestFit="1" customWidth="1"/>
    <col min="14" max="14" width="21.1640625" style="10" bestFit="1" customWidth="1"/>
    <col min="15" max="15" width="21.6640625" style="10" bestFit="1" customWidth="1"/>
    <col min="16" max="16" width="20.83203125" style="10" bestFit="1" customWidth="1"/>
    <col min="17" max="17" width="21.1640625" style="10" bestFit="1" customWidth="1"/>
    <col min="18" max="18" width="22.5" style="10" bestFit="1" customWidth="1"/>
    <col min="19" max="19" width="21.5" style="10" bestFit="1" customWidth="1"/>
    <col min="20" max="20" width="22" style="10" bestFit="1" customWidth="1"/>
    <col min="21" max="21" width="22.5" style="10" bestFit="1" customWidth="1"/>
    <col min="22" max="22" width="21.5" style="10" bestFit="1" customWidth="1"/>
    <col min="23" max="23" width="22" style="10" bestFit="1" customWidth="1"/>
    <col min="24" max="24" width="13.33203125" style="10" bestFit="1" customWidth="1"/>
    <col min="25" max="16384" width="9.33203125" style="10"/>
  </cols>
  <sheetData>
    <row r="1" spans="1:24" x14ac:dyDescent="0.2">
      <c r="A1" s="47" t="s">
        <v>35</v>
      </c>
      <c r="B1" s="47" t="s">
        <v>53</v>
      </c>
      <c r="C1" s="49" t="s">
        <v>93</v>
      </c>
      <c r="D1" s="49" t="s">
        <v>94</v>
      </c>
      <c r="E1" s="49" t="s">
        <v>95</v>
      </c>
      <c r="F1" s="49" t="s">
        <v>96</v>
      </c>
      <c r="G1" s="49" t="s">
        <v>191</v>
      </c>
      <c r="H1" s="49" t="s">
        <v>192</v>
      </c>
      <c r="I1" s="49" t="s">
        <v>208</v>
      </c>
      <c r="J1" s="49" t="s">
        <v>97</v>
      </c>
      <c r="K1" s="48" t="s">
        <v>203</v>
      </c>
      <c r="L1" s="49" t="s">
        <v>98</v>
      </c>
      <c r="M1" s="49" t="s">
        <v>99</v>
      </c>
      <c r="N1" s="49" t="s">
        <v>100</v>
      </c>
      <c r="O1" s="49" t="s">
        <v>101</v>
      </c>
      <c r="P1" s="49" t="s">
        <v>102</v>
      </c>
      <c r="Q1" s="49" t="s">
        <v>103</v>
      </c>
      <c r="R1" s="49" t="s">
        <v>104</v>
      </c>
      <c r="S1" s="49" t="s">
        <v>105</v>
      </c>
      <c r="T1" s="49" t="s">
        <v>106</v>
      </c>
      <c r="U1" s="49" t="s">
        <v>107</v>
      </c>
      <c r="V1" s="49" t="s">
        <v>108</v>
      </c>
      <c r="W1" s="49" t="s">
        <v>109</v>
      </c>
      <c r="X1" s="49" t="s">
        <v>110</v>
      </c>
    </row>
    <row r="2" spans="1:24" x14ac:dyDescent="0.2">
      <c r="A2" s="10" t="s">
        <v>32</v>
      </c>
      <c r="B2" s="46" t="s">
        <v>3</v>
      </c>
      <c r="C2" s="51">
        <f>HLOOKUP($B2, Aero_SCR_Filtered!$G$5:$L$39, 8, FALSE)</f>
        <v>9670</v>
      </c>
      <c r="D2" s="51">
        <f>HLOOKUP($B2, Aero_SCR_Filtered!$G$5:$L$39, 9, FALSE)</f>
        <v>9450</v>
      </c>
      <c r="E2" s="65">
        <f>HLOOKUP($B2, Aero_SCR_Filtered!$G$5:$L$39, 32, FALSE)</f>
        <v>9.74</v>
      </c>
      <c r="F2" s="65">
        <f>HLOOKUP($B2, Aero_SCR_Filtered!$G$5:$L$39, 33, FALSE)</f>
        <v>9.81</v>
      </c>
      <c r="G2" s="65">
        <f>HLOOKUP($B2, Aero_SCR_Filtered!$G$5:$L$39, 4, FALSE)</f>
        <v>166.6</v>
      </c>
      <c r="H2" s="65">
        <f>HLOOKUP($B2, Aero_SCR_Filtered!$G$5:$L$39, 5, FALSE)</f>
        <v>188.2</v>
      </c>
      <c r="I2" s="65">
        <f>HLOOKUP($B2, Aero_SCR_Filtered!$G$5:$L$39, 34, FALSE)</f>
        <v>570</v>
      </c>
      <c r="J2" s="65">
        <f>HLOOKUP($B2, Aero_SCR_Filtered!$G$5:$L$39, 29, FALSE)</f>
        <v>100</v>
      </c>
      <c r="K2" s="65">
        <f>IF(HLOOKUP($B2, Aero_SCR_Filtered!$G$5:$L$39, 35, FALSE)="N/A", 0, HLOOKUP($B2, Aero_SCR_Filtered!$G$5:$L$39, 35, FALSE))</f>
        <v>0</v>
      </c>
      <c r="L2" s="65">
        <f>HLOOKUP($B2, Aero_SCR_Filtered!$G$5:$L$39, 12, FALSE)</f>
        <v>13.652972399150743</v>
      </c>
      <c r="M2" s="65">
        <f>HLOOKUP($B2, Aero_SCR_Filtered!$G$5:$L$39, 13, FALSE)</f>
        <v>3.5928874734607219</v>
      </c>
      <c r="N2" s="65">
        <f>HLOOKUP($B2, Aero_SCR_Filtered!$G$5:$L$39, 14, FALSE)</f>
        <v>214341.40127388536</v>
      </c>
      <c r="O2" s="65">
        <f>HLOOKUP($B2, Aero_SCR_Filtered!$G$5:$L$39, 16, FALSE)</f>
        <v>13.342356687898089</v>
      </c>
      <c r="P2" s="65">
        <f>HLOOKUP($B2, Aero_SCR_Filtered!$G$5:$L$39, 17, FALSE)</f>
        <v>3.5111464968152868</v>
      </c>
      <c r="Q2" s="65">
        <f>HLOOKUP($B2, Aero_SCR_Filtered!$G$5:$L$39, 18, FALSE)</f>
        <v>209464.96815286623</v>
      </c>
      <c r="R2" s="65">
        <f>HLOOKUP($B2, Aero_SCR_Filtered!$G$5:$L$39, 20, FALSE)</f>
        <v>42.806687898089173</v>
      </c>
      <c r="S2" s="65">
        <f>HLOOKUP($B2, Aero_SCR_Filtered!$G$5:$L$39, 21, FALSE)</f>
        <v>2.6690021231422505</v>
      </c>
      <c r="T2" s="65">
        <f>HLOOKUP($B2, Aero_SCR_Filtered!$G$5:$L$39, 22, FALSE)</f>
        <v>285788.53503184713</v>
      </c>
      <c r="U2" s="65">
        <f>HLOOKUP($B2, Aero_SCR_Filtered!$G$5:$L$39, 24, FALSE)</f>
        <v>41.832802547770697</v>
      </c>
      <c r="V2" s="65">
        <f>HLOOKUP($B2, Aero_SCR_Filtered!$G$5:$L$39, 25, FALSE)</f>
        <v>2.6082802547770703</v>
      </c>
      <c r="W2" s="65">
        <f>HLOOKUP($B2, Aero_SCR_Filtered!$G$5:$L$39, 26, FALSE)</f>
        <v>279286.62420382164</v>
      </c>
      <c r="X2" s="65">
        <f>1-HLOOKUP($B2, Aero_SCR_Filtered!$G$5:$L$39, 30, FALSE)</f>
        <v>0.89969999999999994</v>
      </c>
    </row>
    <row r="3" spans="1:24" x14ac:dyDescent="0.2">
      <c r="A3" s="10" t="s">
        <v>31</v>
      </c>
      <c r="B3" s="46" t="s">
        <v>28</v>
      </c>
      <c r="C3" s="51">
        <f>HLOOKUP($B3, Aero_SCR_Filtered!$G$5:$L$39, 8, FALSE)</f>
        <v>9670</v>
      </c>
      <c r="D3" s="51">
        <f>HLOOKUP($B3, Aero_SCR_Filtered!$G$5:$L$39, 9, FALSE)</f>
        <v>9460</v>
      </c>
      <c r="E3" s="65">
        <f>HLOOKUP($B3, Aero_SCR_Filtered!$G$5:$L$39, 32, FALSE)</f>
        <v>10.190000000000001</v>
      </c>
      <c r="F3" s="65">
        <f>HLOOKUP($B3, Aero_SCR_Filtered!$G$5:$L$39, 33, FALSE)</f>
        <v>10.23</v>
      </c>
      <c r="G3" s="65">
        <f>HLOOKUP($B3, Aero_SCR_Filtered!$G$5:$L$39, 4, FALSE)</f>
        <v>166.5</v>
      </c>
      <c r="H3" s="65">
        <f>HLOOKUP($B3, Aero_SCR_Filtered!$G$5:$L$39, 5, FALSE)</f>
        <v>188.2</v>
      </c>
      <c r="I3" s="65">
        <f>HLOOKUP($B3, Aero_SCR_Filtered!$G$5:$L$39, 34, FALSE)</f>
        <v>570</v>
      </c>
      <c r="J3" s="65">
        <f>HLOOKUP($B3, Aero_SCR_Filtered!$G$5:$L$39, 29, FALSE)</f>
        <v>100</v>
      </c>
      <c r="K3" s="65">
        <f>IF(HLOOKUP($B3, Aero_SCR_Filtered!$G$5:$L$39, 35, FALSE)="N/A", 0, HLOOKUP($B3, Aero_SCR_Filtered!$G$5:$L$39, 35, FALSE))</f>
        <v>0</v>
      </c>
      <c r="L3" s="65">
        <f>HLOOKUP($B3, Aero_SCR_Filtered!$G$5:$L$39, 12, FALSE)</f>
        <v>13.652972399150743</v>
      </c>
      <c r="M3" s="65">
        <f>HLOOKUP($B3, Aero_SCR_Filtered!$G$5:$L$39, 13, FALSE)</f>
        <v>3.5928874734607219</v>
      </c>
      <c r="N3" s="65">
        <f>HLOOKUP($B3, Aero_SCR_Filtered!$G$5:$L$39, 14, FALSE)</f>
        <v>214341.40127388536</v>
      </c>
      <c r="O3" s="65">
        <f>HLOOKUP($B3, Aero_SCR_Filtered!$G$5:$L$39, 16, FALSE)</f>
        <v>13.356475583864119</v>
      </c>
      <c r="P3" s="65">
        <f>HLOOKUP($B3, Aero_SCR_Filtered!$G$5:$L$39, 17, FALSE)</f>
        <v>3.5148619957537157</v>
      </c>
      <c r="Q3" s="65">
        <f>HLOOKUP($B3, Aero_SCR_Filtered!$G$5:$L$39, 18, FALSE)</f>
        <v>209686.62420382164</v>
      </c>
      <c r="R3" s="65">
        <f>HLOOKUP($B3, Aero_SCR_Filtered!$G$5:$L$39, 20, FALSE)</f>
        <v>42.806687898089173</v>
      </c>
      <c r="S3" s="65">
        <f>HLOOKUP($B3, Aero_SCR_Filtered!$G$5:$L$39, 21, FALSE)</f>
        <v>2.6690021231422505</v>
      </c>
      <c r="T3" s="65">
        <f>HLOOKUP($B3, Aero_SCR_Filtered!$G$5:$L$39, 22, FALSE)</f>
        <v>285788.53503184713</v>
      </c>
      <c r="U3" s="65">
        <f>HLOOKUP($B3, Aero_SCR_Filtered!$G$5:$L$39, 24, FALSE)</f>
        <v>41.877070063694269</v>
      </c>
      <c r="V3" s="65">
        <f>HLOOKUP($B3, Aero_SCR_Filtered!$G$5:$L$39, 25, FALSE)</f>
        <v>2.6110403397027602</v>
      </c>
      <c r="W3" s="65">
        <f>HLOOKUP($B3, Aero_SCR_Filtered!$G$5:$L$39, 26, FALSE)</f>
        <v>279582.16560509556</v>
      </c>
      <c r="X3" s="65">
        <f>1-HLOOKUP($B3, Aero_SCR_Filtered!$G$5:$L$39, 30, FALSE)</f>
        <v>0.89969999999999994</v>
      </c>
    </row>
    <row r="4" spans="1:24" x14ac:dyDescent="0.2">
      <c r="A4" s="10" t="s">
        <v>54</v>
      </c>
      <c r="B4" s="46" t="s">
        <v>20</v>
      </c>
      <c r="C4" s="51">
        <f>HLOOKUP($B4, Aero_SCR_Filtered!$G$5:$L$39, 8, FALSE)</f>
        <v>9670</v>
      </c>
      <c r="D4" s="51">
        <f>HLOOKUP($B4, Aero_SCR_Filtered!$G$5:$L$39, 9, FALSE)</f>
        <v>9440</v>
      </c>
      <c r="E4" s="65">
        <f>HLOOKUP($B4, Aero_SCR_Filtered!$G$5:$L$39, 32, FALSE)</f>
        <v>9.870000000000001</v>
      </c>
      <c r="F4" s="65">
        <f>HLOOKUP($B4, Aero_SCR_Filtered!$G$5:$L$39, 33, FALSE)</f>
        <v>9.92</v>
      </c>
      <c r="G4" s="65">
        <f>HLOOKUP($B4, Aero_SCR_Filtered!$G$5:$L$39, 4, FALSE)</f>
        <v>166.5</v>
      </c>
      <c r="H4" s="65">
        <f>HLOOKUP($B4, Aero_SCR_Filtered!$G$5:$L$39, 5, FALSE)</f>
        <v>188.2</v>
      </c>
      <c r="I4" s="65">
        <f>HLOOKUP($B4, Aero_SCR_Filtered!$G$5:$L$39, 34, FALSE)</f>
        <v>570</v>
      </c>
      <c r="J4" s="65">
        <f>HLOOKUP($B4, Aero_SCR_Filtered!$G$5:$L$39, 29, FALSE)</f>
        <v>100</v>
      </c>
      <c r="K4" s="65">
        <f>IF(HLOOKUP($B4, Aero_SCR_Filtered!$G$5:$L$39, 35, FALSE)="N/A", 0, HLOOKUP($B4, Aero_SCR_Filtered!$G$5:$L$39, 35, FALSE))</f>
        <v>0</v>
      </c>
      <c r="L4" s="65">
        <f>HLOOKUP($B4, Aero_SCR_Filtered!$G$5:$L$39, 12, FALSE)</f>
        <v>13.638494167550371</v>
      </c>
      <c r="M4" s="65">
        <f>HLOOKUP($B4, Aero_SCR_Filtered!$G$5:$L$39, 13, FALSE)</f>
        <v>3.5890774125132556</v>
      </c>
      <c r="N4" s="65">
        <f>HLOOKUP($B4, Aero_SCR_Filtered!$G$5:$L$39, 14, FALSE)</f>
        <v>214114.10392364793</v>
      </c>
      <c r="O4" s="65">
        <f>HLOOKUP($B4, Aero_SCR_Filtered!$G$5:$L$39, 16, FALSE)</f>
        <v>13.314103923647933</v>
      </c>
      <c r="P4" s="65">
        <f>HLOOKUP($B4, Aero_SCR_Filtered!$G$5:$L$39, 17, FALSE)</f>
        <v>3.503711558854719</v>
      </c>
      <c r="Q4" s="65">
        <f>HLOOKUP($B4, Aero_SCR_Filtered!$G$5:$L$39, 18, FALSE)</f>
        <v>209021.42099681866</v>
      </c>
      <c r="R4" s="65">
        <f>HLOOKUP($B4, Aero_SCR_Filtered!$G$5:$L$39, 20, FALSE)</f>
        <v>42.761293743372214</v>
      </c>
      <c r="S4" s="65">
        <f>HLOOKUP($B4, Aero_SCR_Filtered!$G$5:$L$39, 21, FALSE)</f>
        <v>2.6661717921527042</v>
      </c>
      <c r="T4" s="65">
        <f>HLOOKUP($B4, Aero_SCR_Filtered!$G$5:$L$39, 22, FALSE)</f>
        <v>285485.47189819725</v>
      </c>
      <c r="U4" s="65">
        <f>HLOOKUP($B4, Aero_SCR_Filtered!$G$5:$L$39, 24, FALSE)</f>
        <v>41.744220572640508</v>
      </c>
      <c r="V4" s="65">
        <f>HLOOKUP($B4, Aero_SCR_Filtered!$G$5:$L$39, 25, FALSE)</f>
        <v>2.6027571580063626</v>
      </c>
      <c r="W4" s="65">
        <f>HLOOKUP($B4, Aero_SCR_Filtered!$G$5:$L$39, 26, FALSE)</f>
        <v>278695.22799575824</v>
      </c>
      <c r="X4" s="65">
        <f>1-HLOOKUP($B4, Aero_SCR_Filtered!$G$5:$L$39, 30, FALSE)</f>
        <v>0.89969999999999994</v>
      </c>
    </row>
    <row r="5" spans="1:24" x14ac:dyDescent="0.2">
      <c r="A5" s="10" t="s">
        <v>36</v>
      </c>
      <c r="B5" s="46" t="s">
        <v>21</v>
      </c>
      <c r="C5" s="51">
        <f>HLOOKUP($B5, Aero_SCR_Filtered!$G$5:$L$39, 8, FALSE)</f>
        <v>9670</v>
      </c>
      <c r="D5" s="51">
        <f>HLOOKUP($B5, Aero_SCR_Filtered!$G$5:$L$39, 9, FALSE)</f>
        <v>9440</v>
      </c>
      <c r="E5" s="65">
        <f>HLOOKUP($B5, Aero_SCR_Filtered!$G$5:$L$39, 32, FALSE)</f>
        <v>9.870000000000001</v>
      </c>
      <c r="F5" s="65">
        <f>HLOOKUP($B5, Aero_SCR_Filtered!$G$5:$L$39, 33, FALSE)</f>
        <v>9.92</v>
      </c>
      <c r="G5" s="65">
        <f>HLOOKUP($B5, Aero_SCR_Filtered!$G$5:$L$39, 4, FALSE)</f>
        <v>166.5</v>
      </c>
      <c r="H5" s="65">
        <f>HLOOKUP($B5, Aero_SCR_Filtered!$G$5:$L$39, 5, FALSE)</f>
        <v>188.2</v>
      </c>
      <c r="I5" s="65">
        <f>HLOOKUP($B5, Aero_SCR_Filtered!$G$5:$L$39, 34, FALSE)</f>
        <v>570</v>
      </c>
      <c r="J5" s="65">
        <f>HLOOKUP($B5, Aero_SCR_Filtered!$G$5:$L$39, 29, FALSE)</f>
        <v>100</v>
      </c>
      <c r="K5" s="65">
        <f>IF(HLOOKUP($B5, Aero_SCR_Filtered!$G$5:$L$39, 35, FALSE)="N/A", 0, HLOOKUP($B5, Aero_SCR_Filtered!$G$5:$L$39, 35, FALSE))</f>
        <v>0</v>
      </c>
      <c r="L5" s="65">
        <f>HLOOKUP($B5, Aero_SCR_Filtered!$G$5:$L$39, 12, FALSE)</f>
        <v>13.638494167550371</v>
      </c>
      <c r="M5" s="65">
        <f>HLOOKUP($B5, Aero_SCR_Filtered!$G$5:$L$39, 13, FALSE)</f>
        <v>3.5890774125132556</v>
      </c>
      <c r="N5" s="65">
        <f>HLOOKUP($B5, Aero_SCR_Filtered!$G$5:$L$39, 14, FALSE)</f>
        <v>214114.10392364793</v>
      </c>
      <c r="O5" s="65">
        <f>HLOOKUP($B5, Aero_SCR_Filtered!$G$5:$L$39, 16, FALSE)</f>
        <v>13.314103923647933</v>
      </c>
      <c r="P5" s="65">
        <f>HLOOKUP($B5, Aero_SCR_Filtered!$G$5:$L$39, 17, FALSE)</f>
        <v>3.503711558854719</v>
      </c>
      <c r="Q5" s="65">
        <f>HLOOKUP($B5, Aero_SCR_Filtered!$G$5:$L$39, 18, FALSE)</f>
        <v>209021.42099681866</v>
      </c>
      <c r="R5" s="65">
        <f>HLOOKUP($B5, Aero_SCR_Filtered!$G$5:$L$39, 20, FALSE)</f>
        <v>42.761293743372214</v>
      </c>
      <c r="S5" s="65">
        <f>HLOOKUP($B5, Aero_SCR_Filtered!$G$5:$L$39, 21, FALSE)</f>
        <v>2.6661717921527042</v>
      </c>
      <c r="T5" s="65">
        <f>HLOOKUP($B5, Aero_SCR_Filtered!$G$5:$L$39, 22, FALSE)</f>
        <v>285485.47189819725</v>
      </c>
      <c r="U5" s="65">
        <f>HLOOKUP($B5, Aero_SCR_Filtered!$G$5:$L$39, 24, FALSE)</f>
        <v>41.744220572640508</v>
      </c>
      <c r="V5" s="65">
        <f>HLOOKUP($B5, Aero_SCR_Filtered!$G$5:$L$39, 25, FALSE)</f>
        <v>2.6027571580063626</v>
      </c>
      <c r="W5" s="65">
        <f>HLOOKUP($B5, Aero_SCR_Filtered!$G$5:$L$39, 26, FALSE)</f>
        <v>278695.22799575824</v>
      </c>
      <c r="X5" s="65">
        <f>1-HLOOKUP($B5, Aero_SCR_Filtered!$G$5:$L$39, 30, FALSE)</f>
        <v>0.89969999999999994</v>
      </c>
    </row>
    <row r="6" spans="1:24" x14ac:dyDescent="0.2">
      <c r="A6" s="10" t="s">
        <v>30</v>
      </c>
      <c r="B6" s="46" t="s">
        <v>4</v>
      </c>
      <c r="C6" s="51">
        <f>HLOOKUP($B6, Aero_SCR_Filtered!$G$5:$L$39, 8, FALSE)</f>
        <v>9660</v>
      </c>
      <c r="D6" s="51">
        <f>HLOOKUP($B6, Aero_SCR_Filtered!$G$5:$L$39, 9, FALSE)</f>
        <v>9440</v>
      </c>
      <c r="E6" s="65">
        <f>HLOOKUP($B6, Aero_SCR_Filtered!$G$5:$L$39, 32, FALSE)</f>
        <v>9.9700000000000006</v>
      </c>
      <c r="F6" s="65">
        <f>HLOOKUP($B6, Aero_SCR_Filtered!$G$5:$L$39, 33, FALSE)</f>
        <v>10.02</v>
      </c>
      <c r="G6" s="65">
        <f>HLOOKUP($B6, Aero_SCR_Filtered!$G$5:$L$39, 4, FALSE)</f>
        <v>166.7</v>
      </c>
      <c r="H6" s="65">
        <f>HLOOKUP($B6, Aero_SCR_Filtered!$G$5:$L$39, 5, FALSE)</f>
        <v>188.2</v>
      </c>
      <c r="I6" s="65">
        <f>HLOOKUP($B6, Aero_SCR_Filtered!$G$5:$L$39, 34, FALSE)</f>
        <v>570</v>
      </c>
      <c r="J6" s="65">
        <f>HLOOKUP($B6, Aero_SCR_Filtered!$G$5:$L$39, 29, FALSE)</f>
        <v>100</v>
      </c>
      <c r="K6" s="65">
        <f>IF(HLOOKUP($B6, Aero_SCR_Filtered!$G$5:$L$39, 35, FALSE)="N/A", 0, HLOOKUP($B6, Aero_SCR_Filtered!$G$5:$L$39, 35, FALSE))</f>
        <v>0</v>
      </c>
      <c r="L6" s="65">
        <f>HLOOKUP($B6, Aero_SCR_Filtered!$G$5:$L$39, 12, FALSE)</f>
        <v>13.62439024390244</v>
      </c>
      <c r="M6" s="65">
        <f>HLOOKUP($B6, Aero_SCR_Filtered!$G$5:$L$39, 13, FALSE)</f>
        <v>3.5853658536585367</v>
      </c>
      <c r="N6" s="65">
        <f>HLOOKUP($B6, Aero_SCR_Filtered!$G$5:$L$39, 14, FALSE)</f>
        <v>213892.68292682926</v>
      </c>
      <c r="O6" s="65">
        <f>HLOOKUP($B6, Aero_SCR_Filtered!$G$5:$L$39, 16, FALSE)</f>
        <v>13.314103923647933</v>
      </c>
      <c r="P6" s="65">
        <f>HLOOKUP($B6, Aero_SCR_Filtered!$G$5:$L$39, 17, FALSE)</f>
        <v>3.503711558854719</v>
      </c>
      <c r="Q6" s="65">
        <f>HLOOKUP($B6, Aero_SCR_Filtered!$G$5:$L$39, 18, FALSE)</f>
        <v>209021.42099681866</v>
      </c>
      <c r="R6" s="65">
        <f>HLOOKUP($B6, Aero_SCR_Filtered!$G$5:$L$39, 20, FALSE)</f>
        <v>42.717073170731709</v>
      </c>
      <c r="S6" s="65">
        <f>HLOOKUP($B6, Aero_SCR_Filtered!$G$5:$L$39, 21, FALSE)</f>
        <v>2.6634146341463416</v>
      </c>
      <c r="T6" s="65">
        <f>HLOOKUP($B6, Aero_SCR_Filtered!$G$5:$L$39, 22, FALSE)</f>
        <v>285190.24390243902</v>
      </c>
      <c r="U6" s="65">
        <f>HLOOKUP($B6, Aero_SCR_Filtered!$G$5:$L$39, 24, FALSE)</f>
        <v>41.744220572640508</v>
      </c>
      <c r="V6" s="65">
        <f>HLOOKUP($B6, Aero_SCR_Filtered!$G$5:$L$39, 25, FALSE)</f>
        <v>2.6027571580063626</v>
      </c>
      <c r="W6" s="65">
        <f>HLOOKUP($B6, Aero_SCR_Filtered!$G$5:$L$39, 26, FALSE)</f>
        <v>278695.22799575824</v>
      </c>
      <c r="X6" s="65">
        <f>1-HLOOKUP($B6, Aero_SCR_Filtered!$G$5:$L$39, 30, FALSE)</f>
        <v>0.89969999999999994</v>
      </c>
    </row>
    <row r="7" spans="1:24" x14ac:dyDescent="0.2">
      <c r="A7" s="10" t="s">
        <v>29</v>
      </c>
      <c r="B7" s="46" t="s">
        <v>5</v>
      </c>
      <c r="C7" s="51">
        <f>HLOOKUP($B7, Aero_SCR_Filtered!$G$5:$L$39, 8, FALSE)</f>
        <v>9670</v>
      </c>
      <c r="D7" s="51">
        <f>HLOOKUP($B7, Aero_SCR_Filtered!$G$5:$L$39, 9, FALSE)</f>
        <v>9440</v>
      </c>
      <c r="E7" s="65">
        <f>HLOOKUP($B7, Aero_SCR_Filtered!$G$5:$L$39, 32, FALSE)</f>
        <v>10.09</v>
      </c>
      <c r="F7" s="65">
        <f>HLOOKUP($B7, Aero_SCR_Filtered!$G$5:$L$39, 33, FALSE)</f>
        <v>10.120000000000001</v>
      </c>
      <c r="G7" s="65">
        <f>HLOOKUP($B7, Aero_SCR_Filtered!$G$5:$L$39, 4, FALSE)</f>
        <v>166.7</v>
      </c>
      <c r="H7" s="65">
        <f>HLOOKUP($B7, Aero_SCR_Filtered!$G$5:$L$39, 5, FALSE)</f>
        <v>188.2</v>
      </c>
      <c r="I7" s="65">
        <f>HLOOKUP($B7, Aero_SCR_Filtered!$G$5:$L$39, 34, FALSE)</f>
        <v>570</v>
      </c>
      <c r="J7" s="65">
        <f>HLOOKUP($B7, Aero_SCR_Filtered!$G$5:$L$39, 29, FALSE)</f>
        <v>100</v>
      </c>
      <c r="K7" s="65">
        <f>IF(HLOOKUP($B7, Aero_SCR_Filtered!$G$5:$L$39, 35, FALSE)="N/A", 0, HLOOKUP($B7, Aero_SCR_Filtered!$G$5:$L$39, 35, FALSE))</f>
        <v>0</v>
      </c>
      <c r="L7" s="65">
        <f>HLOOKUP($B7, Aero_SCR_Filtered!$G$5:$L$39, 12, FALSE)</f>
        <v>13.638494167550371</v>
      </c>
      <c r="M7" s="65">
        <f>HLOOKUP($B7, Aero_SCR_Filtered!$G$5:$L$39, 13, FALSE)</f>
        <v>3.5890774125132556</v>
      </c>
      <c r="N7" s="65">
        <f>HLOOKUP($B7, Aero_SCR_Filtered!$G$5:$L$39, 14, FALSE)</f>
        <v>214114.10392364793</v>
      </c>
      <c r="O7" s="65">
        <f>HLOOKUP($B7, Aero_SCR_Filtered!$G$5:$L$39, 16, FALSE)</f>
        <v>13.314103923647933</v>
      </c>
      <c r="P7" s="65">
        <f>HLOOKUP($B7, Aero_SCR_Filtered!$G$5:$L$39, 17, FALSE)</f>
        <v>3.503711558854719</v>
      </c>
      <c r="Q7" s="65">
        <f>HLOOKUP($B7, Aero_SCR_Filtered!$G$5:$L$39, 18, FALSE)</f>
        <v>209021.42099681866</v>
      </c>
      <c r="R7" s="65">
        <f>HLOOKUP($B7, Aero_SCR_Filtered!$G$5:$L$39, 20, FALSE)</f>
        <v>42.761293743372214</v>
      </c>
      <c r="S7" s="65">
        <f>HLOOKUP($B7, Aero_SCR_Filtered!$G$5:$L$39, 21, FALSE)</f>
        <v>2.6661717921527042</v>
      </c>
      <c r="T7" s="65">
        <f>HLOOKUP($B7, Aero_SCR_Filtered!$G$5:$L$39, 22, FALSE)</f>
        <v>285485.47189819725</v>
      </c>
      <c r="U7" s="65">
        <f>HLOOKUP($B7, Aero_SCR_Filtered!$G$5:$L$39, 24, FALSE)</f>
        <v>41.744220572640508</v>
      </c>
      <c r="V7" s="65">
        <f>HLOOKUP($B7, Aero_SCR_Filtered!$G$5:$L$39, 25, FALSE)</f>
        <v>2.6027571580063626</v>
      </c>
      <c r="W7" s="65">
        <f>HLOOKUP($B7, Aero_SCR_Filtered!$G$5:$L$39, 26, FALSE)</f>
        <v>278695.22799575824</v>
      </c>
      <c r="X7" s="65">
        <f>1-HLOOKUP($B7, Aero_SCR_Filtered!$G$5:$L$39, 30, FALSE)</f>
        <v>0.89969999999999994</v>
      </c>
    </row>
    <row r="9" spans="1:24" x14ac:dyDescent="0.2">
      <c r="E9" s="67"/>
    </row>
    <row r="10" spans="1:24" x14ac:dyDescent="0.2">
      <c r="E10" s="67"/>
    </row>
    <row r="11" spans="1:24" x14ac:dyDescent="0.2">
      <c r="E11" s="67"/>
    </row>
    <row r="12" spans="1:24" x14ac:dyDescent="0.2">
      <c r="E12" s="67"/>
    </row>
    <row r="13" spans="1:24" x14ac:dyDescent="0.2">
      <c r="E13" s="67"/>
    </row>
    <row r="14" spans="1:24" x14ac:dyDescent="0.2">
      <c r="E14" s="67"/>
    </row>
  </sheetData>
  <pageMargins left="0.7" right="0.7" top="0.75" bottom="0.75" header="0.3" footer="0.3"/>
  <pageSetup scale="59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orkbookViewId="0"/>
  </sheetViews>
  <sheetFormatPr defaultRowHeight="12.75" x14ac:dyDescent="0.2"/>
  <cols>
    <col min="1" max="1" width="7" customWidth="1"/>
    <col min="2" max="2" width="18.83203125" bestFit="1" customWidth="1"/>
    <col min="3" max="3" width="16.83203125" bestFit="1" customWidth="1"/>
    <col min="4" max="4" width="16.5" bestFit="1" customWidth="1"/>
    <col min="5" max="5" width="16.33203125" bestFit="1" customWidth="1"/>
    <col min="6" max="6" width="16.83203125" bestFit="1" customWidth="1"/>
    <col min="7" max="7" width="18.33203125" bestFit="1" customWidth="1"/>
    <col min="8" max="8" width="18" bestFit="1" customWidth="1"/>
    <col min="9" max="9" width="18.83203125" bestFit="1" customWidth="1"/>
    <col min="10" max="10" width="24.1640625" bestFit="1" customWidth="1"/>
    <col min="11" max="11" width="23.1640625" bestFit="1" customWidth="1"/>
    <col min="12" max="12" width="22.83203125" bestFit="1" customWidth="1"/>
    <col min="13" max="13" width="22" bestFit="1" customWidth="1"/>
    <col min="14" max="14" width="22.1640625" bestFit="1" customWidth="1"/>
    <col min="15" max="15" width="22.5" bestFit="1" customWidth="1"/>
    <col min="16" max="16" width="21.6640625" bestFit="1" customWidth="1"/>
    <col min="17" max="17" width="21.83203125" bestFit="1" customWidth="1"/>
    <col min="18" max="18" width="23.33203125" bestFit="1" customWidth="1"/>
    <col min="19" max="19" width="22.5" bestFit="1" customWidth="1"/>
    <col min="20" max="20" width="22.6640625" bestFit="1" customWidth="1"/>
    <col min="21" max="21" width="23" bestFit="1" customWidth="1"/>
    <col min="22" max="22" width="22.1640625" bestFit="1" customWidth="1"/>
    <col min="23" max="23" width="22.33203125" bestFit="1" customWidth="1"/>
    <col min="24" max="24" width="14.5" bestFit="1" customWidth="1"/>
  </cols>
  <sheetData>
    <row r="1" spans="1:24" x14ac:dyDescent="0.2">
      <c r="A1" s="47" t="s">
        <v>35</v>
      </c>
      <c r="B1" s="47" t="s">
        <v>53</v>
      </c>
      <c r="C1" s="49" t="s">
        <v>93</v>
      </c>
      <c r="D1" s="49" t="s">
        <v>94</v>
      </c>
      <c r="E1" s="49" t="s">
        <v>95</v>
      </c>
      <c r="F1" s="49" t="s">
        <v>96</v>
      </c>
      <c r="G1" s="49" t="s">
        <v>191</v>
      </c>
      <c r="H1" s="49" t="s">
        <v>192</v>
      </c>
      <c r="I1" s="49" t="s">
        <v>208</v>
      </c>
      <c r="J1" s="49" t="s">
        <v>97</v>
      </c>
      <c r="K1" s="48" t="s">
        <v>203</v>
      </c>
      <c r="L1" s="49" t="s">
        <v>98</v>
      </c>
      <c r="M1" s="49" t="s">
        <v>99</v>
      </c>
      <c r="N1" s="49" t="s">
        <v>100</v>
      </c>
      <c r="O1" s="49" t="s">
        <v>101</v>
      </c>
      <c r="P1" s="49" t="s">
        <v>102</v>
      </c>
      <c r="Q1" s="49" t="s">
        <v>103</v>
      </c>
      <c r="R1" s="49" t="s">
        <v>104</v>
      </c>
      <c r="S1" s="49" t="s">
        <v>105</v>
      </c>
      <c r="T1" s="49" t="s">
        <v>106</v>
      </c>
      <c r="U1" s="49" t="s">
        <v>107</v>
      </c>
      <c r="V1" s="49" t="s">
        <v>108</v>
      </c>
      <c r="W1" s="49" t="s">
        <v>109</v>
      </c>
      <c r="X1" s="49" t="s">
        <v>110</v>
      </c>
    </row>
    <row r="2" spans="1:24" x14ac:dyDescent="0.2">
      <c r="A2" s="10" t="s">
        <v>32</v>
      </c>
      <c r="B2" s="46" t="s">
        <v>3</v>
      </c>
      <c r="C2" s="51">
        <f>HLOOKUP($B2, Aero_NoSCR_Filtered!$G$5:$M$39, 8, FALSE)</f>
        <v>9670</v>
      </c>
      <c r="D2" s="51">
        <f>HLOOKUP($B2, Aero_NoSCR_Filtered!$G$5:$M$39, 9, FALSE)</f>
        <v>9450</v>
      </c>
      <c r="E2" s="65">
        <f>HLOOKUP($B2, Aero_NoSCR_Filtered!$G$5:$M$39, 32, FALSE)</f>
        <v>8.91</v>
      </c>
      <c r="F2" s="65">
        <f>HLOOKUP($B2, Aero_NoSCR_Filtered!$G$5:$M$39, 33, FALSE)</f>
        <v>8.7800000000000011</v>
      </c>
      <c r="G2" s="65">
        <f>HLOOKUP($B2, Aero_NoSCR_Filtered!$G$5:$M$39, 4, FALSE)</f>
        <v>166.6</v>
      </c>
      <c r="H2" s="65">
        <f>HLOOKUP($B2, Aero_NoSCR_Filtered!$G$5:$M$39, 5, FALSE)</f>
        <v>188.2</v>
      </c>
      <c r="I2" s="65">
        <f>HLOOKUP($B2, Aero_NoSCR_Filtered!$G$5:$M$39, 34, FALSE)</f>
        <v>570</v>
      </c>
      <c r="J2" s="65">
        <f>HLOOKUP($B2, Aero_NoSCR_Filtered!$G$5:$M$39, 29, FALSE)</f>
        <v>100</v>
      </c>
      <c r="K2" s="65">
        <f>IF(HLOOKUP($B2, Aero_NoSCR_Filtered!$G$5:$M$39, 35, FALSE)="N/A", 0, HLOOKUP($B2, Aero_NoSCR_Filtered!$G$5:$M$39, 35, FALSE))</f>
        <v>0</v>
      </c>
      <c r="L2" s="65">
        <f>HLOOKUP($B2, Aero_NoSCR_Filtered!$G$5:$M$39, 12, FALSE)</f>
        <v>171.22675159235669</v>
      </c>
      <c r="M2" s="65">
        <f>HLOOKUP($B2, Aero_NoSCR_Filtered!$G$5:$M$39, 13, FALSE)</f>
        <v>3.5928874734607219</v>
      </c>
      <c r="N2" s="65">
        <f>HLOOKUP($B2, Aero_NoSCR_Filtered!$G$5:$M$39, 14, FALSE)</f>
        <v>214341.40127388536</v>
      </c>
      <c r="O2" s="65">
        <f>HLOOKUP($B2, Aero_NoSCR_Filtered!$G$5:$M$39, 16, FALSE)</f>
        <v>167.33121019108279</v>
      </c>
      <c r="P2" s="65">
        <f>HLOOKUP($B2, Aero_NoSCR_Filtered!$G$5:$M$39, 17, FALSE)</f>
        <v>3.5111464968152868</v>
      </c>
      <c r="Q2" s="65">
        <f>HLOOKUP($B2, Aero_NoSCR_Filtered!$G$5:$M$39, 18, FALSE)</f>
        <v>209464.96815286623</v>
      </c>
      <c r="R2" s="65">
        <f>HLOOKUP($B2, Aero_NoSCR_Filtered!$G$5:$M$39, 20, FALSE)</f>
        <v>285.37791932059446</v>
      </c>
      <c r="S2" s="65">
        <f>HLOOKUP($B2, Aero_NoSCR_Filtered!$G$5:$M$39, 21, FALSE)</f>
        <v>2.6690021231422505</v>
      </c>
      <c r="T2" s="65">
        <f>HLOOKUP($B2, Aero_NoSCR_Filtered!$G$5:$M$39, 22, FALSE)</f>
        <v>285788.53503184713</v>
      </c>
      <c r="U2" s="65">
        <f>HLOOKUP($B2, Aero_NoSCR_Filtered!$G$5:$M$39, 24, FALSE)</f>
        <v>278.88535031847135</v>
      </c>
      <c r="V2" s="65">
        <f>HLOOKUP($B2, Aero_NoSCR_Filtered!$G$5:$M$39, 25, FALSE)</f>
        <v>2.6082802547770703</v>
      </c>
      <c r="W2" s="65">
        <f>HLOOKUP($B2, Aero_NoSCR_Filtered!$G$5:$M$39, 26, FALSE)</f>
        <v>279286.62420382164</v>
      </c>
      <c r="X2" s="65">
        <f>1-HLOOKUP($B2, Aero_NoSCR_Filtered!$G$5:$M$39, 30, FALSE)</f>
        <v>0.89969999999999994</v>
      </c>
    </row>
    <row r="3" spans="1:24" x14ac:dyDescent="0.2">
      <c r="A3" s="10" t="s">
        <v>31</v>
      </c>
      <c r="B3" s="46" t="s">
        <v>28</v>
      </c>
      <c r="C3" s="51">
        <f>HLOOKUP($B3, Aero_NoSCR_Filtered!$G$5:$M$39, 8, FALSE)</f>
        <v>9670</v>
      </c>
      <c r="D3" s="51">
        <f>HLOOKUP($B3, Aero_NoSCR_Filtered!$G$5:$M$39, 9, FALSE)</f>
        <v>9460</v>
      </c>
      <c r="E3" s="65">
        <f>HLOOKUP($B3, Aero_NoSCR_Filtered!$G$5:$M$39, 32, FALSE)</f>
        <v>9.3600000000000012</v>
      </c>
      <c r="F3" s="65">
        <f>HLOOKUP($B3, Aero_NoSCR_Filtered!$G$5:$M$39, 33, FALSE)</f>
        <v>9.2000000000000011</v>
      </c>
      <c r="G3" s="65">
        <f>HLOOKUP($B3, Aero_NoSCR_Filtered!$G$5:$M$39, 4, FALSE)</f>
        <v>166.5</v>
      </c>
      <c r="H3" s="65">
        <f>HLOOKUP($B3, Aero_NoSCR_Filtered!$G$5:$M$39, 5, FALSE)</f>
        <v>188.2</v>
      </c>
      <c r="I3" s="65">
        <f>HLOOKUP($B3, Aero_NoSCR_Filtered!$G$5:$M$39, 34, FALSE)</f>
        <v>570</v>
      </c>
      <c r="J3" s="65">
        <f>HLOOKUP($B3, Aero_NoSCR_Filtered!$G$5:$M$39, 29, FALSE)</f>
        <v>100</v>
      </c>
      <c r="K3" s="65">
        <f>IF(HLOOKUP($B3, Aero_NoSCR_Filtered!$G$5:$M$39, 35, FALSE)="N/A", 0, HLOOKUP($B3, Aero_NoSCR_Filtered!$G$5:$M$39, 35, FALSE))</f>
        <v>0</v>
      </c>
      <c r="L3" s="65">
        <f>HLOOKUP($B3, Aero_NoSCR_Filtered!$G$5:$M$39, 12, FALSE)</f>
        <v>171.22675159235669</v>
      </c>
      <c r="M3" s="65">
        <f>HLOOKUP($B3, Aero_NoSCR_Filtered!$G$5:$M$39, 13, FALSE)</f>
        <v>3.5928874734607219</v>
      </c>
      <c r="N3" s="65">
        <f>HLOOKUP($B3, Aero_NoSCR_Filtered!$G$5:$M$39, 14, FALSE)</f>
        <v>214341.40127388536</v>
      </c>
      <c r="O3" s="65">
        <f>HLOOKUP($B3, Aero_NoSCR_Filtered!$G$5:$M$39, 16, FALSE)</f>
        <v>167.50828025477708</v>
      </c>
      <c r="P3" s="65">
        <f>HLOOKUP($B3, Aero_NoSCR_Filtered!$G$5:$M$39, 17, FALSE)</f>
        <v>3.5148619957537157</v>
      </c>
      <c r="Q3" s="65">
        <f>HLOOKUP($B3, Aero_NoSCR_Filtered!$G$5:$M$39, 18, FALSE)</f>
        <v>209686.62420382164</v>
      </c>
      <c r="R3" s="65">
        <f>HLOOKUP($B3, Aero_NoSCR_Filtered!$G$5:$M$39, 20, FALSE)</f>
        <v>285.37791932059446</v>
      </c>
      <c r="S3" s="65">
        <f>HLOOKUP($B3, Aero_NoSCR_Filtered!$G$5:$M$39, 21, FALSE)</f>
        <v>2.6690021231422505</v>
      </c>
      <c r="T3" s="65">
        <f>HLOOKUP($B3, Aero_NoSCR_Filtered!$G$5:$M$39, 22, FALSE)</f>
        <v>285788.53503184713</v>
      </c>
      <c r="U3" s="65">
        <f>HLOOKUP($B3, Aero_NoSCR_Filtered!$G$5:$M$39, 24, FALSE)</f>
        <v>279.1804670912951</v>
      </c>
      <c r="V3" s="65">
        <f>HLOOKUP($B3, Aero_NoSCR_Filtered!$G$5:$M$39, 25, FALSE)</f>
        <v>2.6110403397027602</v>
      </c>
      <c r="W3" s="65">
        <f>HLOOKUP($B3, Aero_NoSCR_Filtered!$G$5:$M$39, 26, FALSE)</f>
        <v>279582.16560509556</v>
      </c>
      <c r="X3" s="65">
        <f>1-HLOOKUP($B3, Aero_NoSCR_Filtered!$G$5:$M$39, 30, FALSE)</f>
        <v>0.89969999999999994</v>
      </c>
    </row>
    <row r="4" spans="1:24" x14ac:dyDescent="0.2">
      <c r="A4" s="10" t="s">
        <v>54</v>
      </c>
      <c r="B4" s="46" t="s">
        <v>20</v>
      </c>
      <c r="C4" s="51">
        <f>HLOOKUP($B4, Aero_NoSCR_Filtered!$G$5:$M$39, 8, FALSE)</f>
        <v>9670</v>
      </c>
      <c r="D4" s="51">
        <f>HLOOKUP($B4, Aero_NoSCR_Filtered!$G$5:$M$39, 9, FALSE)</f>
        <v>9440</v>
      </c>
      <c r="E4" s="65">
        <f>HLOOKUP($B4, Aero_NoSCR_Filtered!$G$5:$M$39, 32, FALSE)</f>
        <v>9.0400000000000009</v>
      </c>
      <c r="F4" s="65">
        <f>HLOOKUP($B4, Aero_NoSCR_Filtered!$G$5:$M$39, 33, FALSE)</f>
        <v>8.92</v>
      </c>
      <c r="G4" s="65">
        <f>HLOOKUP($B4, Aero_NoSCR_Filtered!$G$5:$M$39, 4, FALSE)</f>
        <v>166.5</v>
      </c>
      <c r="H4" s="65">
        <f>HLOOKUP($B4, Aero_NoSCR_Filtered!$G$5:$M$39, 5, FALSE)</f>
        <v>188.2</v>
      </c>
      <c r="I4" s="65">
        <f>HLOOKUP($B4, Aero_NoSCR_Filtered!$G$5:$M$39, 34, FALSE)</f>
        <v>570</v>
      </c>
      <c r="J4" s="65">
        <f>HLOOKUP($B4, Aero_NoSCR_Filtered!$G$5:$M$39, 29, FALSE)</f>
        <v>100</v>
      </c>
      <c r="K4" s="65">
        <f>IF(HLOOKUP($B4, Aero_NoSCR_Filtered!$G$5:$M$39, 35, FALSE)="N/A", 0, HLOOKUP($B4, Aero_NoSCR_Filtered!$G$5:$M$39, 35, FALSE))</f>
        <v>0</v>
      </c>
      <c r="L4" s="65">
        <f>HLOOKUP($B4, Aero_NoSCR_Filtered!$G$5:$M$39, 12, FALSE)</f>
        <v>171.04517497348886</v>
      </c>
      <c r="M4" s="65">
        <f>HLOOKUP($B4, Aero_NoSCR_Filtered!$G$5:$M$39, 13, FALSE)</f>
        <v>3.5890774125132556</v>
      </c>
      <c r="N4" s="65">
        <f>HLOOKUP($B4, Aero_NoSCR_Filtered!$G$5:$M$39, 14, FALSE)</f>
        <v>214114.10392364793</v>
      </c>
      <c r="O4" s="65">
        <f>HLOOKUP($B4, Aero_NoSCR_Filtered!$G$5:$M$39, 16, FALSE)</f>
        <v>166.97688229056203</v>
      </c>
      <c r="P4" s="65">
        <f>HLOOKUP($B4, Aero_NoSCR_Filtered!$G$5:$M$39, 17, FALSE)</f>
        <v>3.503711558854719</v>
      </c>
      <c r="Q4" s="65">
        <f>HLOOKUP($B4, Aero_NoSCR_Filtered!$G$5:$M$39, 18, FALSE)</f>
        <v>209021.42099681866</v>
      </c>
      <c r="R4" s="65">
        <f>HLOOKUP($B4, Aero_NoSCR_Filtered!$G$5:$M$39, 20, FALSE)</f>
        <v>285.07529162248142</v>
      </c>
      <c r="S4" s="65">
        <f>HLOOKUP($B4, Aero_NoSCR_Filtered!$G$5:$M$39, 21, FALSE)</f>
        <v>2.6661717921527042</v>
      </c>
      <c r="T4" s="65">
        <f>HLOOKUP($B4, Aero_NoSCR_Filtered!$G$5:$M$39, 22, FALSE)</f>
        <v>285485.47189819725</v>
      </c>
      <c r="U4" s="65">
        <f>HLOOKUP($B4, Aero_NoSCR_Filtered!$G$5:$M$39, 24, FALSE)</f>
        <v>278.29480381760339</v>
      </c>
      <c r="V4" s="65">
        <f>HLOOKUP($B4, Aero_NoSCR_Filtered!$G$5:$M$39, 25, FALSE)</f>
        <v>2.6027571580063626</v>
      </c>
      <c r="W4" s="65">
        <f>HLOOKUP($B4, Aero_NoSCR_Filtered!$G$5:$M$39, 26, FALSE)</f>
        <v>278695.22799575824</v>
      </c>
      <c r="X4" s="65">
        <f>1-HLOOKUP($B4, Aero_NoSCR_Filtered!$G$5:$M$39, 30, FALSE)</f>
        <v>0.89969999999999994</v>
      </c>
    </row>
    <row r="5" spans="1:24" x14ac:dyDescent="0.2">
      <c r="A5" s="10" t="s">
        <v>36</v>
      </c>
      <c r="B5" s="46" t="s">
        <v>21</v>
      </c>
      <c r="C5" s="51">
        <f>HLOOKUP($B5, Aero_NoSCR_Filtered!$G$5:$M$39, 8, FALSE)</f>
        <v>9670</v>
      </c>
      <c r="D5" s="51">
        <f>HLOOKUP($B5, Aero_NoSCR_Filtered!$G$5:$M$39, 9, FALSE)</f>
        <v>9440</v>
      </c>
      <c r="E5" s="65">
        <f>HLOOKUP($B5, Aero_NoSCR_Filtered!$G$5:$M$39, 32, FALSE)</f>
        <v>9.0400000000000009</v>
      </c>
      <c r="F5" s="65">
        <f>HLOOKUP($B5, Aero_NoSCR_Filtered!$G$5:$M$39, 33, FALSE)</f>
        <v>8.92</v>
      </c>
      <c r="G5" s="65">
        <f>HLOOKUP($B5, Aero_NoSCR_Filtered!$G$5:$M$39, 4, FALSE)</f>
        <v>166.5</v>
      </c>
      <c r="H5" s="65">
        <f>HLOOKUP($B5, Aero_NoSCR_Filtered!$G$5:$M$39, 5, FALSE)</f>
        <v>188.2</v>
      </c>
      <c r="I5" s="65">
        <f>HLOOKUP($B5, Aero_NoSCR_Filtered!$G$5:$M$39, 34, FALSE)</f>
        <v>570</v>
      </c>
      <c r="J5" s="65">
        <f>HLOOKUP($B5, Aero_NoSCR_Filtered!$G$5:$M$39, 29, FALSE)</f>
        <v>100</v>
      </c>
      <c r="K5" s="65">
        <f>IF(HLOOKUP($B5, Aero_NoSCR_Filtered!$G$5:$M$39, 35, FALSE)="N/A", 0, HLOOKUP($B5, Aero_NoSCR_Filtered!$G$5:$M$39, 35, FALSE))</f>
        <v>0</v>
      </c>
      <c r="L5" s="65">
        <f>HLOOKUP($B5, Aero_NoSCR_Filtered!$G$5:$M$39, 12, FALSE)</f>
        <v>171.04517497348886</v>
      </c>
      <c r="M5" s="65">
        <f>HLOOKUP($B5, Aero_NoSCR_Filtered!$G$5:$M$39, 13, FALSE)</f>
        <v>3.5890774125132556</v>
      </c>
      <c r="N5" s="65">
        <f>HLOOKUP($B5, Aero_NoSCR_Filtered!$G$5:$M$39, 14, FALSE)</f>
        <v>214114.10392364793</v>
      </c>
      <c r="O5" s="65">
        <f>HLOOKUP($B5, Aero_NoSCR_Filtered!$G$5:$M$39, 16, FALSE)</f>
        <v>166.97688229056203</v>
      </c>
      <c r="P5" s="65">
        <f>HLOOKUP($B5, Aero_NoSCR_Filtered!$G$5:$M$39, 17, FALSE)</f>
        <v>3.503711558854719</v>
      </c>
      <c r="Q5" s="65">
        <f>HLOOKUP($B5, Aero_NoSCR_Filtered!$G$5:$M$39, 18, FALSE)</f>
        <v>209021.42099681866</v>
      </c>
      <c r="R5" s="65">
        <f>HLOOKUP($B5, Aero_NoSCR_Filtered!$G$5:$M$39, 20, FALSE)</f>
        <v>285.07529162248142</v>
      </c>
      <c r="S5" s="65">
        <f>HLOOKUP($B5, Aero_NoSCR_Filtered!$G$5:$M$39, 21, FALSE)</f>
        <v>2.6661717921527042</v>
      </c>
      <c r="T5" s="65">
        <f>HLOOKUP($B5, Aero_NoSCR_Filtered!$G$5:$M$39, 22, FALSE)</f>
        <v>285485.47189819725</v>
      </c>
      <c r="U5" s="65">
        <f>HLOOKUP($B5, Aero_NoSCR_Filtered!$G$5:$M$39, 24, FALSE)</f>
        <v>278.29480381760339</v>
      </c>
      <c r="V5" s="65">
        <f>HLOOKUP($B5, Aero_NoSCR_Filtered!$G$5:$M$39, 25, FALSE)</f>
        <v>2.6027571580063626</v>
      </c>
      <c r="W5" s="65">
        <f>HLOOKUP($B5, Aero_NoSCR_Filtered!$G$5:$M$39, 26, FALSE)</f>
        <v>278695.22799575824</v>
      </c>
      <c r="X5" s="65">
        <f>1-HLOOKUP($B5, Aero_NoSCR_Filtered!$G$5:$M$39, 30, FALSE)</f>
        <v>0.89969999999999994</v>
      </c>
    </row>
    <row r="6" spans="1:24" x14ac:dyDescent="0.2">
      <c r="A6" s="10" t="s">
        <v>30</v>
      </c>
      <c r="B6" s="46" t="s">
        <v>4</v>
      </c>
      <c r="C6" s="51">
        <f>HLOOKUP($B6, Aero_NoSCR_Filtered!$G$5:$M$39, 8, FALSE)</f>
        <v>9660</v>
      </c>
      <c r="D6" s="51">
        <f>HLOOKUP($B6, Aero_NoSCR_Filtered!$G$5:$M$39, 9, FALSE)</f>
        <v>9440</v>
      </c>
      <c r="E6" s="65">
        <f>HLOOKUP($B6, Aero_NoSCR_Filtered!$G$5:$M$39, 32, FALSE)</f>
        <v>9.14</v>
      </c>
      <c r="F6" s="65">
        <f>HLOOKUP($B6, Aero_NoSCR_Filtered!$G$5:$M$39, 33, FALSE)</f>
        <v>9.02</v>
      </c>
      <c r="G6" s="65">
        <f>HLOOKUP($B6, Aero_NoSCR_Filtered!$G$5:$M$39, 4, FALSE)</f>
        <v>166.7</v>
      </c>
      <c r="H6" s="65">
        <f>HLOOKUP($B6, Aero_NoSCR_Filtered!$G$5:$M$39, 5, FALSE)</f>
        <v>188.2</v>
      </c>
      <c r="I6" s="65">
        <f>HLOOKUP($B6, Aero_NoSCR_Filtered!$G$5:$M$39, 34, FALSE)</f>
        <v>570</v>
      </c>
      <c r="J6" s="65">
        <f>HLOOKUP($B6, Aero_NoSCR_Filtered!$G$5:$M$39, 29, FALSE)</f>
        <v>100</v>
      </c>
      <c r="K6" s="65">
        <f>IF(HLOOKUP($B6, Aero_NoSCR_Filtered!$G$5:$M$39, 35, FALSE)="N/A", 0, HLOOKUP($B6, Aero_NoSCR_Filtered!$G$5:$M$39, 35, FALSE))</f>
        <v>0</v>
      </c>
      <c r="L6" s="65">
        <f>HLOOKUP($B6, Aero_NoSCR_Filtered!$G$5:$M$39, 12, FALSE)</f>
        <v>170.86829268292684</v>
      </c>
      <c r="M6" s="65">
        <f>HLOOKUP($B6, Aero_NoSCR_Filtered!$G$5:$M$39, 13, FALSE)</f>
        <v>3.5853658536585367</v>
      </c>
      <c r="N6" s="65">
        <f>HLOOKUP($B6, Aero_NoSCR_Filtered!$G$5:$M$39, 14, FALSE)</f>
        <v>213892.68292682926</v>
      </c>
      <c r="O6" s="65">
        <f>HLOOKUP($B6, Aero_NoSCR_Filtered!$G$5:$M$39, 16, FALSE)</f>
        <v>166.97688229056203</v>
      </c>
      <c r="P6" s="65">
        <f>HLOOKUP($B6, Aero_NoSCR_Filtered!$G$5:$M$39, 17, FALSE)</f>
        <v>3.503711558854719</v>
      </c>
      <c r="Q6" s="65">
        <f>HLOOKUP($B6, Aero_NoSCR_Filtered!$G$5:$M$39, 18, FALSE)</f>
        <v>209021.42099681866</v>
      </c>
      <c r="R6" s="65">
        <f>HLOOKUP($B6, Aero_NoSCR_Filtered!$G$5:$M$39, 20, FALSE)</f>
        <v>284.78048780487802</v>
      </c>
      <c r="S6" s="65">
        <f>HLOOKUP($B6, Aero_NoSCR_Filtered!$G$5:$M$39, 21, FALSE)</f>
        <v>2.6634146341463416</v>
      </c>
      <c r="T6" s="65">
        <f>HLOOKUP($B6, Aero_NoSCR_Filtered!$G$5:$M$39, 22, FALSE)</f>
        <v>285190.24390243902</v>
      </c>
      <c r="U6" s="65">
        <f>HLOOKUP($B6, Aero_NoSCR_Filtered!$G$5:$M$39, 24, FALSE)</f>
        <v>278.29480381760339</v>
      </c>
      <c r="V6" s="65">
        <f>HLOOKUP($B6, Aero_NoSCR_Filtered!$G$5:$M$39, 25, FALSE)</f>
        <v>2.6027571580063626</v>
      </c>
      <c r="W6" s="65">
        <f>HLOOKUP($B6, Aero_NoSCR_Filtered!$G$5:$M$39, 26, FALSE)</f>
        <v>278695.22799575824</v>
      </c>
      <c r="X6" s="65">
        <f>1-HLOOKUP($B6, Aero_NoSCR_Filtered!$G$5:$M$39, 30, FALSE)</f>
        <v>0.89969999999999994</v>
      </c>
    </row>
    <row r="7" spans="1:24" x14ac:dyDescent="0.2">
      <c r="A7" s="10" t="s">
        <v>29</v>
      </c>
      <c r="B7" s="46" t="s">
        <v>5</v>
      </c>
      <c r="C7" s="51">
        <f>HLOOKUP($B7, Aero_NoSCR_Filtered!$G$5:$M$39, 8, FALSE)</f>
        <v>9670</v>
      </c>
      <c r="D7" s="51">
        <f>HLOOKUP($B7, Aero_NoSCR_Filtered!$G$5:$M$39, 9, FALSE)</f>
        <v>9440</v>
      </c>
      <c r="E7" s="65">
        <f>HLOOKUP($B7, Aero_NoSCR_Filtered!$G$5:$M$39, 32, FALSE)</f>
        <v>9.27</v>
      </c>
      <c r="F7" s="65">
        <f>HLOOKUP($B7, Aero_NoSCR_Filtered!$G$5:$M$39, 33, FALSE)</f>
        <v>9.120000000000001</v>
      </c>
      <c r="G7" s="65">
        <f>HLOOKUP($B7, Aero_NoSCR_Filtered!$G$5:$M$39, 4, FALSE)</f>
        <v>166.7</v>
      </c>
      <c r="H7" s="65">
        <f>HLOOKUP($B7, Aero_NoSCR_Filtered!$G$5:$M$39, 5, FALSE)</f>
        <v>188.2</v>
      </c>
      <c r="I7" s="65">
        <f>HLOOKUP($B7, Aero_NoSCR_Filtered!$G$5:$M$39, 34, FALSE)</f>
        <v>570</v>
      </c>
      <c r="J7" s="65">
        <f>HLOOKUP($B7, Aero_NoSCR_Filtered!$G$5:$M$39, 29, FALSE)</f>
        <v>100</v>
      </c>
      <c r="K7" s="65">
        <f>IF(HLOOKUP($B7, Aero_NoSCR_Filtered!$G$5:$M$39, 35, FALSE)="N/A", 0, HLOOKUP($B7, Aero_NoSCR_Filtered!$G$5:$M$39, 35, FALSE))</f>
        <v>0</v>
      </c>
      <c r="L7" s="65">
        <f>HLOOKUP($B7, Aero_NoSCR_Filtered!$G$5:$M$39, 12, FALSE)</f>
        <v>171.04517497348886</v>
      </c>
      <c r="M7" s="65">
        <f>HLOOKUP($B7, Aero_NoSCR_Filtered!$G$5:$M$39, 13, FALSE)</f>
        <v>3.5890774125132556</v>
      </c>
      <c r="N7" s="65">
        <f>HLOOKUP($B7, Aero_NoSCR_Filtered!$G$5:$M$39, 14, FALSE)</f>
        <v>214114.10392364793</v>
      </c>
      <c r="O7" s="65">
        <f>HLOOKUP($B7, Aero_NoSCR_Filtered!$G$5:$M$39, 16, FALSE)</f>
        <v>166.97688229056203</v>
      </c>
      <c r="P7" s="65">
        <f>HLOOKUP($B7, Aero_NoSCR_Filtered!$G$5:$M$39, 17, FALSE)</f>
        <v>3.503711558854719</v>
      </c>
      <c r="Q7" s="65">
        <f>HLOOKUP($B7, Aero_NoSCR_Filtered!$G$5:$M$39, 18, FALSE)</f>
        <v>209021.42099681866</v>
      </c>
      <c r="R7" s="65">
        <f>HLOOKUP($B7, Aero_NoSCR_Filtered!$G$5:$M$39, 20, FALSE)</f>
        <v>285.07529162248142</v>
      </c>
      <c r="S7" s="65">
        <f>HLOOKUP($B7, Aero_NoSCR_Filtered!$G$5:$M$39, 21, FALSE)</f>
        <v>2.6661717921527042</v>
      </c>
      <c r="T7" s="65">
        <f>HLOOKUP($B7, Aero_NoSCR_Filtered!$G$5:$M$39, 22, FALSE)</f>
        <v>285485.47189819725</v>
      </c>
      <c r="U7" s="65">
        <f>HLOOKUP($B7, Aero_NoSCR_Filtered!$G$5:$M$39, 24, FALSE)</f>
        <v>278.29480381760339</v>
      </c>
      <c r="V7" s="65">
        <f>HLOOKUP($B7, Aero_NoSCR_Filtered!$G$5:$M$39, 25, FALSE)</f>
        <v>2.6027571580063626</v>
      </c>
      <c r="W7" s="65">
        <f>HLOOKUP($B7, Aero_NoSCR_Filtered!$G$5:$M$39, 26, FALSE)</f>
        <v>278695.22799575824</v>
      </c>
      <c r="X7" s="65">
        <f>1-HLOOKUP($B7, Aero_NoSCR_Filtered!$G$5:$M$39, 30, FALSE)</f>
        <v>0.89969999999999994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7"/>
  <sheetViews>
    <sheetView workbookViewId="0"/>
  </sheetViews>
  <sheetFormatPr defaultRowHeight="12.75" x14ac:dyDescent="0.2"/>
  <cols>
    <col min="1" max="1" width="9.33203125" style="10"/>
    <col min="2" max="2" width="22.6640625" style="10" customWidth="1"/>
    <col min="3" max="3" width="15.5" style="10" bestFit="1" customWidth="1"/>
    <col min="4" max="4" width="15.1640625" style="10" bestFit="1" customWidth="1"/>
    <col min="5" max="5" width="15" style="10" bestFit="1" customWidth="1"/>
    <col min="6" max="6" width="15.5" style="10" bestFit="1" customWidth="1"/>
    <col min="7" max="7" width="17.6640625" style="10" bestFit="1" customWidth="1"/>
    <col min="8" max="8" width="17.1640625" style="10" bestFit="1" customWidth="1"/>
    <col min="9" max="9" width="22.83203125" style="10" bestFit="1" customWidth="1"/>
    <col min="10" max="10" width="22.6640625" style="10" bestFit="1" customWidth="1"/>
    <col min="11" max="11" width="21.33203125" style="10" bestFit="1" customWidth="1"/>
    <col min="12" max="12" width="20.5" style="10" bestFit="1" customWidth="1"/>
    <col min="13" max="13" width="20.6640625" style="10" bestFit="1" customWidth="1"/>
    <col min="14" max="14" width="21" style="10" bestFit="1" customWidth="1"/>
    <col min="15" max="15" width="20.1640625" style="10" bestFit="1" customWidth="1"/>
    <col min="16" max="16" width="20.33203125" style="10" bestFit="1" customWidth="1"/>
    <col min="17" max="17" width="20.83203125" style="10" bestFit="1" customWidth="1"/>
    <col min="18" max="18" width="22" style="10" bestFit="1" customWidth="1"/>
    <col min="19" max="19" width="21.1640625" style="10" bestFit="1" customWidth="1"/>
    <col min="20" max="20" width="21" style="10" bestFit="1" customWidth="1"/>
    <col min="21" max="21" width="20.6640625" style="10" bestFit="1" customWidth="1"/>
    <col min="22" max="22" width="21.6640625" style="10" bestFit="1" customWidth="1"/>
    <col min="23" max="23" width="21" style="10" bestFit="1" customWidth="1"/>
    <col min="24" max="16384" width="9.33203125" style="10"/>
  </cols>
  <sheetData>
    <row r="1" spans="1:23" x14ac:dyDescent="0.2">
      <c r="A1" s="47" t="s">
        <v>35</v>
      </c>
      <c r="B1" s="47" t="s">
        <v>53</v>
      </c>
      <c r="C1" s="49" t="s">
        <v>37</v>
      </c>
      <c r="D1" s="49" t="s">
        <v>38</v>
      </c>
      <c r="E1" s="49" t="s">
        <v>39</v>
      </c>
      <c r="F1" s="49" t="s">
        <v>40</v>
      </c>
      <c r="G1" s="49" t="s">
        <v>193</v>
      </c>
      <c r="H1" s="49" t="s">
        <v>194</v>
      </c>
      <c r="I1" s="49" t="s">
        <v>33</v>
      </c>
      <c r="J1" s="48" t="s">
        <v>204</v>
      </c>
      <c r="K1" s="49" t="s">
        <v>41</v>
      </c>
      <c r="L1" s="49" t="s">
        <v>42</v>
      </c>
      <c r="M1" s="49" t="s">
        <v>43</v>
      </c>
      <c r="N1" s="49" t="s">
        <v>44</v>
      </c>
      <c r="O1" s="49" t="s">
        <v>45</v>
      </c>
      <c r="P1" s="49" t="s">
        <v>46</v>
      </c>
      <c r="Q1" s="49" t="s">
        <v>47</v>
      </c>
      <c r="R1" s="49" t="s">
        <v>48</v>
      </c>
      <c r="S1" s="49" t="s">
        <v>49</v>
      </c>
      <c r="T1" s="49" t="s">
        <v>50</v>
      </c>
      <c r="U1" s="49" t="s">
        <v>51</v>
      </c>
      <c r="V1" s="49" t="s">
        <v>52</v>
      </c>
      <c r="W1" s="49" t="s">
        <v>34</v>
      </c>
    </row>
    <row r="2" spans="1:23" x14ac:dyDescent="0.2">
      <c r="A2" s="10" t="s">
        <v>32</v>
      </c>
      <c r="B2" s="46" t="s">
        <v>3</v>
      </c>
      <c r="C2" s="51">
        <f>HLOOKUP($B2, 'F-Class_SCR_Filtered'!$G$5:$L$38, 8, FALSE)</f>
        <v>10200</v>
      </c>
      <c r="D2" s="51">
        <f>HLOOKUP($B2, 'F-Class_SCR_Filtered'!$G$5:$L$38, 9, FALSE)</f>
        <v>9890</v>
      </c>
      <c r="E2" s="65">
        <f>HLOOKUP($B2, 'F-Class_SCR_Filtered'!$G$5:$L$38, 32, FALSE)</f>
        <v>1.52</v>
      </c>
      <c r="F2" s="65">
        <f>HLOOKUP($B2, 'F-Class_SCR_Filtered'!$G$5:$L$38, 33, FALSE)</f>
        <v>8.8299999999999983</v>
      </c>
      <c r="G2" s="65">
        <f>HLOOKUP($B2, 'F-Class_SCR_Filtered'!$G$5:$L$38, 4, FALSE)</f>
        <v>218</v>
      </c>
      <c r="H2" s="65">
        <f>HLOOKUP($B2, 'F-Class_SCR_Filtered'!$G$5:$L$38, 5, FALSE)</f>
        <v>227.2</v>
      </c>
      <c r="I2" s="65">
        <f>HLOOKUP($B2, 'F-Class_SCR_Filtered'!$G$5:$L$38, 29, FALSE)</f>
        <v>325</v>
      </c>
      <c r="J2" s="65">
        <f>HLOOKUP($B2, 'F-Class_SCR_Filtered'!$G$5:$L$38, 34, FALSE)</f>
        <v>9500</v>
      </c>
      <c r="K2" s="65">
        <f>HLOOKUP($B2, 'F-Class_SCR_Filtered'!$G$5:$L$38, 12, FALSE)</f>
        <v>17.870078740157481</v>
      </c>
      <c r="L2" s="65">
        <f>HLOOKUP($B2, 'F-Class_SCR_Filtered'!$G$5:$L$38, 13, FALSE)</f>
        <v>4.6181102362204722</v>
      </c>
      <c r="M2" s="65">
        <f>HLOOKUP($B2, 'F-Class_SCR_Filtered'!$G$5:$L$38, 14, FALSE)</f>
        <v>277086.61417322833</v>
      </c>
      <c r="N2" s="65">
        <f>HLOOKUP($B2, 'F-Class_SCR_Filtered'!$G$5:$L$38, 16, FALSE)</f>
        <v>17.326968503937007</v>
      </c>
      <c r="O2" s="65">
        <f>HLOOKUP($B2, 'F-Class_SCR_Filtered'!$G$5:$L$38, 17, FALSE)</f>
        <v>4.4777559055118115</v>
      </c>
      <c r="P2" s="65">
        <f>HLOOKUP($B2, 'F-Class_SCR_Filtered'!$G$5:$L$38, 18, FALSE)</f>
        <v>268665.35433070868</v>
      </c>
      <c r="Q2" s="65">
        <f>HLOOKUP($B2, 'F-Class_SCR_Filtered'!$G$5:$L$38, 20, FALSE)</f>
        <v>64.753937007874015</v>
      </c>
      <c r="R2" s="65">
        <f>HLOOKUP($B2, 'F-Class_SCR_Filtered'!$G$5:$L$38, 21, FALSE)</f>
        <v>3.5137795275590551</v>
      </c>
      <c r="S2" s="65">
        <f>HLOOKUP($B2, 'F-Class_SCR_Filtered'!$G$5:$L$38, 22, FALSE)</f>
        <v>369448.81889763777</v>
      </c>
      <c r="T2" s="65">
        <f>HLOOKUP($B2, 'F-Class_SCR_Filtered'!$G$5:$L$38, 24, FALSE)</f>
        <v>62.785925196850393</v>
      </c>
      <c r="U2" s="65">
        <f>HLOOKUP($B2, 'F-Class_SCR_Filtered'!$G$5:$L$38, 25, FALSE)</f>
        <v>3.4069881889763778</v>
      </c>
      <c r="V2" s="65">
        <f>HLOOKUP($B2, 'F-Class_SCR_Filtered'!$G$5:$L$38, 26, FALSE)</f>
        <v>358220.47244094487</v>
      </c>
      <c r="W2" s="65">
        <f>1-HLOOKUP($B2, 'F-Class_SCR_Filtered'!$G$5:$L$38, 30, FALSE)</f>
        <v>0.95660000000000001</v>
      </c>
    </row>
    <row r="3" spans="1:23" x14ac:dyDescent="0.2">
      <c r="A3" s="10" t="s">
        <v>31</v>
      </c>
      <c r="B3" s="46" t="s">
        <v>28</v>
      </c>
      <c r="C3" s="51">
        <f>HLOOKUP($B3, 'F-Class_SCR_Filtered'!$G$5:$L$38, 8, FALSE)</f>
        <v>10210</v>
      </c>
      <c r="D3" s="51">
        <f>HLOOKUP($B3, 'F-Class_SCR_Filtered'!$G$5:$L$38, 9, FALSE)</f>
        <v>9900</v>
      </c>
      <c r="E3" s="65">
        <f>HLOOKUP($B3, 'F-Class_SCR_Filtered'!$G$5:$L$38, 32, FALSE)</f>
        <v>1.54</v>
      </c>
      <c r="F3" s="65">
        <f>HLOOKUP($B3, 'F-Class_SCR_Filtered'!$G$5:$L$38, 33, FALSE)</f>
        <v>9.2099999999999991</v>
      </c>
      <c r="G3" s="65">
        <f>HLOOKUP($B3, 'F-Class_SCR_Filtered'!$G$5:$L$38, 4, FALSE)</f>
        <v>217.8</v>
      </c>
      <c r="H3" s="65">
        <f>HLOOKUP($B3, 'F-Class_SCR_Filtered'!$G$5:$L$38, 5, FALSE)</f>
        <v>226.9</v>
      </c>
      <c r="I3" s="65">
        <f>HLOOKUP($B3, 'F-Class_SCR_Filtered'!$G$5:$L$38, 29, FALSE)</f>
        <v>325</v>
      </c>
      <c r="J3" s="65">
        <f>HLOOKUP($B3, 'F-Class_SCR_Filtered'!$G$5:$L$38, 34, FALSE)</f>
        <v>9500</v>
      </c>
      <c r="K3" s="65">
        <f>HLOOKUP($B3, 'F-Class_SCR_Filtered'!$G$5:$L$38, 12, FALSE)</f>
        <v>17.887598425196849</v>
      </c>
      <c r="L3" s="65">
        <f>HLOOKUP($B3, 'F-Class_SCR_Filtered'!$G$5:$L$38, 13, FALSE)</f>
        <v>4.6226377952755904</v>
      </c>
      <c r="M3" s="65">
        <f>HLOOKUP($B3, 'F-Class_SCR_Filtered'!$G$5:$L$38, 14, FALSE)</f>
        <v>277358.26771653543</v>
      </c>
      <c r="N3" s="65">
        <f>HLOOKUP($B3, 'F-Class_SCR_Filtered'!$G$5:$L$38, 16, FALSE)</f>
        <v>17.344488188976378</v>
      </c>
      <c r="O3" s="65">
        <f>HLOOKUP($B3, 'F-Class_SCR_Filtered'!$G$5:$L$38, 17, FALSE)</f>
        <v>4.4822834645669287</v>
      </c>
      <c r="P3" s="65">
        <f>HLOOKUP($B3, 'F-Class_SCR_Filtered'!$G$5:$L$38, 18, FALSE)</f>
        <v>268937.00787401578</v>
      </c>
      <c r="Q3" s="65">
        <f>HLOOKUP($B3, 'F-Class_SCR_Filtered'!$G$5:$L$38, 20, FALSE)</f>
        <v>64.817421259842519</v>
      </c>
      <c r="R3" s="65">
        <f>HLOOKUP($B3, 'F-Class_SCR_Filtered'!$G$5:$L$38, 21, FALSE)</f>
        <v>3.517224409448819</v>
      </c>
      <c r="S3" s="65">
        <f>HLOOKUP($B3, 'F-Class_SCR_Filtered'!$G$5:$L$38, 22, FALSE)</f>
        <v>369811.02362204727</v>
      </c>
      <c r="T3" s="65">
        <f>HLOOKUP($B3, 'F-Class_SCR_Filtered'!$G$5:$L$38, 24, FALSE)</f>
        <v>62.849409448818896</v>
      </c>
      <c r="U3" s="65">
        <f>HLOOKUP($B3, 'F-Class_SCR_Filtered'!$G$5:$L$38, 25, FALSE)</f>
        <v>3.4104330708661417</v>
      </c>
      <c r="V3" s="65">
        <f>HLOOKUP($B3, 'F-Class_SCR_Filtered'!$G$5:$L$38, 26, FALSE)</f>
        <v>358582.67716535431</v>
      </c>
      <c r="W3" s="65">
        <f>1-HLOOKUP($B3, 'F-Class_SCR_Filtered'!$G$5:$L$38, 30, FALSE)</f>
        <v>0.95660000000000001</v>
      </c>
    </row>
    <row r="4" spans="1:23" x14ac:dyDescent="0.2">
      <c r="A4" s="10" t="s">
        <v>54</v>
      </c>
      <c r="B4" s="46" t="s">
        <v>20</v>
      </c>
      <c r="C4" s="51">
        <f>HLOOKUP($B4, 'F-Class_SCR_Filtered'!$G$5:$L$38, 8, FALSE)</f>
        <v>10200</v>
      </c>
      <c r="D4" s="51">
        <f>HLOOKUP($B4, 'F-Class_SCR_Filtered'!$G$5:$L$38, 9, FALSE)</f>
        <v>9890</v>
      </c>
      <c r="E4" s="65">
        <f>HLOOKUP($B4, 'F-Class_SCR_Filtered'!$G$5:$L$38, 32, FALSE)</f>
        <v>1.52</v>
      </c>
      <c r="F4" s="65">
        <f>HLOOKUP($B4, 'F-Class_SCR_Filtered'!$G$5:$L$38, 33, FALSE)</f>
        <v>8.84</v>
      </c>
      <c r="G4" s="65">
        <f>HLOOKUP($B4, 'F-Class_SCR_Filtered'!$G$5:$L$38, 4, FALSE)</f>
        <v>217</v>
      </c>
      <c r="H4" s="65">
        <f>HLOOKUP($B4, 'F-Class_SCR_Filtered'!$G$5:$L$38, 5, FALSE)</f>
        <v>226.5</v>
      </c>
      <c r="I4" s="65">
        <f>HLOOKUP($B4, 'F-Class_SCR_Filtered'!$G$5:$L$38, 29, FALSE)</f>
        <v>325</v>
      </c>
      <c r="J4" s="65">
        <f>HLOOKUP($B4, 'F-Class_SCR_Filtered'!$G$5:$L$38, 34, FALSE)</f>
        <v>9500</v>
      </c>
      <c r="K4" s="65">
        <f>HLOOKUP($B4, 'F-Class_SCR_Filtered'!$G$5:$L$38, 12, FALSE)</f>
        <v>17.870078740157481</v>
      </c>
      <c r="L4" s="65">
        <f>HLOOKUP($B4, 'F-Class_SCR_Filtered'!$G$5:$L$38, 13, FALSE)</f>
        <v>4.6181102362204722</v>
      </c>
      <c r="M4" s="65">
        <f>HLOOKUP($B4, 'F-Class_SCR_Filtered'!$G$5:$L$38, 14, FALSE)</f>
        <v>274677.16535433073</v>
      </c>
      <c r="N4" s="65">
        <f>HLOOKUP($B4, 'F-Class_SCR_Filtered'!$G$5:$L$38, 16, FALSE)</f>
        <v>17.326968503937007</v>
      </c>
      <c r="O4" s="65">
        <f>HLOOKUP($B4, 'F-Class_SCR_Filtered'!$G$5:$L$38, 17, FALSE)</f>
        <v>4.4777559055118115</v>
      </c>
      <c r="P4" s="65">
        <f>HLOOKUP($B4, 'F-Class_SCR_Filtered'!$G$5:$L$38, 18, FALSE)</f>
        <v>266329.13385826774</v>
      </c>
      <c r="Q4" s="65">
        <f>HLOOKUP($B4, 'F-Class_SCR_Filtered'!$G$5:$L$38, 20, FALSE)</f>
        <v>64.753937007874015</v>
      </c>
      <c r="R4" s="65">
        <f>HLOOKUP($B4, 'F-Class_SCR_Filtered'!$G$5:$L$38, 21, FALSE)</f>
        <v>3.5137795275590551</v>
      </c>
      <c r="S4" s="65">
        <f>HLOOKUP($B4, 'F-Class_SCR_Filtered'!$G$5:$L$38, 22, FALSE)</f>
        <v>366236.22047244094</v>
      </c>
      <c r="T4" s="65">
        <f>HLOOKUP($B4, 'F-Class_SCR_Filtered'!$G$5:$L$38, 24, FALSE)</f>
        <v>62.785925196850393</v>
      </c>
      <c r="U4" s="65">
        <f>HLOOKUP($B4, 'F-Class_SCR_Filtered'!$G$5:$L$38, 25, FALSE)</f>
        <v>3.4069881889763778</v>
      </c>
      <c r="V4" s="65">
        <f>HLOOKUP($B4, 'F-Class_SCR_Filtered'!$G$5:$L$38, 26, FALSE)</f>
        <v>355105.51181102364</v>
      </c>
      <c r="W4" s="65">
        <f>1-HLOOKUP($B4, 'F-Class_SCR_Filtered'!$G$5:$L$38, 30, FALSE)</f>
        <v>0.95660000000000001</v>
      </c>
    </row>
    <row r="5" spans="1:23" x14ac:dyDescent="0.2">
      <c r="A5" s="10" t="s">
        <v>36</v>
      </c>
      <c r="B5" s="46" t="s">
        <v>21</v>
      </c>
      <c r="C5" s="51">
        <f>HLOOKUP($B5, 'F-Class_SCR_Filtered'!$G$5:$L$38, 8, FALSE)</f>
        <v>10200</v>
      </c>
      <c r="D5" s="51">
        <f>HLOOKUP($B5, 'F-Class_SCR_Filtered'!$G$5:$L$38, 9, FALSE)</f>
        <v>9890</v>
      </c>
      <c r="E5" s="65">
        <f>HLOOKUP($B5, 'F-Class_SCR_Filtered'!$G$5:$L$38, 32, FALSE)</f>
        <v>1.52</v>
      </c>
      <c r="F5" s="65">
        <f>HLOOKUP($B5, 'F-Class_SCR_Filtered'!$G$5:$L$38, 33, FALSE)</f>
        <v>8.84</v>
      </c>
      <c r="G5" s="65">
        <f>HLOOKUP($B5, 'F-Class_SCR_Filtered'!$G$5:$L$38, 4, FALSE)</f>
        <v>217</v>
      </c>
      <c r="H5" s="65">
        <f>HLOOKUP($B5, 'F-Class_SCR_Filtered'!$G$5:$L$38, 5, FALSE)</f>
        <v>226.5</v>
      </c>
      <c r="I5" s="65">
        <f>HLOOKUP($B5, 'F-Class_SCR_Filtered'!$G$5:$L$38, 29, FALSE)</f>
        <v>325</v>
      </c>
      <c r="J5" s="65">
        <f>HLOOKUP($B5, 'F-Class_SCR_Filtered'!$G$5:$L$38, 34, FALSE)</f>
        <v>9500</v>
      </c>
      <c r="K5" s="65">
        <f>HLOOKUP($B5, 'F-Class_SCR_Filtered'!$G$5:$L$38, 12, FALSE)</f>
        <v>17.870078740157481</v>
      </c>
      <c r="L5" s="65">
        <f>HLOOKUP($B5, 'F-Class_SCR_Filtered'!$G$5:$L$38, 13, FALSE)</f>
        <v>4.6181102362204722</v>
      </c>
      <c r="M5" s="65">
        <f>HLOOKUP($B5, 'F-Class_SCR_Filtered'!$G$5:$L$38, 14, FALSE)</f>
        <v>274677.16535433073</v>
      </c>
      <c r="N5" s="65">
        <f>HLOOKUP($B5, 'F-Class_SCR_Filtered'!$G$5:$L$38, 16, FALSE)</f>
        <v>17.326968503937007</v>
      </c>
      <c r="O5" s="65">
        <f>HLOOKUP($B5, 'F-Class_SCR_Filtered'!$G$5:$L$38, 17, FALSE)</f>
        <v>4.4777559055118115</v>
      </c>
      <c r="P5" s="65">
        <f>HLOOKUP($B5, 'F-Class_SCR_Filtered'!$G$5:$L$38, 18, FALSE)</f>
        <v>266329.13385826774</v>
      </c>
      <c r="Q5" s="65">
        <f>HLOOKUP($B5, 'F-Class_SCR_Filtered'!$G$5:$L$38, 20, FALSE)</f>
        <v>64.753937007874015</v>
      </c>
      <c r="R5" s="65">
        <f>HLOOKUP($B5, 'F-Class_SCR_Filtered'!$G$5:$L$38, 21, FALSE)</f>
        <v>3.5137795275590551</v>
      </c>
      <c r="S5" s="65">
        <f>HLOOKUP($B5, 'F-Class_SCR_Filtered'!$G$5:$L$38, 22, FALSE)</f>
        <v>366236.22047244094</v>
      </c>
      <c r="T5" s="65">
        <f>HLOOKUP($B5, 'F-Class_SCR_Filtered'!$G$5:$L$38, 24, FALSE)</f>
        <v>62.785925196850393</v>
      </c>
      <c r="U5" s="65">
        <f>HLOOKUP($B5, 'F-Class_SCR_Filtered'!$G$5:$L$38, 25, FALSE)</f>
        <v>3.4069881889763778</v>
      </c>
      <c r="V5" s="65">
        <f>HLOOKUP($B5, 'F-Class_SCR_Filtered'!$G$5:$L$38, 26, FALSE)</f>
        <v>355105.51181102364</v>
      </c>
      <c r="W5" s="65">
        <f>1-HLOOKUP($B5, 'F-Class_SCR_Filtered'!$G$5:$L$38, 30, FALSE)</f>
        <v>0.95660000000000001</v>
      </c>
    </row>
    <row r="6" spans="1:23" x14ac:dyDescent="0.2">
      <c r="A6" s="10" t="s">
        <v>30</v>
      </c>
      <c r="B6" s="46" t="s">
        <v>4</v>
      </c>
      <c r="C6" s="51">
        <f>HLOOKUP($B6, 'F-Class_SCR_Filtered'!$G$5:$L$38, 8, FALSE)</f>
        <v>10180</v>
      </c>
      <c r="D6" s="51">
        <f>HLOOKUP($B6, 'F-Class_SCR_Filtered'!$G$5:$L$38, 9, FALSE)</f>
        <v>9880</v>
      </c>
      <c r="E6" s="65">
        <f>HLOOKUP($B6, 'F-Class_SCR_Filtered'!$G$5:$L$38, 32, FALSE)</f>
        <v>1.52</v>
      </c>
      <c r="F6" s="65">
        <f>HLOOKUP($B6, 'F-Class_SCR_Filtered'!$G$5:$L$38, 33, FALSE)</f>
        <v>8.84</v>
      </c>
      <c r="G6" s="65">
        <f>HLOOKUP($B6, 'F-Class_SCR_Filtered'!$G$5:$L$38, 4, FALSE)</f>
        <v>217</v>
      </c>
      <c r="H6" s="65">
        <f>HLOOKUP($B6, 'F-Class_SCR_Filtered'!$G$5:$L$38, 5, FALSE)</f>
        <v>225.9</v>
      </c>
      <c r="I6" s="65">
        <f>HLOOKUP($B6, 'F-Class_SCR_Filtered'!$G$5:$L$38, 29, FALSE)</f>
        <v>325</v>
      </c>
      <c r="J6" s="65">
        <f>HLOOKUP($B6, 'F-Class_SCR_Filtered'!$G$5:$L$38, 34, FALSE)</f>
        <v>9500</v>
      </c>
      <c r="K6" s="65">
        <f>HLOOKUP($B6, 'F-Class_SCR_Filtered'!$G$5:$L$38, 12, FALSE)</f>
        <v>17.835039370078739</v>
      </c>
      <c r="L6" s="65">
        <f>HLOOKUP($B6, 'F-Class_SCR_Filtered'!$G$5:$L$38, 13, FALSE)</f>
        <v>4.5088582677165352</v>
      </c>
      <c r="M6" s="65">
        <f>HLOOKUP($B6, 'F-Class_SCR_Filtered'!$G$5:$L$38, 14, FALSE)</f>
        <v>272936.22047244094</v>
      </c>
      <c r="N6" s="65">
        <f>HLOOKUP($B6, 'F-Class_SCR_Filtered'!$G$5:$L$38, 16, FALSE)</f>
        <v>17.309448818897639</v>
      </c>
      <c r="O6" s="65">
        <f>HLOOKUP($B6, 'F-Class_SCR_Filtered'!$G$5:$L$38, 17, FALSE)</f>
        <v>4.3759842519685037</v>
      </c>
      <c r="P6" s="65">
        <f>HLOOKUP($B6, 'F-Class_SCR_Filtered'!$G$5:$L$38, 18, FALSE)</f>
        <v>264892.91338582675</v>
      </c>
      <c r="Q6" s="65">
        <f>HLOOKUP($B6, 'F-Class_SCR_Filtered'!$G$5:$L$38, 20, FALSE)</f>
        <v>64.626968503937007</v>
      </c>
      <c r="R6" s="65">
        <f>HLOOKUP($B6, 'F-Class_SCR_Filtered'!$G$5:$L$38, 21, FALSE)</f>
        <v>3.5068897637795278</v>
      </c>
      <c r="S6" s="65">
        <f>HLOOKUP($B6, 'F-Class_SCR_Filtered'!$G$5:$L$38, 22, FALSE)</f>
        <v>363914.96062992123</v>
      </c>
      <c r="T6" s="65">
        <f>HLOOKUP($B6, 'F-Class_SCR_Filtered'!$G$5:$L$38, 24, FALSE)</f>
        <v>62.722440944881889</v>
      </c>
      <c r="U6" s="65">
        <f>HLOOKUP($B6, 'F-Class_SCR_Filtered'!$G$5:$L$38, 25, FALSE)</f>
        <v>3.4035433070866143</v>
      </c>
      <c r="V6" s="65">
        <f>HLOOKUP($B6, 'F-Class_SCR_Filtered'!$G$5:$L$38, 26, FALSE)</f>
        <v>353190.55118110235</v>
      </c>
      <c r="W6" s="65">
        <f>1-HLOOKUP($B6, 'F-Class_SCR_Filtered'!$G$5:$L$38, 30, FALSE)</f>
        <v>0.95660000000000001</v>
      </c>
    </row>
    <row r="7" spans="1:23" x14ac:dyDescent="0.2">
      <c r="A7" s="10" t="s">
        <v>29</v>
      </c>
      <c r="B7" s="46" t="s">
        <v>5</v>
      </c>
      <c r="C7" s="51">
        <f>HLOOKUP($B7, 'F-Class_SCR_Filtered'!$G$5:$L$38, 8, FALSE)</f>
        <v>10180</v>
      </c>
      <c r="D7" s="51">
        <f>HLOOKUP($B7, 'F-Class_SCR_Filtered'!$G$5:$L$38, 9, FALSE)</f>
        <v>9880</v>
      </c>
      <c r="E7" s="65">
        <f>HLOOKUP($B7, 'F-Class_SCR_Filtered'!$G$5:$L$38, 32, FALSE)</f>
        <v>1.52</v>
      </c>
      <c r="F7" s="65">
        <f>HLOOKUP($B7, 'F-Class_SCR_Filtered'!$G$5:$L$38, 33, FALSE)</f>
        <v>8.84</v>
      </c>
      <c r="G7" s="65">
        <f>HLOOKUP($B7, 'F-Class_SCR_Filtered'!$G$5:$L$38, 4, FALSE)</f>
        <v>215.8</v>
      </c>
      <c r="H7" s="65">
        <f>HLOOKUP($B7, 'F-Class_SCR_Filtered'!$G$5:$L$38, 5, FALSE)</f>
        <v>224.9</v>
      </c>
      <c r="I7" s="65">
        <f>HLOOKUP($B7, 'F-Class_SCR_Filtered'!$G$5:$L$38, 29, FALSE)</f>
        <v>325</v>
      </c>
      <c r="J7" s="65">
        <f>HLOOKUP($B7, 'F-Class_SCR_Filtered'!$G$5:$L$38, 34, FALSE)</f>
        <v>9500</v>
      </c>
      <c r="K7" s="65">
        <f>HLOOKUP($B7, 'F-Class_SCR_Filtered'!$G$5:$L$38, 12, FALSE)</f>
        <v>17.835039370078739</v>
      </c>
      <c r="L7" s="65">
        <f>HLOOKUP($B7, 'F-Class_SCR_Filtered'!$G$5:$L$38, 13, FALSE)</f>
        <v>4.5088582677165352</v>
      </c>
      <c r="M7" s="65">
        <f>HLOOKUP($B7, 'F-Class_SCR_Filtered'!$G$5:$L$38, 14, FALSE)</f>
        <v>271733.85826771654</v>
      </c>
      <c r="N7" s="65">
        <f>HLOOKUP($B7, 'F-Class_SCR_Filtered'!$G$5:$L$38, 16, FALSE)</f>
        <v>17.309448818897639</v>
      </c>
      <c r="O7" s="65">
        <f>HLOOKUP($B7, 'F-Class_SCR_Filtered'!$G$5:$L$38, 17, FALSE)</f>
        <v>4.3759842519685037</v>
      </c>
      <c r="P7" s="65">
        <f>HLOOKUP($B7, 'F-Class_SCR_Filtered'!$G$5:$L$38, 18, FALSE)</f>
        <v>263725.9842519685</v>
      </c>
      <c r="Q7" s="65">
        <f>HLOOKUP($B7, 'F-Class_SCR_Filtered'!$G$5:$L$38, 20, FALSE)</f>
        <v>64.626968503937007</v>
      </c>
      <c r="R7" s="65">
        <f>HLOOKUP($B7, 'F-Class_SCR_Filtered'!$G$5:$L$38, 21, FALSE)</f>
        <v>3.4066929133858266</v>
      </c>
      <c r="S7" s="65">
        <f>HLOOKUP($B7, 'F-Class_SCR_Filtered'!$G$5:$L$38, 22, FALSE)</f>
        <v>362311.81102362205</v>
      </c>
      <c r="T7" s="65">
        <f>HLOOKUP($B7, 'F-Class_SCR_Filtered'!$G$5:$L$38, 24, FALSE)</f>
        <v>62.722440944881889</v>
      </c>
      <c r="U7" s="65">
        <f>HLOOKUP($B7, 'F-Class_SCR_Filtered'!$G$5:$L$38, 25, FALSE)</f>
        <v>3.3062992125984252</v>
      </c>
      <c r="V7" s="65">
        <f>HLOOKUP($B7, 'F-Class_SCR_Filtered'!$G$5:$L$38, 26, FALSE)</f>
        <v>351634.64566929132</v>
      </c>
      <c r="W7" s="65">
        <f>1-HLOOKUP($B7, 'F-Class_SCR_Filtered'!$G$5:$L$38, 30, FALSE)</f>
        <v>0.95660000000000001</v>
      </c>
    </row>
  </sheetData>
  <pageMargins left="0.7" right="0.7" top="0.75" bottom="0.75" header="0.3" footer="0.3"/>
  <pageSetup scale="59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"/>
  <sheetViews>
    <sheetView workbookViewId="0"/>
  </sheetViews>
  <sheetFormatPr defaultRowHeight="12.75" x14ac:dyDescent="0.2"/>
  <cols>
    <col min="1" max="1" width="7" customWidth="1"/>
    <col min="2" max="2" width="26.5" customWidth="1"/>
    <col min="3" max="3" width="12.1640625" bestFit="1" customWidth="1"/>
    <col min="4" max="4" width="11.83203125" bestFit="1" customWidth="1"/>
    <col min="5" max="6" width="12.1640625" bestFit="1" customWidth="1"/>
    <col min="7" max="7" width="14.33203125" bestFit="1" customWidth="1"/>
    <col min="8" max="8" width="14" bestFit="1" customWidth="1"/>
    <col min="9" max="9" width="19.5" bestFit="1" customWidth="1"/>
    <col min="10" max="10" width="19.33203125" bestFit="1" customWidth="1"/>
    <col min="11" max="11" width="18.1640625" bestFit="1" customWidth="1"/>
    <col min="12" max="12" width="17.1640625" bestFit="1" customWidth="1"/>
    <col min="13" max="13" width="17.5" bestFit="1" customWidth="1"/>
    <col min="14" max="14" width="17.83203125" bestFit="1" customWidth="1"/>
    <col min="15" max="15" width="16.83203125" bestFit="1" customWidth="1"/>
    <col min="16" max="16" width="17" bestFit="1" customWidth="1"/>
    <col min="17" max="17" width="18.6640625" bestFit="1" customWidth="1"/>
    <col min="18" max="18" width="17.83203125" bestFit="1" customWidth="1"/>
    <col min="19" max="19" width="18" bestFit="1" customWidth="1"/>
    <col min="20" max="20" width="18.33203125" bestFit="1" customWidth="1"/>
    <col min="21" max="21" width="17.5" bestFit="1" customWidth="1"/>
    <col min="22" max="22" width="17.6640625" bestFit="1" customWidth="1"/>
    <col min="23" max="23" width="9.83203125" bestFit="1" customWidth="1"/>
  </cols>
  <sheetData>
    <row r="1" spans="1:27" x14ac:dyDescent="0.2">
      <c r="A1" s="47" t="s">
        <v>35</v>
      </c>
      <c r="B1" s="47" t="s">
        <v>53</v>
      </c>
      <c r="C1" s="49" t="s">
        <v>37</v>
      </c>
      <c r="D1" s="49" t="s">
        <v>38</v>
      </c>
      <c r="E1" s="49" t="s">
        <v>39</v>
      </c>
      <c r="F1" s="49" t="s">
        <v>40</v>
      </c>
      <c r="G1" s="49" t="s">
        <v>193</v>
      </c>
      <c r="H1" s="49" t="s">
        <v>194</v>
      </c>
      <c r="I1" s="49" t="s">
        <v>33</v>
      </c>
      <c r="J1" s="48" t="s">
        <v>204</v>
      </c>
      <c r="K1" s="49" t="s">
        <v>41</v>
      </c>
      <c r="L1" s="49" t="s">
        <v>42</v>
      </c>
      <c r="M1" s="49" t="s">
        <v>43</v>
      </c>
      <c r="N1" s="49" t="s">
        <v>44</v>
      </c>
      <c r="O1" s="49" t="s">
        <v>45</v>
      </c>
      <c r="P1" s="49" t="s">
        <v>46</v>
      </c>
      <c r="Q1" s="49" t="s">
        <v>47</v>
      </c>
      <c r="R1" s="49" t="s">
        <v>48</v>
      </c>
      <c r="S1" s="49" t="s">
        <v>49</v>
      </c>
      <c r="T1" s="49" t="s">
        <v>50</v>
      </c>
      <c r="U1" s="49" t="s">
        <v>51</v>
      </c>
      <c r="V1" s="49" t="s">
        <v>52</v>
      </c>
      <c r="W1" s="49" t="s">
        <v>34</v>
      </c>
      <c r="X1" s="49"/>
      <c r="Y1" s="49"/>
      <c r="Z1" s="49"/>
      <c r="AA1" s="49"/>
    </row>
    <row r="2" spans="1:27" x14ac:dyDescent="0.2">
      <c r="A2" s="10" t="s">
        <v>32</v>
      </c>
      <c r="B2" s="46" t="s">
        <v>3</v>
      </c>
      <c r="C2" s="51">
        <f>HLOOKUP($B2, 'F-Class_NoSCR_Filtered'!$G$5:$M$38, 8, FALSE)</f>
        <v>10200</v>
      </c>
      <c r="D2" s="51">
        <f>HLOOKUP($B2, 'F-Class_NoSCR_Filtered'!$G$5:$M$38, 9, FALSE)</f>
        <v>9890</v>
      </c>
      <c r="E2" s="65">
        <f>HLOOKUP($B2, 'F-Class_NoSCR_Filtered'!$G$5:$M$38, 32, FALSE)</f>
        <v>0.95000000000000007</v>
      </c>
      <c r="F2" s="65">
        <f>HLOOKUP($B2, 'F-Class_NoSCR_Filtered'!$G$5:$M$38, 33, FALSE)</f>
        <v>8.0399999999999991</v>
      </c>
      <c r="G2" s="65">
        <f>HLOOKUP($B2, 'F-Class_NoSCR_Filtered'!$G$5:$M$38, 4, FALSE)</f>
        <v>218</v>
      </c>
      <c r="H2" s="65">
        <f>HLOOKUP($B2, 'F-Class_NoSCR_Filtered'!$G$5:$M$38, 5, FALSE)</f>
        <v>227.2</v>
      </c>
      <c r="I2" s="65">
        <f>HLOOKUP($B2, 'F-Class_NoSCR_Filtered'!$G$5:$M$38, 29, FALSE)</f>
        <v>325</v>
      </c>
      <c r="J2" s="65">
        <f>HLOOKUP($B2, 'F-Class_NoSCR_Filtered'!$G$5:$M$38, 34, FALSE)</f>
        <v>9500</v>
      </c>
      <c r="K2" s="65">
        <f>HLOOKUP($B2, 'F-Class_NoSCR_Filtered'!$G$5:$M$38, 12, FALSE)</f>
        <v>80.214566929133852</v>
      </c>
      <c r="L2" s="65">
        <f>HLOOKUP($B2, 'F-Class_NoSCR_Filtered'!$G$5:$M$38, 13, FALSE)</f>
        <v>4.6181102362204722</v>
      </c>
      <c r="M2" s="65">
        <f>HLOOKUP($B2, 'F-Class_NoSCR_Filtered'!$G$5:$M$38, 14, FALSE)</f>
        <v>277086.61417322833</v>
      </c>
      <c r="N2" s="65">
        <f>HLOOKUP($B2, 'F-Class_NoSCR_Filtered'!$G$5:$M$38, 16, FALSE)</f>
        <v>77.776673228346453</v>
      </c>
      <c r="O2" s="65">
        <f>HLOOKUP($B2, 'F-Class_NoSCR_Filtered'!$G$5:$M$38, 17, FALSE)</f>
        <v>4.4777559055118115</v>
      </c>
      <c r="P2" s="65">
        <f>HLOOKUP($B2, 'F-Class_NoSCR_Filtered'!$G$5:$M$38, 18, FALSE)</f>
        <v>268665.35433070868</v>
      </c>
      <c r="Q2" s="65">
        <f>HLOOKUP($B2, 'F-Class_NoSCR_Filtered'!$G$5:$M$38, 20, FALSE)</f>
        <v>431.69291338582678</v>
      </c>
      <c r="R2" s="65">
        <f>HLOOKUP($B2, 'F-Class_NoSCR_Filtered'!$G$5:$M$38, 21, FALSE)</f>
        <v>3.5137795275590551</v>
      </c>
      <c r="S2" s="65">
        <f>HLOOKUP($B2, 'F-Class_NoSCR_Filtered'!$G$5:$M$38, 22, FALSE)</f>
        <v>369448.81889763777</v>
      </c>
      <c r="T2" s="65">
        <f>HLOOKUP($B2, 'F-Class_NoSCR_Filtered'!$G$5:$M$38, 24, FALSE)</f>
        <v>418.57283464566927</v>
      </c>
      <c r="U2" s="65">
        <f>HLOOKUP($B2, 'F-Class_NoSCR_Filtered'!$G$5:$M$38, 25, FALSE)</f>
        <v>3.4069881889763778</v>
      </c>
      <c r="V2" s="65">
        <f>HLOOKUP($B2, 'F-Class_NoSCR_Filtered'!$G$5:$M$38, 26, FALSE)</f>
        <v>358220.47244094487</v>
      </c>
      <c r="W2" s="65">
        <f>1-HLOOKUP($B2, 'F-Class_NoSCR_Filtered'!$G$5:$M$38, 30, FALSE)</f>
        <v>0.95660000000000001</v>
      </c>
      <c r="X2" s="51"/>
      <c r="Y2" s="51"/>
      <c r="Z2" s="50"/>
      <c r="AA2" s="50"/>
    </row>
    <row r="3" spans="1:27" x14ac:dyDescent="0.2">
      <c r="A3" s="10" t="s">
        <v>31</v>
      </c>
      <c r="B3" s="46" t="s">
        <v>28</v>
      </c>
      <c r="C3" s="51">
        <f>HLOOKUP($B3, 'F-Class_NoSCR_Filtered'!$G$5:$M$38, 8, FALSE)</f>
        <v>10210</v>
      </c>
      <c r="D3" s="51">
        <f>HLOOKUP($B3, 'F-Class_NoSCR_Filtered'!$G$5:$M$38, 9, FALSE)</f>
        <v>9900</v>
      </c>
      <c r="E3" s="65">
        <f>HLOOKUP($B3, 'F-Class_NoSCR_Filtered'!$G$5:$M$38, 32, FALSE)</f>
        <v>0.97000000000000008</v>
      </c>
      <c r="F3" s="65">
        <f>HLOOKUP($B3, 'F-Class_NoSCR_Filtered'!$G$5:$M$38, 33, FALSE)</f>
        <v>8.4199999999999982</v>
      </c>
      <c r="G3" s="65">
        <f>HLOOKUP($B3, 'F-Class_NoSCR_Filtered'!$G$5:$M$38, 4, FALSE)</f>
        <v>217.8</v>
      </c>
      <c r="H3" s="65">
        <f>HLOOKUP($B3, 'F-Class_NoSCR_Filtered'!$G$5:$M$38, 5, FALSE)</f>
        <v>226.9</v>
      </c>
      <c r="I3" s="65">
        <f>HLOOKUP($B3, 'F-Class_NoSCR_Filtered'!$G$5:$M$38, 29, FALSE)</f>
        <v>325</v>
      </c>
      <c r="J3" s="65">
        <f>HLOOKUP($B3, 'F-Class_NoSCR_Filtered'!$G$5:$M$38, 34, FALSE)</f>
        <v>9500</v>
      </c>
      <c r="K3" s="65">
        <f>HLOOKUP($B3, 'F-Class_NoSCR_Filtered'!$G$5:$M$38, 12, FALSE)</f>
        <v>80.293208661417324</v>
      </c>
      <c r="L3" s="65">
        <f>HLOOKUP($B3, 'F-Class_NoSCR_Filtered'!$G$5:$M$38, 13, FALSE)</f>
        <v>4.6226377952755904</v>
      </c>
      <c r="M3" s="65">
        <f>HLOOKUP($B3, 'F-Class_NoSCR_Filtered'!$G$5:$M$38, 14, FALSE)</f>
        <v>277358.26771653543</v>
      </c>
      <c r="N3" s="65">
        <f>HLOOKUP($B3, 'F-Class_NoSCR_Filtered'!$G$5:$M$38, 16, FALSE)</f>
        <v>77.855314960629926</v>
      </c>
      <c r="O3" s="65">
        <f>HLOOKUP($B3, 'F-Class_NoSCR_Filtered'!$G$5:$M$38, 17, FALSE)</f>
        <v>4.4822834645669287</v>
      </c>
      <c r="P3" s="65">
        <f>HLOOKUP($B3, 'F-Class_NoSCR_Filtered'!$G$5:$M$38, 18, FALSE)</f>
        <v>268937.00787401578</v>
      </c>
      <c r="Q3" s="65">
        <f>HLOOKUP($B3, 'F-Class_NoSCR_Filtered'!$G$5:$M$38, 20, FALSE)</f>
        <v>432.11614173228344</v>
      </c>
      <c r="R3" s="65">
        <f>HLOOKUP($B3, 'F-Class_NoSCR_Filtered'!$G$5:$M$38, 21, FALSE)</f>
        <v>3.517224409448819</v>
      </c>
      <c r="S3" s="65">
        <f>HLOOKUP($B3, 'F-Class_NoSCR_Filtered'!$G$5:$M$38, 22, FALSE)</f>
        <v>369811.02362204727</v>
      </c>
      <c r="T3" s="65">
        <f>HLOOKUP($B3, 'F-Class_NoSCR_Filtered'!$G$5:$M$38, 24, FALSE)</f>
        <v>418.99606299212599</v>
      </c>
      <c r="U3" s="65">
        <f>HLOOKUP($B3, 'F-Class_NoSCR_Filtered'!$G$5:$M$38, 25, FALSE)</f>
        <v>3.4104330708661417</v>
      </c>
      <c r="V3" s="65">
        <f>HLOOKUP($B3, 'F-Class_NoSCR_Filtered'!$G$5:$M$38, 26, FALSE)</f>
        <v>358582.67716535431</v>
      </c>
      <c r="W3" s="65">
        <f>1-HLOOKUP($B3, 'F-Class_NoSCR_Filtered'!$G$5:$M$38, 30, FALSE)</f>
        <v>0.95660000000000001</v>
      </c>
      <c r="X3" s="51"/>
      <c r="Y3" s="51"/>
      <c r="Z3" s="50"/>
      <c r="AA3" s="50"/>
    </row>
    <row r="4" spans="1:27" x14ac:dyDescent="0.2">
      <c r="A4" s="10" t="s">
        <v>54</v>
      </c>
      <c r="B4" s="46" t="s">
        <v>20</v>
      </c>
      <c r="C4" s="51">
        <f>HLOOKUP($B4, 'F-Class_NoSCR_Filtered'!$G$5:$M$38, 8, FALSE)</f>
        <v>10200</v>
      </c>
      <c r="D4" s="51">
        <f>HLOOKUP($B4, 'F-Class_NoSCR_Filtered'!$G$5:$M$38, 9, FALSE)</f>
        <v>9890</v>
      </c>
      <c r="E4" s="65">
        <f>HLOOKUP($B4, 'F-Class_NoSCR_Filtered'!$G$5:$M$38, 32, FALSE)</f>
        <v>0.94000000000000006</v>
      </c>
      <c r="F4" s="65">
        <f>HLOOKUP($B4, 'F-Class_NoSCR_Filtered'!$G$5:$M$38, 33, FALSE)</f>
        <v>8.0399999999999991</v>
      </c>
      <c r="G4" s="65">
        <f>HLOOKUP($B4, 'F-Class_NoSCR_Filtered'!$G$5:$M$38, 4, FALSE)</f>
        <v>217</v>
      </c>
      <c r="H4" s="65">
        <f>HLOOKUP($B4, 'F-Class_NoSCR_Filtered'!$G$5:$M$38, 5, FALSE)</f>
        <v>226.5</v>
      </c>
      <c r="I4" s="65">
        <f>HLOOKUP($B4, 'F-Class_NoSCR_Filtered'!$G$5:$M$38, 29, FALSE)</f>
        <v>325</v>
      </c>
      <c r="J4" s="65">
        <f>HLOOKUP($B4, 'F-Class_NoSCR_Filtered'!$G$5:$M$38, 34, FALSE)</f>
        <v>9500</v>
      </c>
      <c r="K4" s="65">
        <f>HLOOKUP($B4, 'F-Class_NoSCR_Filtered'!$G$5:$M$38, 12, FALSE)</f>
        <v>80.214566929133852</v>
      </c>
      <c r="L4" s="65">
        <f>HLOOKUP($B4, 'F-Class_NoSCR_Filtered'!$G$5:$M$38, 13, FALSE)</f>
        <v>4.6181102362204722</v>
      </c>
      <c r="M4" s="65">
        <f>HLOOKUP($B4, 'F-Class_NoSCR_Filtered'!$G$5:$M$38, 14, FALSE)</f>
        <v>274677.16535433073</v>
      </c>
      <c r="N4" s="65">
        <f>HLOOKUP($B4, 'F-Class_NoSCR_Filtered'!$G$5:$M$38, 16, FALSE)</f>
        <v>77.776673228346453</v>
      </c>
      <c r="O4" s="65">
        <f>HLOOKUP($B4, 'F-Class_NoSCR_Filtered'!$G$5:$M$38, 17, FALSE)</f>
        <v>4.4777559055118115</v>
      </c>
      <c r="P4" s="65">
        <f>HLOOKUP($B4, 'F-Class_NoSCR_Filtered'!$G$5:$M$38, 18, FALSE)</f>
        <v>266329.13385826774</v>
      </c>
      <c r="Q4" s="65">
        <f>HLOOKUP($B4, 'F-Class_NoSCR_Filtered'!$G$5:$M$38, 20, FALSE)</f>
        <v>431.69291338582678</v>
      </c>
      <c r="R4" s="65">
        <f>HLOOKUP($B4, 'F-Class_NoSCR_Filtered'!$G$5:$M$38, 21, FALSE)</f>
        <v>3.5137795275590551</v>
      </c>
      <c r="S4" s="65">
        <f>HLOOKUP($B4, 'F-Class_NoSCR_Filtered'!$G$5:$M$38, 22, FALSE)</f>
        <v>366236.22047244094</v>
      </c>
      <c r="T4" s="65">
        <f>HLOOKUP($B4, 'F-Class_NoSCR_Filtered'!$G$5:$M$38, 24, FALSE)</f>
        <v>418.57283464566927</v>
      </c>
      <c r="U4" s="65">
        <f>HLOOKUP($B4, 'F-Class_NoSCR_Filtered'!$G$5:$M$38, 25, FALSE)</f>
        <v>3.4069881889763778</v>
      </c>
      <c r="V4" s="65">
        <f>HLOOKUP($B4, 'F-Class_NoSCR_Filtered'!$G$5:$M$38, 26, FALSE)</f>
        <v>355105.51181102364</v>
      </c>
      <c r="W4" s="65">
        <f>1-HLOOKUP($B4, 'F-Class_NoSCR_Filtered'!$G$5:$M$38, 30, FALSE)</f>
        <v>0.95660000000000001</v>
      </c>
      <c r="X4" s="51"/>
      <c r="Y4" s="51"/>
      <c r="Z4" s="50"/>
      <c r="AA4" s="50"/>
    </row>
    <row r="5" spans="1:27" x14ac:dyDescent="0.2">
      <c r="A5" s="10" t="s">
        <v>36</v>
      </c>
      <c r="B5" s="46" t="s">
        <v>21</v>
      </c>
      <c r="C5" s="51">
        <f>HLOOKUP($B5, 'F-Class_NoSCR_Filtered'!$G$5:$M$38, 8, FALSE)</f>
        <v>10200</v>
      </c>
      <c r="D5" s="51">
        <f>HLOOKUP($B5, 'F-Class_NoSCR_Filtered'!$G$5:$M$38, 9, FALSE)</f>
        <v>9890</v>
      </c>
      <c r="E5" s="65">
        <f>HLOOKUP($B5, 'F-Class_NoSCR_Filtered'!$G$5:$M$38, 32, FALSE)</f>
        <v>0.94000000000000006</v>
      </c>
      <c r="F5" s="65">
        <f>HLOOKUP($B5, 'F-Class_NoSCR_Filtered'!$G$5:$M$38, 33, FALSE)</f>
        <v>8.0399999999999991</v>
      </c>
      <c r="G5" s="65">
        <f>HLOOKUP($B5, 'F-Class_NoSCR_Filtered'!$G$5:$M$38, 4, FALSE)</f>
        <v>217</v>
      </c>
      <c r="H5" s="65">
        <f>HLOOKUP($B5, 'F-Class_NoSCR_Filtered'!$G$5:$M$38, 5, FALSE)</f>
        <v>226.5</v>
      </c>
      <c r="I5" s="65">
        <f>HLOOKUP($B5, 'F-Class_NoSCR_Filtered'!$G$5:$M$38, 29, FALSE)</f>
        <v>325</v>
      </c>
      <c r="J5" s="65">
        <f>HLOOKUP($B5, 'F-Class_NoSCR_Filtered'!$G$5:$M$38, 34, FALSE)</f>
        <v>9500</v>
      </c>
      <c r="K5" s="65">
        <f>HLOOKUP($B5, 'F-Class_NoSCR_Filtered'!$G$5:$M$38, 12, FALSE)</f>
        <v>80.214566929133852</v>
      </c>
      <c r="L5" s="65">
        <f>HLOOKUP($B5, 'F-Class_NoSCR_Filtered'!$G$5:$M$38, 13, FALSE)</f>
        <v>4.6181102362204722</v>
      </c>
      <c r="M5" s="65">
        <f>HLOOKUP($B5, 'F-Class_NoSCR_Filtered'!$G$5:$M$38, 14, FALSE)</f>
        <v>274677.16535433073</v>
      </c>
      <c r="N5" s="65">
        <f>HLOOKUP($B5, 'F-Class_NoSCR_Filtered'!$G$5:$M$38, 16, FALSE)</f>
        <v>77.776673228346453</v>
      </c>
      <c r="O5" s="65">
        <f>HLOOKUP($B5, 'F-Class_NoSCR_Filtered'!$G$5:$M$38, 17, FALSE)</f>
        <v>4.4777559055118115</v>
      </c>
      <c r="P5" s="65">
        <f>HLOOKUP($B5, 'F-Class_NoSCR_Filtered'!$G$5:$M$38, 18, FALSE)</f>
        <v>266329.13385826774</v>
      </c>
      <c r="Q5" s="65">
        <f>HLOOKUP($B5, 'F-Class_NoSCR_Filtered'!$G$5:$M$38, 20, FALSE)</f>
        <v>431.69291338582678</v>
      </c>
      <c r="R5" s="65">
        <f>HLOOKUP($B5, 'F-Class_NoSCR_Filtered'!$G$5:$M$38, 21, FALSE)</f>
        <v>3.5137795275590551</v>
      </c>
      <c r="S5" s="65">
        <f>HLOOKUP($B5, 'F-Class_NoSCR_Filtered'!$G$5:$M$38, 22, FALSE)</f>
        <v>366236.22047244094</v>
      </c>
      <c r="T5" s="65">
        <f>HLOOKUP($B5, 'F-Class_NoSCR_Filtered'!$G$5:$M$38, 24, FALSE)</f>
        <v>418.57283464566927</v>
      </c>
      <c r="U5" s="65">
        <f>HLOOKUP($B5, 'F-Class_NoSCR_Filtered'!$G$5:$M$38, 25, FALSE)</f>
        <v>3.4069881889763778</v>
      </c>
      <c r="V5" s="65">
        <f>HLOOKUP($B5, 'F-Class_NoSCR_Filtered'!$G$5:$M$38, 26, FALSE)</f>
        <v>355105.51181102364</v>
      </c>
      <c r="W5" s="65">
        <f>1-HLOOKUP($B5, 'F-Class_NoSCR_Filtered'!$G$5:$M$38, 30, FALSE)</f>
        <v>0.95660000000000001</v>
      </c>
      <c r="X5" s="51"/>
      <c r="Y5" s="51"/>
      <c r="Z5" s="50"/>
      <c r="AA5" s="50"/>
    </row>
    <row r="6" spans="1:27" x14ac:dyDescent="0.2">
      <c r="A6" s="10" t="s">
        <v>30</v>
      </c>
      <c r="B6" s="46" t="s">
        <v>4</v>
      </c>
      <c r="C6" s="51">
        <f>HLOOKUP($B6, 'F-Class_NoSCR_Filtered'!$G$5:$M$38, 8, FALSE)</f>
        <v>10180</v>
      </c>
      <c r="D6" s="51">
        <f>HLOOKUP($B6, 'F-Class_NoSCR_Filtered'!$G$5:$M$38, 9, FALSE)</f>
        <v>9880</v>
      </c>
      <c r="E6" s="65">
        <f>HLOOKUP($B6, 'F-Class_NoSCR_Filtered'!$G$5:$M$38, 32, FALSE)</f>
        <v>0.94000000000000006</v>
      </c>
      <c r="F6" s="65">
        <f>HLOOKUP($B6, 'F-Class_NoSCR_Filtered'!$G$5:$M$38, 33, FALSE)</f>
        <v>8.0399999999999991</v>
      </c>
      <c r="G6" s="65">
        <f>HLOOKUP($B6, 'F-Class_NoSCR_Filtered'!$G$5:$M$38, 4, FALSE)</f>
        <v>217</v>
      </c>
      <c r="H6" s="65">
        <f>HLOOKUP($B6, 'F-Class_NoSCR_Filtered'!$G$5:$M$38, 5, FALSE)</f>
        <v>225.9</v>
      </c>
      <c r="I6" s="65">
        <f>HLOOKUP($B6, 'F-Class_NoSCR_Filtered'!$G$5:$M$38, 29, FALSE)</f>
        <v>325</v>
      </c>
      <c r="J6" s="65">
        <f>HLOOKUP($B6, 'F-Class_NoSCR_Filtered'!$G$5:$M$38, 34, FALSE)</f>
        <v>9500</v>
      </c>
      <c r="K6" s="65">
        <f>HLOOKUP($B6, 'F-Class_NoSCR_Filtered'!$G$5:$M$38, 12, FALSE)</f>
        <v>80.057283464566936</v>
      </c>
      <c r="L6" s="65">
        <f>HLOOKUP($B6, 'F-Class_NoSCR_Filtered'!$G$5:$M$38, 13, FALSE)</f>
        <v>4.5088582677165352</v>
      </c>
      <c r="M6" s="65">
        <f>HLOOKUP($B6, 'F-Class_NoSCR_Filtered'!$G$5:$M$38, 14, FALSE)</f>
        <v>272936.22047244094</v>
      </c>
      <c r="N6" s="65">
        <f>HLOOKUP($B6, 'F-Class_NoSCR_Filtered'!$G$5:$M$38, 16, FALSE)</f>
        <v>77.698031496062995</v>
      </c>
      <c r="O6" s="65">
        <f>HLOOKUP($B6, 'F-Class_NoSCR_Filtered'!$G$5:$M$38, 17, FALSE)</f>
        <v>4.3759842519685037</v>
      </c>
      <c r="P6" s="65">
        <f>HLOOKUP($B6, 'F-Class_NoSCR_Filtered'!$G$5:$M$38, 18, FALSE)</f>
        <v>264892.91338582675</v>
      </c>
      <c r="Q6" s="65">
        <f>HLOOKUP($B6, 'F-Class_NoSCR_Filtered'!$G$5:$M$38, 20, FALSE)</f>
        <v>430.84645669291336</v>
      </c>
      <c r="R6" s="65">
        <f>HLOOKUP($B6, 'F-Class_NoSCR_Filtered'!$G$5:$M$38, 21, FALSE)</f>
        <v>3.5068897637795278</v>
      </c>
      <c r="S6" s="65">
        <f>HLOOKUP($B6, 'F-Class_NoSCR_Filtered'!$G$5:$M$38, 22, FALSE)</f>
        <v>363914.96062992123</v>
      </c>
      <c r="T6" s="65">
        <f>HLOOKUP($B6, 'F-Class_NoSCR_Filtered'!$G$5:$M$38, 24, FALSE)</f>
        <v>418.14960629921262</v>
      </c>
      <c r="U6" s="65">
        <f>HLOOKUP($B6, 'F-Class_NoSCR_Filtered'!$G$5:$M$38, 25, FALSE)</f>
        <v>3.4035433070866143</v>
      </c>
      <c r="V6" s="65">
        <f>HLOOKUP($B6, 'F-Class_NoSCR_Filtered'!$G$5:$M$38, 26, FALSE)</f>
        <v>353190.55118110235</v>
      </c>
      <c r="W6" s="65">
        <f>1-HLOOKUP($B6, 'F-Class_NoSCR_Filtered'!$G$5:$M$38, 30, FALSE)</f>
        <v>0.95660000000000001</v>
      </c>
      <c r="X6" s="51"/>
      <c r="Y6" s="51"/>
      <c r="Z6" s="50"/>
      <c r="AA6" s="50"/>
    </row>
    <row r="7" spans="1:27" x14ac:dyDescent="0.2">
      <c r="A7" s="10" t="s">
        <v>29</v>
      </c>
      <c r="B7" s="46" t="s">
        <v>5</v>
      </c>
      <c r="C7" s="51">
        <f>HLOOKUP($B7, 'F-Class_NoSCR_Filtered'!$G$5:$M$38, 8, FALSE)</f>
        <v>10180</v>
      </c>
      <c r="D7" s="51">
        <f>HLOOKUP($B7, 'F-Class_NoSCR_Filtered'!$G$5:$M$38, 9, FALSE)</f>
        <v>9880</v>
      </c>
      <c r="E7" s="65">
        <f>HLOOKUP($B7, 'F-Class_NoSCR_Filtered'!$G$5:$M$38, 32, FALSE)</f>
        <v>0.94000000000000006</v>
      </c>
      <c r="F7" s="65">
        <f>HLOOKUP($B7, 'F-Class_NoSCR_Filtered'!$G$5:$M$38, 33, FALSE)</f>
        <v>8.0399999999999991</v>
      </c>
      <c r="G7" s="65">
        <f>HLOOKUP($B7, 'F-Class_NoSCR_Filtered'!$G$5:$M$38, 4, FALSE)</f>
        <v>215.8</v>
      </c>
      <c r="H7" s="65">
        <f>HLOOKUP($B7, 'F-Class_NoSCR_Filtered'!$G$5:$M$38, 5, FALSE)</f>
        <v>224.9</v>
      </c>
      <c r="I7" s="65">
        <f>HLOOKUP($B7, 'F-Class_NoSCR_Filtered'!$G$5:$M$38, 29, FALSE)</f>
        <v>325</v>
      </c>
      <c r="J7" s="65">
        <f>HLOOKUP($B7, 'F-Class_NoSCR_Filtered'!$G$5:$M$38, 34, FALSE)</f>
        <v>9500</v>
      </c>
      <c r="K7" s="65">
        <f>HLOOKUP($B7, 'F-Class_NoSCR_Filtered'!$G$5:$M$38, 12, FALSE)</f>
        <v>80.057283464566936</v>
      </c>
      <c r="L7" s="65">
        <f>HLOOKUP($B7, 'F-Class_NoSCR_Filtered'!$G$5:$M$38, 13, FALSE)</f>
        <v>4.5088582677165352</v>
      </c>
      <c r="M7" s="65">
        <f>HLOOKUP($B7, 'F-Class_NoSCR_Filtered'!$G$5:$M$38, 14, FALSE)</f>
        <v>271733.85826771654</v>
      </c>
      <c r="N7" s="65">
        <f>HLOOKUP($B7, 'F-Class_NoSCR_Filtered'!$G$5:$M$38, 16, FALSE)</f>
        <v>77.698031496062995</v>
      </c>
      <c r="O7" s="65">
        <f>HLOOKUP($B7, 'F-Class_NoSCR_Filtered'!$G$5:$M$38, 17, FALSE)</f>
        <v>4.3759842519685037</v>
      </c>
      <c r="P7" s="65">
        <f>HLOOKUP($B7, 'F-Class_NoSCR_Filtered'!$G$5:$M$38, 18, FALSE)</f>
        <v>263725.9842519685</v>
      </c>
      <c r="Q7" s="65">
        <f>HLOOKUP($B7, 'F-Class_NoSCR_Filtered'!$G$5:$M$38, 20, FALSE)</f>
        <v>430.84645669291336</v>
      </c>
      <c r="R7" s="65">
        <f>HLOOKUP($B7, 'F-Class_NoSCR_Filtered'!$G$5:$M$38, 21, FALSE)</f>
        <v>3.4066929133858266</v>
      </c>
      <c r="S7" s="65">
        <f>HLOOKUP($B7, 'F-Class_NoSCR_Filtered'!$G$5:$M$38, 22, FALSE)</f>
        <v>362311.81102362205</v>
      </c>
      <c r="T7" s="65">
        <f>HLOOKUP($B7, 'F-Class_NoSCR_Filtered'!$G$5:$M$38, 24, FALSE)</f>
        <v>418.14960629921262</v>
      </c>
      <c r="U7" s="65">
        <f>HLOOKUP($B7, 'F-Class_NoSCR_Filtered'!$G$5:$M$38, 25, FALSE)</f>
        <v>3.3062992125984252</v>
      </c>
      <c r="V7" s="65">
        <f>HLOOKUP($B7, 'F-Class_NoSCR_Filtered'!$G$5:$M$38, 26, FALSE)</f>
        <v>351634.64566929132</v>
      </c>
      <c r="W7" s="65">
        <f>1-HLOOKUP($B7, 'F-Class_NoSCR_Filtered'!$G$5:$M$38, 30, FALSE)</f>
        <v>0.95660000000000001</v>
      </c>
      <c r="X7" s="51"/>
      <c r="Y7" s="51"/>
      <c r="Z7" s="50"/>
      <c r="AA7" s="50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"/>
  <sheetViews>
    <sheetView workbookViewId="0"/>
  </sheetViews>
  <sheetFormatPr defaultRowHeight="12.75" x14ac:dyDescent="0.2"/>
  <cols>
    <col min="1" max="1" width="7.1640625" style="10" bestFit="1" customWidth="1"/>
    <col min="2" max="2" width="19.83203125" style="10" bestFit="1" customWidth="1"/>
    <col min="3" max="4" width="15.6640625" style="10" bestFit="1" customWidth="1"/>
    <col min="5" max="5" width="15.33203125" style="10" bestFit="1" customWidth="1"/>
    <col min="6" max="6" width="16.1640625" style="10" bestFit="1" customWidth="1"/>
    <col min="7" max="8" width="17.83203125" style="10" bestFit="1" customWidth="1"/>
    <col min="9" max="9" width="23.83203125" style="10" bestFit="1" customWidth="1"/>
    <col min="10" max="10" width="23.33203125" style="10" bestFit="1" customWidth="1"/>
    <col min="11" max="11" width="21.6640625" style="10" bestFit="1" customWidth="1"/>
    <col min="12" max="12" width="20.83203125" style="10" bestFit="1" customWidth="1"/>
    <col min="13" max="13" width="21.1640625" style="10" bestFit="1" customWidth="1"/>
    <col min="14" max="14" width="21.6640625" style="10" bestFit="1" customWidth="1"/>
    <col min="15" max="15" width="20.83203125" style="10" bestFit="1" customWidth="1"/>
    <col min="16" max="16" width="21.1640625" style="10" bestFit="1" customWidth="1"/>
    <col min="17" max="17" width="22.5" style="10" bestFit="1" customWidth="1"/>
    <col min="18" max="18" width="21.5" style="10" bestFit="1" customWidth="1"/>
    <col min="19" max="19" width="22" style="10" bestFit="1" customWidth="1"/>
    <col min="20" max="20" width="22.5" style="10" bestFit="1" customWidth="1"/>
    <col min="21" max="21" width="21.5" style="10" bestFit="1" customWidth="1"/>
    <col min="22" max="22" width="22" style="10" bestFit="1" customWidth="1"/>
    <col min="23" max="23" width="13.33203125" style="10" bestFit="1" customWidth="1"/>
    <col min="24" max="16384" width="9.33203125" style="10"/>
  </cols>
  <sheetData>
    <row r="1" spans="1:23" x14ac:dyDescent="0.2">
      <c r="A1" s="47" t="s">
        <v>35</v>
      </c>
      <c r="B1" s="47" t="s">
        <v>53</v>
      </c>
      <c r="C1" s="49" t="s">
        <v>135</v>
      </c>
      <c r="D1" s="49" t="s">
        <v>136</v>
      </c>
      <c r="E1" s="49" t="s">
        <v>137</v>
      </c>
      <c r="F1" s="49" t="s">
        <v>138</v>
      </c>
      <c r="G1" s="49" t="s">
        <v>195</v>
      </c>
      <c r="H1" s="49" t="s">
        <v>196</v>
      </c>
      <c r="I1" s="49" t="s">
        <v>139</v>
      </c>
      <c r="J1" s="48" t="s">
        <v>205</v>
      </c>
      <c r="K1" s="49" t="s">
        <v>140</v>
      </c>
      <c r="L1" s="49" t="s">
        <v>141</v>
      </c>
      <c r="M1" s="49" t="s">
        <v>142</v>
      </c>
      <c r="N1" s="49" t="s">
        <v>143</v>
      </c>
      <c r="O1" s="49" t="s">
        <v>144</v>
      </c>
      <c r="P1" s="49" t="s">
        <v>145</v>
      </c>
      <c r="Q1" s="49" t="s">
        <v>146</v>
      </c>
      <c r="R1" s="49" t="s">
        <v>147</v>
      </c>
      <c r="S1" s="49" t="s">
        <v>148</v>
      </c>
      <c r="T1" s="49" t="s">
        <v>149</v>
      </c>
      <c r="U1" s="49" t="s">
        <v>150</v>
      </c>
      <c r="V1" s="49" t="s">
        <v>151</v>
      </c>
      <c r="W1" s="49" t="s">
        <v>152</v>
      </c>
    </row>
    <row r="2" spans="1:23" x14ac:dyDescent="0.2">
      <c r="A2" s="10" t="s">
        <v>32</v>
      </c>
      <c r="B2" s="46" t="s">
        <v>3</v>
      </c>
      <c r="C2" s="51">
        <f>HLOOKUP($B2, 'J-Class25ppm_SCR_Filtered'!$G$5:$L$38, 8, FALSE)</f>
        <v>9370</v>
      </c>
      <c r="D2" s="51">
        <f>HLOOKUP($B2, 'J-Class25ppm_SCR_Filtered'!$G$5:$L$38, 9, FALSE)</f>
        <v>9300</v>
      </c>
      <c r="E2" s="65">
        <f>HLOOKUP($B2, 'J-Class25ppm_SCR_Filtered'!$G$5:$L$38, 32, FALSE)</f>
        <v>1.3900000000000001</v>
      </c>
      <c r="F2" s="65">
        <f>HLOOKUP($B2, 'J-Class25ppm_SCR_Filtered'!$G$5:$L$38, 33, FALSE)</f>
        <v>10.93</v>
      </c>
      <c r="G2" s="65">
        <f>HLOOKUP($B2, 'J-Class25ppm_SCR_Filtered'!$G$5:$L$38, 4, FALSE)</f>
        <v>359</v>
      </c>
      <c r="H2" s="65">
        <f>HLOOKUP($B2, 'J-Class25ppm_SCR_Filtered'!$G$5:$L$38, 5, FALSE)</f>
        <v>371.1</v>
      </c>
      <c r="I2" s="65">
        <f>HLOOKUP($B2, 'J-Class25ppm_SCR_Filtered'!$G$5:$L$38, 29, FALSE)</f>
        <v>490</v>
      </c>
      <c r="J2" s="65">
        <f>HLOOKUP($B2, 'J-Class25ppm_SCR_Filtered'!$G$5:$L$38, 34, FALSE)</f>
        <v>26600</v>
      </c>
      <c r="K2" s="65">
        <f>HLOOKUP($B2, 'J-Class25ppm_SCR_Filtered'!$G$5:$L$38, 12, FALSE)</f>
        <v>26.484796573875801</v>
      </c>
      <c r="L2" s="65">
        <f>HLOOKUP($B2, 'J-Class25ppm_SCR_Filtered'!$G$5:$L$38, 13, FALSE)</f>
        <v>6.922162740899358</v>
      </c>
      <c r="M2" s="65">
        <f>HLOOKUP($B2, 'J-Class25ppm_SCR_Filtered'!$G$5:$L$38, 14, FALSE)</f>
        <v>415329.76445396146</v>
      </c>
      <c r="N2" s="65">
        <f>HLOOKUP($B2, 'J-Class25ppm_SCR_Filtered'!$G$5:$L$38, 16, FALSE)</f>
        <v>26.286937901498931</v>
      </c>
      <c r="O2" s="65">
        <f>HLOOKUP($B2, 'J-Class25ppm_SCR_Filtered'!$G$5:$L$38, 17, FALSE)</f>
        <v>6.8704496788008562</v>
      </c>
      <c r="P2" s="65">
        <f>HLOOKUP($B2, 'J-Class25ppm_SCR_Filtered'!$G$5:$L$38, 18, FALSE)</f>
        <v>412226.98072805139</v>
      </c>
      <c r="Q2" s="65">
        <f>HLOOKUP($B2, 'J-Class25ppm_SCR_Filtered'!$G$5:$L$38, 20, FALSE)</f>
        <v>96.308351177730188</v>
      </c>
      <c r="R2" s="65">
        <f>HLOOKUP($B2, 'J-Class25ppm_SCR_Filtered'!$G$5:$L$38, 21, FALSE)</f>
        <v>5.3170235546038542</v>
      </c>
      <c r="S2" s="65">
        <f>HLOOKUP($B2, 'J-Class25ppm_SCR_Filtered'!$G$5:$L$38, 22, FALSE)</f>
        <v>553773.01927194861</v>
      </c>
      <c r="T2" s="65">
        <f>HLOOKUP($B2, 'J-Class25ppm_SCR_Filtered'!$G$5:$L$38, 24, FALSE)</f>
        <v>95.58886509635974</v>
      </c>
      <c r="U2" s="65">
        <f>HLOOKUP($B2, 'J-Class25ppm_SCR_Filtered'!$G$5:$L$38, 25, FALSE)</f>
        <v>5.2773019271948609</v>
      </c>
      <c r="V2" s="65">
        <f>HLOOKUP($B2, 'J-Class25ppm_SCR_Filtered'!$G$5:$L$38, 26, FALSE)</f>
        <v>549635.97430406848</v>
      </c>
      <c r="W2" s="65">
        <f>1-HLOOKUP($B2, 'J-Class25ppm_SCR_Filtered'!$G$5:$L$38, 30, FALSE)</f>
        <v>0.95660000000000001</v>
      </c>
    </row>
    <row r="3" spans="1:23" x14ac:dyDescent="0.2">
      <c r="A3" s="10" t="s">
        <v>31</v>
      </c>
      <c r="B3" s="46" t="s">
        <v>28</v>
      </c>
      <c r="C3" s="51">
        <f>HLOOKUP($B3, 'J-Class25ppm_SCR_Filtered'!$G$5:$L$38, 8, FALSE)</f>
        <v>9370</v>
      </c>
      <c r="D3" s="51">
        <f>HLOOKUP($B3, 'J-Class25ppm_SCR_Filtered'!$G$5:$L$38, 9, FALSE)</f>
        <v>9300</v>
      </c>
      <c r="E3" s="65">
        <f>HLOOKUP($B3, 'J-Class25ppm_SCR_Filtered'!$G$5:$L$38, 32, FALSE)</f>
        <v>1.4300000000000002</v>
      </c>
      <c r="F3" s="65">
        <f>HLOOKUP($B3, 'J-Class25ppm_SCR_Filtered'!$G$5:$L$38, 33, FALSE)</f>
        <v>11.459999999999999</v>
      </c>
      <c r="G3" s="65">
        <f>HLOOKUP($B3, 'J-Class25ppm_SCR_Filtered'!$G$5:$L$38, 4, FALSE)</f>
        <v>358.7</v>
      </c>
      <c r="H3" s="65">
        <f>HLOOKUP($B3, 'J-Class25ppm_SCR_Filtered'!$G$5:$L$38, 5, FALSE)</f>
        <v>370.2</v>
      </c>
      <c r="I3" s="65">
        <f>HLOOKUP($B3, 'J-Class25ppm_SCR_Filtered'!$G$5:$L$38, 29, FALSE)</f>
        <v>490</v>
      </c>
      <c r="J3" s="65">
        <f>HLOOKUP($B3, 'J-Class25ppm_SCR_Filtered'!$G$5:$L$38, 34, FALSE)</f>
        <v>26600</v>
      </c>
      <c r="K3" s="65">
        <f>HLOOKUP($B3, 'J-Class25ppm_SCR_Filtered'!$G$5:$L$38, 12, FALSE)</f>
        <v>26.484796573875801</v>
      </c>
      <c r="L3" s="65">
        <f>HLOOKUP($B3, 'J-Class25ppm_SCR_Filtered'!$G$5:$L$38, 13, FALSE)</f>
        <v>6.922162740899358</v>
      </c>
      <c r="M3" s="65">
        <f>HLOOKUP($B3, 'J-Class25ppm_SCR_Filtered'!$G$5:$L$38, 14, FALSE)</f>
        <v>415329.76445396146</v>
      </c>
      <c r="N3" s="65">
        <f>HLOOKUP($B3, 'J-Class25ppm_SCR_Filtered'!$G$5:$L$38, 16, FALSE)</f>
        <v>26.286937901498931</v>
      </c>
      <c r="O3" s="65">
        <f>HLOOKUP($B3, 'J-Class25ppm_SCR_Filtered'!$G$5:$L$38, 17, FALSE)</f>
        <v>6.8704496788008562</v>
      </c>
      <c r="P3" s="65">
        <f>HLOOKUP($B3, 'J-Class25ppm_SCR_Filtered'!$G$5:$L$38, 18, FALSE)</f>
        <v>412226.98072805139</v>
      </c>
      <c r="Q3" s="65">
        <f>HLOOKUP($B3, 'J-Class25ppm_SCR_Filtered'!$G$5:$L$38, 20, FALSE)</f>
        <v>96.308351177730188</v>
      </c>
      <c r="R3" s="65">
        <f>HLOOKUP($B3, 'J-Class25ppm_SCR_Filtered'!$G$5:$L$38, 21, FALSE)</f>
        <v>5.3170235546038542</v>
      </c>
      <c r="S3" s="65">
        <f>HLOOKUP($B3, 'J-Class25ppm_SCR_Filtered'!$G$5:$L$38, 22, FALSE)</f>
        <v>553773.01927194861</v>
      </c>
      <c r="T3" s="65">
        <f>HLOOKUP($B3, 'J-Class25ppm_SCR_Filtered'!$G$5:$L$38, 24, FALSE)</f>
        <v>95.58886509635974</v>
      </c>
      <c r="U3" s="65">
        <f>HLOOKUP($B3, 'J-Class25ppm_SCR_Filtered'!$G$5:$L$38, 25, FALSE)</f>
        <v>5.2773019271948609</v>
      </c>
      <c r="V3" s="65">
        <f>HLOOKUP($B3, 'J-Class25ppm_SCR_Filtered'!$G$5:$L$38, 26, FALSE)</f>
        <v>549635.97430406848</v>
      </c>
      <c r="W3" s="65">
        <f>1-HLOOKUP($B3, 'J-Class25ppm_SCR_Filtered'!$G$5:$L$38, 30, FALSE)</f>
        <v>0.95660000000000001</v>
      </c>
    </row>
    <row r="4" spans="1:23" x14ac:dyDescent="0.2">
      <c r="A4" s="10" t="s">
        <v>54</v>
      </c>
      <c r="B4" s="46" t="s">
        <v>20</v>
      </c>
      <c r="C4" s="51">
        <f>HLOOKUP($B4, 'J-Class25ppm_SCR_Filtered'!$G$5:$L$38, 8, FALSE)</f>
        <v>9360</v>
      </c>
      <c r="D4" s="51">
        <f>HLOOKUP($B4, 'J-Class25ppm_SCR_Filtered'!$G$5:$L$38, 9, FALSE)</f>
        <v>9300</v>
      </c>
      <c r="E4" s="65">
        <f>HLOOKUP($B4, 'J-Class25ppm_SCR_Filtered'!$G$5:$L$38, 32, FALSE)</f>
        <v>1.3900000000000001</v>
      </c>
      <c r="F4" s="65">
        <f>HLOOKUP($B4, 'J-Class25ppm_SCR_Filtered'!$G$5:$L$38, 33, FALSE)</f>
        <v>10.93</v>
      </c>
      <c r="G4" s="65">
        <f>HLOOKUP($B4, 'J-Class25ppm_SCR_Filtered'!$G$5:$L$38, 4, FALSE)</f>
        <v>357.4</v>
      </c>
      <c r="H4" s="65">
        <f>HLOOKUP($B4, 'J-Class25ppm_SCR_Filtered'!$G$5:$L$38, 5, FALSE)</f>
        <v>370.2</v>
      </c>
      <c r="I4" s="65">
        <f>HLOOKUP($B4, 'J-Class25ppm_SCR_Filtered'!$G$5:$L$38, 29, FALSE)</f>
        <v>490</v>
      </c>
      <c r="J4" s="65">
        <f>HLOOKUP($B4, 'J-Class25ppm_SCR_Filtered'!$G$5:$L$38, 34, FALSE)</f>
        <v>26600</v>
      </c>
      <c r="K4" s="65">
        <f>HLOOKUP($B4, 'J-Class25ppm_SCR_Filtered'!$G$5:$L$38, 12, FALSE)</f>
        <v>26.456531049250536</v>
      </c>
      <c r="L4" s="65">
        <f>HLOOKUP($B4, 'J-Class25ppm_SCR_Filtered'!$G$5:$L$38, 13, FALSE)</f>
        <v>6.9147751605995715</v>
      </c>
      <c r="M4" s="65">
        <f>HLOOKUP($B4, 'J-Class25ppm_SCR_Filtered'!$G$5:$L$38, 14, FALSE)</f>
        <v>412481.3704496788</v>
      </c>
      <c r="N4" s="65">
        <f>HLOOKUP($B4, 'J-Class25ppm_SCR_Filtered'!$G$5:$L$38, 16, FALSE)</f>
        <v>26.286937901498931</v>
      </c>
      <c r="O4" s="65">
        <f>HLOOKUP($B4, 'J-Class25ppm_SCR_Filtered'!$G$5:$L$38, 17, FALSE)</f>
        <v>6.8704496788008562</v>
      </c>
      <c r="P4" s="65">
        <f>HLOOKUP($B4, 'J-Class25ppm_SCR_Filtered'!$G$5:$L$38, 18, FALSE)</f>
        <v>409837.2591006424</v>
      </c>
      <c r="Q4" s="65">
        <f>HLOOKUP($B4, 'J-Class25ppm_SCR_Filtered'!$G$5:$L$38, 20, FALSE)</f>
        <v>96.20556745182013</v>
      </c>
      <c r="R4" s="65">
        <f>HLOOKUP($B4, 'J-Class25ppm_SCR_Filtered'!$G$5:$L$38, 21, FALSE)</f>
        <v>5.2111349036402572</v>
      </c>
      <c r="S4" s="65">
        <f>HLOOKUP($B4, 'J-Class25ppm_SCR_Filtered'!$G$5:$L$38, 22, FALSE)</f>
        <v>549975.16059957177</v>
      </c>
      <c r="T4" s="65">
        <f>HLOOKUP($B4, 'J-Class25ppm_SCR_Filtered'!$G$5:$L$38, 24, FALSE)</f>
        <v>95.58886509635974</v>
      </c>
      <c r="U4" s="65">
        <f>HLOOKUP($B4, 'J-Class25ppm_SCR_Filtered'!$G$5:$L$38, 25, FALSE)</f>
        <v>5.1777301927194861</v>
      </c>
      <c r="V4" s="65">
        <f>HLOOKUP($B4, 'J-Class25ppm_SCR_Filtered'!$G$5:$L$38, 26, FALSE)</f>
        <v>546449.67880085658</v>
      </c>
      <c r="W4" s="65">
        <f>1-HLOOKUP($B4, 'J-Class25ppm_SCR_Filtered'!$G$5:$L$38, 30, FALSE)</f>
        <v>0.95660000000000001</v>
      </c>
    </row>
    <row r="5" spans="1:23" x14ac:dyDescent="0.2">
      <c r="A5" s="10" t="s">
        <v>36</v>
      </c>
      <c r="B5" s="46" t="s">
        <v>21</v>
      </c>
      <c r="C5" s="51">
        <f>HLOOKUP($B5, 'J-Class25ppm_SCR_Filtered'!$G$5:$L$38, 8, FALSE)</f>
        <v>9360</v>
      </c>
      <c r="D5" s="51">
        <f>HLOOKUP($B5, 'J-Class25ppm_SCR_Filtered'!$G$5:$L$38, 9, FALSE)</f>
        <v>9300</v>
      </c>
      <c r="E5" s="65">
        <f>HLOOKUP($B5, 'J-Class25ppm_SCR_Filtered'!$G$5:$L$38, 32, FALSE)</f>
        <v>1.3900000000000001</v>
      </c>
      <c r="F5" s="65">
        <f>HLOOKUP($B5, 'J-Class25ppm_SCR_Filtered'!$G$5:$L$38, 33, FALSE)</f>
        <v>10.93</v>
      </c>
      <c r="G5" s="65">
        <f>HLOOKUP($B5, 'J-Class25ppm_SCR_Filtered'!$G$5:$L$38, 4, FALSE)</f>
        <v>357.4</v>
      </c>
      <c r="H5" s="65">
        <f>HLOOKUP($B5, 'J-Class25ppm_SCR_Filtered'!$G$5:$L$38, 5, FALSE)</f>
        <v>370.2</v>
      </c>
      <c r="I5" s="65">
        <f>HLOOKUP($B5, 'J-Class25ppm_SCR_Filtered'!$G$5:$L$38, 29, FALSE)</f>
        <v>490</v>
      </c>
      <c r="J5" s="65">
        <f>HLOOKUP($B5, 'J-Class25ppm_SCR_Filtered'!$G$5:$L$38, 34, FALSE)</f>
        <v>26600</v>
      </c>
      <c r="K5" s="65">
        <f>HLOOKUP($B5, 'J-Class25ppm_SCR_Filtered'!$G$5:$L$38, 12, FALSE)</f>
        <v>26.456531049250536</v>
      </c>
      <c r="L5" s="65">
        <f>HLOOKUP($B5, 'J-Class25ppm_SCR_Filtered'!$G$5:$L$38, 13, FALSE)</f>
        <v>6.9147751605995715</v>
      </c>
      <c r="M5" s="65">
        <f>HLOOKUP($B5, 'J-Class25ppm_SCR_Filtered'!$G$5:$L$38, 14, FALSE)</f>
        <v>412481.3704496788</v>
      </c>
      <c r="N5" s="65">
        <f>HLOOKUP($B5, 'J-Class25ppm_SCR_Filtered'!$G$5:$L$38, 16, FALSE)</f>
        <v>26.286937901498931</v>
      </c>
      <c r="O5" s="65">
        <f>HLOOKUP($B5, 'J-Class25ppm_SCR_Filtered'!$G$5:$L$38, 17, FALSE)</f>
        <v>6.8704496788008562</v>
      </c>
      <c r="P5" s="65">
        <f>HLOOKUP($B5, 'J-Class25ppm_SCR_Filtered'!$G$5:$L$38, 18, FALSE)</f>
        <v>409837.2591006424</v>
      </c>
      <c r="Q5" s="65">
        <f>HLOOKUP($B5, 'J-Class25ppm_SCR_Filtered'!$G$5:$L$38, 20, FALSE)</f>
        <v>96.20556745182013</v>
      </c>
      <c r="R5" s="65">
        <f>HLOOKUP($B5, 'J-Class25ppm_SCR_Filtered'!$G$5:$L$38, 21, FALSE)</f>
        <v>5.2111349036402572</v>
      </c>
      <c r="S5" s="65">
        <f>HLOOKUP($B5, 'J-Class25ppm_SCR_Filtered'!$G$5:$L$38, 22, FALSE)</f>
        <v>549975.16059957177</v>
      </c>
      <c r="T5" s="65">
        <f>HLOOKUP($B5, 'J-Class25ppm_SCR_Filtered'!$G$5:$L$38, 24, FALSE)</f>
        <v>95.58886509635974</v>
      </c>
      <c r="U5" s="65">
        <f>HLOOKUP($B5, 'J-Class25ppm_SCR_Filtered'!$G$5:$L$38, 25, FALSE)</f>
        <v>5.1777301927194861</v>
      </c>
      <c r="V5" s="65">
        <f>HLOOKUP($B5, 'J-Class25ppm_SCR_Filtered'!$G$5:$L$38, 26, FALSE)</f>
        <v>546449.67880085658</v>
      </c>
      <c r="W5" s="65">
        <f>1-HLOOKUP($B5, 'J-Class25ppm_SCR_Filtered'!$G$5:$L$38, 30, FALSE)</f>
        <v>0.95660000000000001</v>
      </c>
    </row>
    <row r="6" spans="1:23" x14ac:dyDescent="0.2">
      <c r="A6" s="10" t="s">
        <v>30</v>
      </c>
      <c r="B6" s="46" t="s">
        <v>4</v>
      </c>
      <c r="C6" s="51">
        <f>HLOOKUP($B6, 'J-Class25ppm_SCR_Filtered'!$G$5:$L$38, 8, FALSE)</f>
        <v>9350</v>
      </c>
      <c r="D6" s="51">
        <f>HLOOKUP($B6, 'J-Class25ppm_SCR_Filtered'!$G$5:$L$38, 9, FALSE)</f>
        <v>9290</v>
      </c>
      <c r="E6" s="65">
        <f>HLOOKUP($B6, 'J-Class25ppm_SCR_Filtered'!$G$5:$L$38, 32, FALSE)</f>
        <v>1.3900000000000001</v>
      </c>
      <c r="F6" s="65">
        <f>HLOOKUP($B6, 'J-Class25ppm_SCR_Filtered'!$G$5:$L$38, 33, FALSE)</f>
        <v>10.91</v>
      </c>
      <c r="G6" s="65">
        <f>HLOOKUP($B6, 'J-Class25ppm_SCR_Filtered'!$G$5:$L$38, 4, FALSE)</f>
        <v>357.7</v>
      </c>
      <c r="H6" s="65">
        <f>HLOOKUP($B6, 'J-Class25ppm_SCR_Filtered'!$G$5:$L$38, 5, FALSE)</f>
        <v>369.2</v>
      </c>
      <c r="I6" s="65">
        <f>HLOOKUP($B6, 'J-Class25ppm_SCR_Filtered'!$G$5:$L$38, 29, FALSE)</f>
        <v>490</v>
      </c>
      <c r="J6" s="65">
        <f>HLOOKUP($B6, 'J-Class25ppm_SCR_Filtered'!$G$5:$L$38, 34, FALSE)</f>
        <v>26600</v>
      </c>
      <c r="K6" s="65">
        <f>HLOOKUP($B6, 'J-Class25ppm_SCR_Filtered'!$G$5:$L$38, 12, FALSE)</f>
        <v>26.428265524625267</v>
      </c>
      <c r="L6" s="65">
        <f>HLOOKUP($B6, 'J-Class25ppm_SCR_Filtered'!$G$5:$L$38, 13, FALSE)</f>
        <v>6.8072805139186299</v>
      </c>
      <c r="M6" s="65">
        <f>HLOOKUP($B6, 'J-Class25ppm_SCR_Filtered'!$G$5:$L$38, 14, FALSE)</f>
        <v>410839.40042826551</v>
      </c>
      <c r="N6" s="65">
        <f>HLOOKUP($B6, 'J-Class25ppm_SCR_Filtered'!$G$5:$L$38, 16, FALSE)</f>
        <v>26.258672376873662</v>
      </c>
      <c r="O6" s="65">
        <f>HLOOKUP($B6, 'J-Class25ppm_SCR_Filtered'!$G$5:$L$38, 17, FALSE)</f>
        <v>6.7635974304068522</v>
      </c>
      <c r="P6" s="65">
        <f>HLOOKUP($B6, 'J-Class25ppm_SCR_Filtered'!$G$5:$L$38, 18, FALSE)</f>
        <v>408202.9978586724</v>
      </c>
      <c r="Q6" s="65">
        <f>HLOOKUP($B6, 'J-Class25ppm_SCR_Filtered'!$G$5:$L$38, 20, FALSE)</f>
        <v>96.102783725910058</v>
      </c>
      <c r="R6" s="65">
        <f>HLOOKUP($B6, 'J-Class25ppm_SCR_Filtered'!$G$5:$L$38, 21, FALSE)</f>
        <v>5.2055674518201283</v>
      </c>
      <c r="S6" s="65">
        <f>HLOOKUP($B6, 'J-Class25ppm_SCR_Filtered'!$G$5:$L$38, 22, FALSE)</f>
        <v>547785.86723768734</v>
      </c>
      <c r="T6" s="65">
        <f>HLOOKUP($B6, 'J-Class25ppm_SCR_Filtered'!$G$5:$L$38, 24, FALSE)</f>
        <v>95.486081370449682</v>
      </c>
      <c r="U6" s="65">
        <f>HLOOKUP($B6, 'J-Class25ppm_SCR_Filtered'!$G$5:$L$38, 25, FALSE)</f>
        <v>5.172162740899358</v>
      </c>
      <c r="V6" s="65">
        <f>HLOOKUP($B6, 'J-Class25ppm_SCR_Filtered'!$G$5:$L$38, 26, FALSE)</f>
        <v>544270.66381156316</v>
      </c>
      <c r="W6" s="65">
        <f>1-HLOOKUP($B6, 'J-Class25ppm_SCR_Filtered'!$G$5:$L$38, 30, FALSE)</f>
        <v>0.95660000000000001</v>
      </c>
    </row>
    <row r="7" spans="1:23" x14ac:dyDescent="0.2">
      <c r="A7" s="10" t="s">
        <v>29</v>
      </c>
      <c r="B7" s="46" t="s">
        <v>5</v>
      </c>
      <c r="C7" s="51">
        <f>HLOOKUP($B7, 'J-Class25ppm_SCR_Filtered'!$G$5:$L$38, 8, FALSE)</f>
        <v>9350</v>
      </c>
      <c r="D7" s="51">
        <f>HLOOKUP($B7, 'J-Class25ppm_SCR_Filtered'!$G$5:$L$38, 9, FALSE)</f>
        <v>9280</v>
      </c>
      <c r="E7" s="65">
        <f>HLOOKUP($B7, 'J-Class25ppm_SCR_Filtered'!$G$5:$L$38, 32, FALSE)</f>
        <v>1.4</v>
      </c>
      <c r="F7" s="65">
        <f>HLOOKUP($B7, 'J-Class25ppm_SCR_Filtered'!$G$5:$L$38, 33, FALSE)</f>
        <v>10.91</v>
      </c>
      <c r="G7" s="65">
        <f>HLOOKUP($B7, 'J-Class25ppm_SCR_Filtered'!$G$5:$L$38, 4, FALSE)</f>
        <v>355.6</v>
      </c>
      <c r="H7" s="65">
        <f>HLOOKUP($B7, 'J-Class25ppm_SCR_Filtered'!$G$5:$L$38, 5, FALSE)</f>
        <v>367.4</v>
      </c>
      <c r="I7" s="65">
        <f>HLOOKUP($B7, 'J-Class25ppm_SCR_Filtered'!$G$5:$L$38, 29, FALSE)</f>
        <v>490</v>
      </c>
      <c r="J7" s="65">
        <f>HLOOKUP($B7, 'J-Class25ppm_SCR_Filtered'!$G$5:$L$38, 34, FALSE)</f>
        <v>26600</v>
      </c>
      <c r="K7" s="65">
        <f>HLOOKUP($B7, 'J-Class25ppm_SCR_Filtered'!$G$5:$L$38, 12, FALSE)</f>
        <v>26.428265524625267</v>
      </c>
      <c r="L7" s="65">
        <f>HLOOKUP($B7, 'J-Class25ppm_SCR_Filtered'!$G$5:$L$38, 13, FALSE)</f>
        <v>6.8072805139186299</v>
      </c>
      <c r="M7" s="65">
        <f>HLOOKUP($B7, 'J-Class25ppm_SCR_Filtered'!$G$5:$L$38, 14, FALSE)</f>
        <v>408436.83083511778</v>
      </c>
      <c r="N7" s="65">
        <f>HLOOKUP($B7, 'J-Class25ppm_SCR_Filtered'!$G$5:$L$38, 16, FALSE)</f>
        <v>26.230406852248393</v>
      </c>
      <c r="O7" s="65">
        <f>HLOOKUP($B7, 'J-Class25ppm_SCR_Filtered'!$G$5:$L$38, 17, FALSE)</f>
        <v>6.7563169164882231</v>
      </c>
      <c r="P7" s="65">
        <f>HLOOKUP($B7, 'J-Class25ppm_SCR_Filtered'!$G$5:$L$38, 18, FALSE)</f>
        <v>405379.01498929336</v>
      </c>
      <c r="Q7" s="65">
        <f>HLOOKUP($B7, 'J-Class25ppm_SCR_Filtered'!$G$5:$L$38, 20, FALSE)</f>
        <v>96.102783725910058</v>
      </c>
      <c r="R7" s="65">
        <f>HLOOKUP($B7, 'J-Class25ppm_SCR_Filtered'!$G$5:$L$38, 21, FALSE)</f>
        <v>5.2055674518201283</v>
      </c>
      <c r="S7" s="65">
        <f>HLOOKUP($B7, 'J-Class25ppm_SCR_Filtered'!$G$5:$L$38, 22, FALSE)</f>
        <v>544582.44111349038</v>
      </c>
      <c r="T7" s="65">
        <f>HLOOKUP($B7, 'J-Class25ppm_SCR_Filtered'!$G$5:$L$38, 24, FALSE)</f>
        <v>95.38329764453961</v>
      </c>
      <c r="U7" s="65">
        <f>HLOOKUP($B7, 'J-Class25ppm_SCR_Filtered'!$G$5:$L$38, 25, FALSE)</f>
        <v>5.166595289079229</v>
      </c>
      <c r="V7" s="65">
        <f>HLOOKUP($B7, 'J-Class25ppm_SCR_Filtered'!$G$5:$L$38, 26, FALSE)</f>
        <v>540505.35331905785</v>
      </c>
      <c r="W7" s="65">
        <f>1-HLOOKUP($B7, 'J-Class25ppm_SCR_Filtered'!$G$5:$L$38, 30, FALSE)</f>
        <v>0.95660000000000001</v>
      </c>
    </row>
  </sheetData>
  <pageMargins left="0.7" right="0.7" top="0.75" bottom="0.75" header="0.3" footer="0.3"/>
  <pageSetup scale="59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7</vt:i4>
      </vt:variant>
    </vt:vector>
  </HeadingPairs>
  <TitlesOfParts>
    <vt:vector size="28" baseType="lpstr">
      <vt:lpstr>MODEL INPUTS -&gt;</vt:lpstr>
      <vt:lpstr>gen_params_CTs_reserves</vt:lpstr>
      <vt:lpstr>CTs_runtimes_scr</vt:lpstr>
      <vt:lpstr>nox_limits</vt:lpstr>
      <vt:lpstr>tech_params_aero</vt:lpstr>
      <vt:lpstr>tech_params_aero_noscr</vt:lpstr>
      <vt:lpstr>tech_params_f</vt:lpstr>
      <vt:lpstr>tech_params_f_noscr</vt:lpstr>
      <vt:lpstr>tech_params_j25</vt:lpstr>
      <vt:lpstr>tech_params_j25_noscr</vt:lpstr>
      <vt:lpstr>tech_params_j15_noscr</vt:lpstr>
      <vt:lpstr>tech_params_ccj</vt:lpstr>
      <vt:lpstr>DATA -&gt;</vt:lpstr>
      <vt:lpstr>Aero_NoSCR_Filtered</vt:lpstr>
      <vt:lpstr>Aero_SCR_Filtered</vt:lpstr>
      <vt:lpstr>F-Class_NoSCR_Filtered</vt:lpstr>
      <vt:lpstr>F-Class_SCR_Filtered</vt:lpstr>
      <vt:lpstr>J-Class25ppm_NoSCR_Filtered</vt:lpstr>
      <vt:lpstr>J-Class25ppm_SCR_Filtered</vt:lpstr>
      <vt:lpstr>J-Class15ppm_NoSCR_Filtered</vt:lpstr>
      <vt:lpstr>J-Class_CC_Filtered</vt:lpstr>
      <vt:lpstr>Aero_SCR_Filtered!Print_Area</vt:lpstr>
      <vt:lpstr>'F-Class_NoSCR_Filtered'!Print_Area</vt:lpstr>
      <vt:lpstr>'F-Class_SCR_Filtered'!Print_Area</vt:lpstr>
      <vt:lpstr>'J-Class_CC_Filtered'!Print_Area</vt:lpstr>
      <vt:lpstr>'J-Class15ppm_NoSCR_Filtered'!Print_Area</vt:lpstr>
      <vt:lpstr>'J-Class25ppm_NoSCR_Filtered'!Print_Area</vt:lpstr>
      <vt:lpstr>'J-Class25ppm_SCR_Filtered'!Print_Area</vt:lpstr>
    </vt:vector>
  </TitlesOfParts>
  <Company>Analysis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Ellery, Berk</dc:creator>
  <cp:lastModifiedBy>Farrell, Tyler</cp:lastModifiedBy>
  <cp:lastPrinted>2016-07-07T19:35:52Z</cp:lastPrinted>
  <dcterms:created xsi:type="dcterms:W3CDTF">2016-02-17T16:35:50Z</dcterms:created>
  <dcterms:modified xsi:type="dcterms:W3CDTF">2021-04-13T21:48:36Z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{AA5891EE-2CCB-4304-9EF3-256D71BE2893}</vt:lpwstr>
  </property>
</Properties>
</file>