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 yWindow="96" windowWidth="15576" windowHeight="11820" tabRatio="847" firstSheet="25" activeTab="33"/>
  </bookViews>
  <sheets>
    <sheet name="Index" sheetId="1" r:id="rId1"/>
    <sheet name="SUMMARY" sheetId="2" r:id="rId2"/>
    <sheet name="A1-O&amp;M" sheetId="3" r:id="rId3"/>
    <sheet name="A2-A&amp;G" sheetId="4" r:id="rId4"/>
    <sheet name="B1-Depn" sheetId="5" r:id="rId5"/>
    <sheet name="B2-Plant" sheetId="6" r:id="rId6"/>
    <sheet name="B3-Depn Rates" sheetId="7" r:id="rId7"/>
    <sheet name="C1-Rate Base" sheetId="8" r:id="rId8"/>
    <sheet name="D1-Cap Structure" sheetId="9" r:id="rId9"/>
    <sheet name="E1-Labor Ratio" sheetId="10" r:id="rId10"/>
    <sheet name="F1-Proj RR" sheetId="11" r:id="rId11"/>
    <sheet name="F2-Incentives" sheetId="12" r:id="rId12"/>
    <sheet name="F3-True-Up" sheetId="13" r:id="rId13"/>
    <sheet name="WP-AA" sheetId="14" r:id="rId14"/>
    <sheet name="WP-AB" sheetId="15" r:id="rId15"/>
    <sheet name="WP-AC" sheetId="16" r:id="rId16"/>
    <sheet name="WP-AD" sheetId="17" r:id="rId17"/>
    <sheet name="WP-AE" sheetId="18" r:id="rId18"/>
    <sheet name="WP-AF" sheetId="19" r:id="rId19"/>
    <sheet name="WP-AG" sheetId="20" r:id="rId20"/>
    <sheet name="WP-AH" sheetId="21" r:id="rId21"/>
    <sheet name="WP-AI" sheetId="22" r:id="rId22"/>
    <sheet name="WP-BA" sheetId="23" r:id="rId23"/>
    <sheet name="WP-BB" sheetId="24" r:id="rId24"/>
    <sheet name="WP-BC" sheetId="25" r:id="rId25"/>
    <sheet name="WP-BD" sheetId="26" r:id="rId26"/>
    <sheet name="WP-BE" sheetId="27" r:id="rId27"/>
    <sheet name="WP-BF" sheetId="28" r:id="rId28"/>
    <sheet name="WP-BG" sheetId="29" r:id="rId29"/>
    <sheet name="WP-BH" sheetId="30" r:id="rId30"/>
    <sheet name="WP-BI" sheetId="31" r:id="rId31"/>
    <sheet name="WP-CA" sheetId="32" r:id="rId32"/>
    <sheet name="WP-CB" sheetId="33" r:id="rId33"/>
    <sheet name="WP-DA" sheetId="34" r:id="rId34"/>
    <sheet name="WP-DB" sheetId="35" r:id="rId35"/>
    <sheet name="WP-EA" sheetId="36" r:id="rId36"/>
    <sheet name="WP-AR-IS" sheetId="37" r:id="rId37"/>
    <sheet name="WP-AR-BS" sheetId="38" r:id="rId38"/>
    <sheet name="WP-AR-Cap Assets" sheetId="39" r:id="rId39"/>
    <sheet name="WP-Reconciliations" sheetId="40" r:id="rId40"/>
  </sheets>
  <externalReferences>
    <externalReference r:id="rId43"/>
    <externalReference r:id="rId44"/>
  </externalReferences>
  <definedNames>
    <definedName name="_Key1" localSheetId="37" hidden="1">#REF!</definedName>
    <definedName name="_Key1" localSheetId="36" hidden="1">#REF!</definedName>
    <definedName name="_Key1" localSheetId="23" hidden="1">#REF!</definedName>
    <definedName name="_Key1" localSheetId="24" hidden="1">#REF!</definedName>
    <definedName name="_Key1" hidden="1">#REF!</definedName>
    <definedName name="_Order1" hidden="1">255</definedName>
    <definedName name="_Sort" localSheetId="37" hidden="1">#REF!</definedName>
    <definedName name="_Sort" localSheetId="36" hidden="1">#REF!</definedName>
    <definedName name="_Sort" localSheetId="23" hidden="1">#REF!</definedName>
    <definedName name="_Sort" localSheetId="24" hidden="1">#REF!</definedName>
    <definedName name="_Sort" hidden="1">#REF!</definedName>
    <definedName name="ASH_KENSICO" localSheetId="4">#REF!</definedName>
    <definedName name="ASH_KENSICO" localSheetId="15">#REF!</definedName>
    <definedName name="ASH_KENSICO" localSheetId="16">#REF!</definedName>
    <definedName name="ASH_KENSICO" localSheetId="19">#REF!</definedName>
    <definedName name="ASH_KENSICO" localSheetId="20">#REF!</definedName>
    <definedName name="ASH_KENSICO" localSheetId="37">#REF!</definedName>
    <definedName name="ASH_KENSICO" localSheetId="36">#REF!</definedName>
    <definedName name="ASH_KENSICO" localSheetId="22">#REF!</definedName>
    <definedName name="ASH_KENSICO" localSheetId="23">#REF!</definedName>
    <definedName name="ASH_KENSICO" localSheetId="24">#REF!</definedName>
    <definedName name="ASH_KENSICO" localSheetId="32">#REF!</definedName>
    <definedName name="ASH_KENSICO" localSheetId="35">#REF!</definedName>
    <definedName name="ASH_KENSICO">#REF!</definedName>
    <definedName name="BLEN_GILBOA" localSheetId="4">#REF!</definedName>
    <definedName name="BLEN_GILBOA" localSheetId="15">#REF!</definedName>
    <definedName name="BLEN_GILBOA" localSheetId="16">#REF!</definedName>
    <definedName name="BLEN_GILBOA" localSheetId="19">#REF!</definedName>
    <definedName name="BLEN_GILBOA" localSheetId="20">#REF!</definedName>
    <definedName name="BLEN_GILBOA" localSheetId="37">#REF!</definedName>
    <definedName name="BLEN_GILBOA" localSheetId="36">#REF!</definedName>
    <definedName name="BLEN_GILBOA" localSheetId="22">#REF!</definedName>
    <definedName name="BLEN_GILBOA" localSheetId="23">#REF!</definedName>
    <definedName name="BLEN_GILBOA" localSheetId="24">#REF!</definedName>
    <definedName name="BLEN_GILBOA" localSheetId="32">#REF!</definedName>
    <definedName name="BLEN_GILBOA" localSheetId="35">#REF!</definedName>
    <definedName name="BLEN_GILBOA">#REF!</definedName>
    <definedName name="FACILITY" localSheetId="4">#REF!</definedName>
    <definedName name="FACILITY" localSheetId="15">#REF!</definedName>
    <definedName name="FACILITY" localSheetId="16">#REF!</definedName>
    <definedName name="FACILITY" localSheetId="19">#REF!</definedName>
    <definedName name="FACILITY" localSheetId="20">#REF!</definedName>
    <definedName name="FACILITY" localSheetId="37">#REF!</definedName>
    <definedName name="FACILITY" localSheetId="36">#REF!</definedName>
    <definedName name="FACILITY" localSheetId="22">#REF!</definedName>
    <definedName name="FACILITY" localSheetId="23">#REF!</definedName>
    <definedName name="FACILITY" localSheetId="24">#REF!</definedName>
    <definedName name="FACILITY" localSheetId="32">#REF!</definedName>
    <definedName name="FACILITY" localSheetId="35">#REF!</definedName>
    <definedName name="FACILITY">#REF!</definedName>
    <definedName name="FITZPATRICK" localSheetId="4">#REF!</definedName>
    <definedName name="FITZPATRICK" localSheetId="15">#REF!</definedName>
    <definedName name="FITZPATRICK" localSheetId="16">#REF!</definedName>
    <definedName name="FITZPATRICK" localSheetId="19">#REF!</definedName>
    <definedName name="FITZPATRICK" localSheetId="20">#REF!</definedName>
    <definedName name="FITZPATRICK" localSheetId="37">#REF!</definedName>
    <definedName name="FITZPATRICK" localSheetId="36">#REF!</definedName>
    <definedName name="FITZPATRICK" localSheetId="22">#REF!</definedName>
    <definedName name="FITZPATRICK" localSheetId="23">#REF!</definedName>
    <definedName name="FITZPATRICK" localSheetId="24">#REF!</definedName>
    <definedName name="FITZPATRICK" localSheetId="32">#REF!</definedName>
    <definedName name="FITZPATRICK" localSheetId="35">#REF!</definedName>
    <definedName name="FITZPATRICK">#REF!</definedName>
    <definedName name="FLYNN" localSheetId="4">#REF!</definedName>
    <definedName name="FLYNN" localSheetId="15">#REF!</definedName>
    <definedName name="FLYNN" localSheetId="16">#REF!</definedName>
    <definedName name="FLYNN" localSheetId="19">#REF!</definedName>
    <definedName name="FLYNN" localSheetId="20">#REF!</definedName>
    <definedName name="FLYNN" localSheetId="37">#REF!</definedName>
    <definedName name="FLYNN" localSheetId="36">#REF!</definedName>
    <definedName name="FLYNN" localSheetId="22">#REF!</definedName>
    <definedName name="FLYNN" localSheetId="23">#REF!</definedName>
    <definedName name="FLYNN" localSheetId="24">#REF!</definedName>
    <definedName name="FLYNN" localSheetId="32">#REF!</definedName>
    <definedName name="FLYNN" localSheetId="35">#REF!</definedName>
    <definedName name="FLYNN">#REF!</definedName>
    <definedName name="FUNCTION" localSheetId="4">#REF!</definedName>
    <definedName name="FUNCTION" localSheetId="15">#REF!</definedName>
    <definedName name="FUNCTION" localSheetId="16">#REF!</definedName>
    <definedName name="FUNCTION" localSheetId="19">#REF!</definedName>
    <definedName name="FUNCTION" localSheetId="20">#REF!</definedName>
    <definedName name="FUNCTION" localSheetId="37">#REF!</definedName>
    <definedName name="FUNCTION" localSheetId="36">#REF!</definedName>
    <definedName name="FUNCTION" localSheetId="22">#REF!</definedName>
    <definedName name="FUNCTION" localSheetId="23">#REF!</definedName>
    <definedName name="FUNCTION" localSheetId="24">#REF!</definedName>
    <definedName name="FUNCTION" localSheetId="32">#REF!</definedName>
    <definedName name="FUNCTION" localSheetId="35">#REF!</definedName>
    <definedName name="FUNCTION">#REF!</definedName>
    <definedName name="GPLTdist">'[1]BK'!$N$462</definedName>
    <definedName name="GPLTprod">'[1]BK'!$J$462</definedName>
    <definedName name="GPLTtran">'[1]BK'!$L$462</definedName>
    <definedName name="HEADQUARTERS" localSheetId="4">#REF!</definedName>
    <definedName name="HEADQUARTERS" localSheetId="15">#REF!</definedName>
    <definedName name="HEADQUARTERS" localSheetId="16">#REF!</definedName>
    <definedName name="HEADQUARTERS" localSheetId="19">#REF!</definedName>
    <definedName name="HEADQUARTERS" localSheetId="20">#REF!</definedName>
    <definedName name="HEADQUARTERS" localSheetId="37">#REF!</definedName>
    <definedName name="HEADQUARTERS" localSheetId="36">#REF!</definedName>
    <definedName name="HEADQUARTERS" localSheetId="22">#REF!</definedName>
    <definedName name="HEADQUARTERS" localSheetId="23">#REF!</definedName>
    <definedName name="HEADQUARTERS" localSheetId="24">#REF!</definedName>
    <definedName name="HEADQUARTERS" localSheetId="32">#REF!</definedName>
    <definedName name="HEADQUARTERS" localSheetId="35">#REF!</definedName>
    <definedName name="HEADQUARTERS">#REF!</definedName>
    <definedName name="INDIAN_PT_3" localSheetId="4">#REF!</definedName>
    <definedName name="INDIAN_PT_3" localSheetId="15">#REF!</definedName>
    <definedName name="INDIAN_PT_3" localSheetId="16">#REF!</definedName>
    <definedName name="INDIAN_PT_3" localSheetId="19">#REF!</definedName>
    <definedName name="INDIAN_PT_3" localSheetId="20">#REF!</definedName>
    <definedName name="INDIAN_PT_3" localSheetId="37">#REF!</definedName>
    <definedName name="INDIAN_PT_3" localSheetId="36">#REF!</definedName>
    <definedName name="INDIAN_PT_3" localSheetId="22">#REF!</definedName>
    <definedName name="INDIAN_PT_3" localSheetId="23">#REF!</definedName>
    <definedName name="INDIAN_PT_3" localSheetId="24">#REF!</definedName>
    <definedName name="INDIAN_PT_3" localSheetId="32">#REF!</definedName>
    <definedName name="INDIAN_PT_3" localSheetId="35">#REF!</definedName>
    <definedName name="INDIAN_PT_3">#REF!</definedName>
    <definedName name="L.I.SOUND" localSheetId="4">#REF!</definedName>
    <definedName name="L.I.SOUND" localSheetId="15">#REF!</definedName>
    <definedName name="L.I.SOUND" localSheetId="16">#REF!</definedName>
    <definedName name="L.I.SOUND" localSheetId="19">#REF!</definedName>
    <definedName name="L.I.SOUND" localSheetId="20">#REF!</definedName>
    <definedName name="L.I.SOUND" localSheetId="37">#REF!</definedName>
    <definedName name="L.I.SOUND" localSheetId="36">#REF!</definedName>
    <definedName name="L.I.SOUND" localSheetId="22">#REF!</definedName>
    <definedName name="L.I.SOUND" localSheetId="23">#REF!</definedName>
    <definedName name="L.I.SOUND" localSheetId="24">#REF!</definedName>
    <definedName name="L.I.SOUND" localSheetId="32">#REF!</definedName>
    <definedName name="L.I.SOUND" localSheetId="35">#REF!</definedName>
    <definedName name="L.I.SOUND">#REF!</definedName>
    <definedName name="MARCY_SOUTH" localSheetId="4">#REF!</definedName>
    <definedName name="MARCY_SOUTH" localSheetId="15">#REF!</definedName>
    <definedName name="MARCY_SOUTH" localSheetId="16">#REF!</definedName>
    <definedName name="MARCY_SOUTH" localSheetId="19">#REF!</definedName>
    <definedName name="MARCY_SOUTH" localSheetId="20">#REF!</definedName>
    <definedName name="MARCY_SOUTH" localSheetId="37">#REF!</definedName>
    <definedName name="MARCY_SOUTH" localSheetId="36">#REF!</definedName>
    <definedName name="MARCY_SOUTH" localSheetId="22">#REF!</definedName>
    <definedName name="MARCY_SOUTH" localSheetId="23">#REF!</definedName>
    <definedName name="MARCY_SOUTH" localSheetId="24">#REF!</definedName>
    <definedName name="MARCY_SOUTH" localSheetId="32">#REF!</definedName>
    <definedName name="MARCY_SOUTH" localSheetId="35">#REF!</definedName>
    <definedName name="MARCY_SOUTH">#REF!</definedName>
    <definedName name="MASS_MARCY" localSheetId="4">#REF!</definedName>
    <definedName name="MASS_MARCY" localSheetId="15">#REF!</definedName>
    <definedName name="MASS_MARCY" localSheetId="16">#REF!</definedName>
    <definedName name="MASS_MARCY" localSheetId="19">#REF!</definedName>
    <definedName name="MASS_MARCY" localSheetId="20">#REF!</definedName>
    <definedName name="MASS_MARCY" localSheetId="37">#REF!</definedName>
    <definedName name="MASS_MARCY" localSheetId="36">#REF!</definedName>
    <definedName name="MASS_MARCY" localSheetId="22">#REF!</definedName>
    <definedName name="MASS_MARCY" localSheetId="23">#REF!</definedName>
    <definedName name="MASS_MARCY" localSheetId="24">#REF!</definedName>
    <definedName name="MASS_MARCY" localSheetId="32">#REF!</definedName>
    <definedName name="MASS_MARCY" localSheetId="35">#REF!</definedName>
    <definedName name="MASS_MARCY">#REF!</definedName>
    <definedName name="NIAGARA" localSheetId="4">#REF!</definedName>
    <definedName name="NIAGARA" localSheetId="15">#REF!</definedName>
    <definedName name="NIAGARA" localSheetId="16">#REF!</definedName>
    <definedName name="NIAGARA" localSheetId="19">#REF!</definedName>
    <definedName name="NIAGARA" localSheetId="20">#REF!</definedName>
    <definedName name="NIAGARA" localSheetId="37">#REF!</definedName>
    <definedName name="NIAGARA" localSheetId="36">#REF!</definedName>
    <definedName name="NIAGARA" localSheetId="22">#REF!</definedName>
    <definedName name="NIAGARA" localSheetId="23">#REF!</definedName>
    <definedName name="NIAGARA" localSheetId="24">#REF!</definedName>
    <definedName name="NIAGARA" localSheetId="32">#REF!</definedName>
    <definedName name="NIAGARA" localSheetId="35">#REF!</definedName>
    <definedName name="NIAGARA">#REF!</definedName>
    <definedName name="NPLTDist">'[1]BK'!$N$464</definedName>
    <definedName name="NPLTPRod">'[1]BK'!$J$464</definedName>
    <definedName name="NPLTTran">'[1]BK'!$L$464</definedName>
    <definedName name="POLETTI" localSheetId="4">#REF!</definedName>
    <definedName name="POLETTI" localSheetId="15">#REF!</definedName>
    <definedName name="POLETTI" localSheetId="16">#REF!</definedName>
    <definedName name="POLETTI" localSheetId="19">#REF!</definedName>
    <definedName name="POLETTI" localSheetId="20">#REF!</definedName>
    <definedName name="POLETTI" localSheetId="37">#REF!</definedName>
    <definedName name="POLETTI" localSheetId="36">#REF!</definedName>
    <definedName name="POLETTI" localSheetId="22">#REF!</definedName>
    <definedName name="POLETTI" localSheetId="23">#REF!</definedName>
    <definedName name="POLETTI" localSheetId="24">#REF!</definedName>
    <definedName name="POLETTI" localSheetId="32">#REF!</definedName>
    <definedName name="POLETTI" localSheetId="35">#REF!</definedName>
    <definedName name="POLETTI">#REF!</definedName>
    <definedName name="_xlnm.Print_Area" localSheetId="2">'A1-O&amp;M'!$A$1:$K$39</definedName>
    <definedName name="_xlnm.Print_Area" localSheetId="3">'A2-A&amp;G'!$A$1:$M$40</definedName>
    <definedName name="_xlnm.Print_Area" localSheetId="4">'B1-Depn'!$A$1:$Q$50</definedName>
    <definedName name="_xlnm.Print_Area" localSheetId="5">'B2-Plant'!$A$1:$T$61</definedName>
    <definedName name="_xlnm.Print_Area" localSheetId="6">'B3-Depn Rates'!$A$1:$M$47</definedName>
    <definedName name="_xlnm.Print_Area" localSheetId="7">'C1-Rate Base'!$A$1:$Q$48</definedName>
    <definedName name="_xlnm.Print_Area" localSheetId="8">'D1-Cap Structure'!$A$1:$L$37</definedName>
    <definedName name="_xlnm.Print_Area" localSheetId="9">'E1-Labor Ratio'!$A$1:$L$38</definedName>
    <definedName name="_xlnm.Print_Area" localSheetId="10">'F1-Proj RR'!$A$1:$R$83</definedName>
    <definedName name="_xlnm.Print_Area" localSheetId="11">'F2-Incentives'!$A$1:$K$31</definedName>
    <definedName name="_xlnm.Print_Area" localSheetId="12">'F3-True-Up'!$A$1:$J$82</definedName>
    <definedName name="_xlnm.Print_Area" localSheetId="0">'Index'!$A$1:$D$49</definedName>
    <definedName name="_xlnm.Print_Area" localSheetId="1">'SUMMARY'!$A$1:$H$50</definedName>
    <definedName name="_xlnm.Print_Area" localSheetId="13">'WP-AA'!$A$1:$G$67</definedName>
    <definedName name="_xlnm.Print_Area" localSheetId="14">'WP-AB'!$A$1:$AL$70</definedName>
    <definedName name="_xlnm.Print_Area" localSheetId="15">'WP-AC'!$A$1:$H$25</definedName>
    <definedName name="_xlnm.Print_Area" localSheetId="16">'WP-AD'!$A$1:$G$25</definedName>
    <definedName name="_xlnm.Print_Area" localSheetId="17">'WP-AE'!$A$1:$J$38</definedName>
    <definedName name="_xlnm.Print_Area" localSheetId="18">'WP-AF'!$A$1:$H$25</definedName>
    <definedName name="_xlnm.Print_Area" localSheetId="19">'WP-AG'!$A$1:$M$35</definedName>
    <definedName name="_xlnm.Print_Area" localSheetId="20">'WP-AH'!$A$1:$L$35</definedName>
    <definedName name="_xlnm.Print_Area" localSheetId="21">'WP-AI'!$A$1:$J$27</definedName>
    <definedName name="_xlnm.Print_Area" localSheetId="37">'WP-AR-BS'!$A$1:$G$116</definedName>
    <definedName name="_xlnm.Print_Area" localSheetId="38">'WP-AR-Cap Assets'!$A$1:$O$49</definedName>
    <definedName name="_xlnm.Print_Area" localSheetId="36">'WP-AR-IS'!$A$1:$J$56</definedName>
    <definedName name="_xlnm.Print_Area" localSheetId="22">'WP-BA'!$A$1:$M$155</definedName>
    <definedName name="_xlnm.Print_Area" localSheetId="23">'WP-BB'!$D$1:$T$105</definedName>
    <definedName name="_xlnm.Print_Area" localSheetId="24">'WP-BC'!$A$1:$L$334</definedName>
    <definedName name="_xlnm.Print_Area" localSheetId="25">'WP-BD'!$A$1:$K$70</definedName>
    <definedName name="_xlnm.Print_Area" localSheetId="26">'WP-BE'!$A$1:$M$44</definedName>
    <definedName name="_xlnm.Print_Area" localSheetId="27">'WP-BF'!$A$1:$S$45</definedName>
    <definedName name="_xlnm.Print_Area" localSheetId="28">'WP-BG'!$A$1:$M$36</definedName>
    <definedName name="_xlnm.Print_Area" localSheetId="29">'WP-BH'!$A$1:$K$29</definedName>
    <definedName name="_xlnm.Print_Area" localSheetId="30">'WP-BI'!$A$1:$F$22</definedName>
    <definedName name="_xlnm.Print_Area" localSheetId="31">'WP-CA'!$A$1:$N$34</definedName>
    <definedName name="_xlnm.Print_Area" localSheetId="32">'WP-CB'!$A$1:$G$23</definedName>
    <definedName name="_xlnm.Print_Area" localSheetId="33">'WP-DA'!$A$1:$P$42</definedName>
    <definedName name="_xlnm.Print_Area" localSheetId="34">'WP-DB'!$A$1:$G$32</definedName>
    <definedName name="_xlnm.Print_Area" localSheetId="35">'WP-EA'!$A$1:$H$37</definedName>
    <definedName name="_xlnm.Print_Area" localSheetId="39">'WP-Reconciliations'!$A$1:$O$120</definedName>
    <definedName name="_xlnm.Print_Area">'SUMMARY'!$H$24</definedName>
    <definedName name="_xlnm.Print_Titles" localSheetId="14">'WP-AB'!$A:$B</definedName>
    <definedName name="_xlnm.Print_Titles" localSheetId="37">'WP-AR-BS'!$1:$10</definedName>
    <definedName name="_xlnm.Print_Titles" localSheetId="22">'WP-BA'!$1:$13</definedName>
    <definedName name="_xlnm.Print_Titles" localSheetId="23">'WP-BB'!$D:$F,'WP-BB'!$1:$15</definedName>
    <definedName name="_xlnm.Print_Titles" localSheetId="24">'WP-BC'!$1:$12</definedName>
    <definedName name="SAPBEXrevision" localSheetId="35" hidden="1">1</definedName>
    <definedName name="SAPBEXrevision" hidden="1">3</definedName>
    <definedName name="SAPBEXsysID" hidden="1">"BIP"</definedName>
    <definedName name="SAPBEXwbID" localSheetId="35" hidden="1">"D5ZWPSXURULJDDGZZZT05CVQ9"</definedName>
    <definedName name="SAPBEXwbID" hidden="1">"DBWCU6IQEMCIVCY9FMFOKC31R"</definedName>
    <definedName name="SM.HYDRO_1" localSheetId="4">#REF!</definedName>
    <definedName name="SM.HYDRO_1" localSheetId="15">#REF!</definedName>
    <definedName name="SM.HYDRO_1" localSheetId="16">#REF!</definedName>
    <definedName name="SM.HYDRO_1" localSheetId="19">#REF!</definedName>
    <definedName name="SM.HYDRO_1" localSheetId="20">#REF!</definedName>
    <definedName name="SM.HYDRO_1" localSheetId="37">#REF!</definedName>
    <definedName name="SM.HYDRO_1" localSheetId="36">#REF!</definedName>
    <definedName name="SM.HYDRO_1" localSheetId="22">#REF!</definedName>
    <definedName name="SM.HYDRO_1" localSheetId="23">#REF!</definedName>
    <definedName name="SM.HYDRO_1" localSheetId="24">#REF!</definedName>
    <definedName name="SM.HYDRO_1" localSheetId="32">#REF!</definedName>
    <definedName name="SM.HYDRO_1" localSheetId="35">#REF!</definedName>
    <definedName name="SM.HYDRO_1">#REF!</definedName>
    <definedName name="ST.LAWRENCE" localSheetId="4">#REF!</definedName>
    <definedName name="ST.LAWRENCE" localSheetId="15">#REF!</definedName>
    <definedName name="ST.LAWRENCE" localSheetId="16">#REF!</definedName>
    <definedName name="ST.LAWRENCE" localSheetId="19">#REF!</definedName>
    <definedName name="ST.LAWRENCE" localSheetId="20">#REF!</definedName>
    <definedName name="ST.LAWRENCE" localSheetId="37">#REF!</definedName>
    <definedName name="ST.LAWRENCE" localSheetId="36">#REF!</definedName>
    <definedName name="ST.LAWRENCE" localSheetId="22">#REF!</definedName>
    <definedName name="ST.LAWRENCE" localSheetId="23">#REF!</definedName>
    <definedName name="ST.LAWRENCE" localSheetId="24">#REF!</definedName>
    <definedName name="ST.LAWRENCE" localSheetId="32">#REF!</definedName>
    <definedName name="ST.LAWRENCE" localSheetId="35">#REF!</definedName>
    <definedName name="ST.LAWRENCE">#REF!</definedName>
    <definedName name="SUMMARY_1" localSheetId="4">#REF!</definedName>
    <definedName name="SUMMARY_1" localSheetId="15">#REF!</definedName>
    <definedName name="SUMMARY_1" localSheetId="16">#REF!</definedName>
    <definedName name="SUMMARY_1" localSheetId="19">#REF!</definedName>
    <definedName name="SUMMARY_1" localSheetId="20">#REF!</definedName>
    <definedName name="SUMMARY_1" localSheetId="37">#REF!</definedName>
    <definedName name="SUMMARY_1" localSheetId="36">#REF!</definedName>
    <definedName name="SUMMARY_1" localSheetId="22">#REF!</definedName>
    <definedName name="SUMMARY_1" localSheetId="23">#REF!</definedName>
    <definedName name="SUMMARY_1" localSheetId="24">#REF!</definedName>
    <definedName name="SUMMARY_1" localSheetId="32">#REF!</definedName>
    <definedName name="SUMMARY_1" localSheetId="35">#REF!</definedName>
    <definedName name="SUMMARY_1">#REF!</definedName>
    <definedName name="SUMMARY_2" localSheetId="4">#REF!</definedName>
    <definedName name="SUMMARY_2" localSheetId="15">#REF!</definedName>
    <definedName name="SUMMARY_2" localSheetId="16">#REF!</definedName>
    <definedName name="SUMMARY_2" localSheetId="19">#REF!</definedName>
    <definedName name="SUMMARY_2" localSheetId="20">#REF!</definedName>
    <definedName name="SUMMARY_2" localSheetId="37">#REF!</definedName>
    <definedName name="SUMMARY_2" localSheetId="36">#REF!</definedName>
    <definedName name="SUMMARY_2" localSheetId="22">#REF!</definedName>
    <definedName name="SUMMARY_2" localSheetId="23">#REF!</definedName>
    <definedName name="SUMMARY_2" localSheetId="24">#REF!</definedName>
    <definedName name="SUMMARY_2" localSheetId="32">#REF!</definedName>
    <definedName name="SUMMARY_2" localSheetId="35">#REF!</definedName>
    <definedName name="SUMMARY_2">#REF!</definedName>
    <definedName name="SWH" localSheetId="34">'[2]BK-Cost_Of_Svc'!$F$595</definedName>
    <definedName name="SWH">'[2]BK-Cost_Of_Svc'!$F$595</definedName>
    <definedName name="TP_Footer_User" hidden="1">"Will Kane"</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F04A2B9A_C6FE_4FEB_AD1E_2CF9AC309BE4_.wvu.PrintArea" localSheetId="10" hidden="1">'F1-Proj RR'!$A$1:$Q$85</definedName>
    <definedName name="Z_F04A2B9A_C6FE_4FEB_AD1E_2CF9AC309BE4_.wvu.PrintArea" localSheetId="12" hidden="1">'F3-True-Up'!$A$1:$L$31</definedName>
  </definedNames>
  <calcPr fullCalcOnLoad="1"/>
</workbook>
</file>

<file path=xl/sharedStrings.xml><?xml version="1.0" encoding="utf-8"?>
<sst xmlns="http://schemas.openxmlformats.org/spreadsheetml/2006/main" count="3523" uniqueCount="1389">
  <si>
    <t xml:space="preserve">FERC   </t>
  </si>
  <si>
    <t>Line No.</t>
  </si>
  <si>
    <t>Account</t>
  </si>
  <si>
    <t>FERC Account Description</t>
  </si>
  <si>
    <t>Total</t>
  </si>
  <si>
    <t>Grand Total</t>
  </si>
  <si>
    <t xml:space="preserve"> (1)</t>
  </si>
  <si>
    <t xml:space="preserve"> (2)</t>
  </si>
  <si>
    <t xml:space="preserve"> (3)</t>
  </si>
  <si>
    <t xml:space="preserve"> (4)</t>
  </si>
  <si>
    <t>Transmission:</t>
  </si>
  <si>
    <t/>
  </si>
  <si>
    <t>OPERATION:</t>
  </si>
  <si>
    <t>Supervision &amp; Engineering</t>
  </si>
  <si>
    <t>Load Dispatching</t>
  </si>
  <si>
    <t>Station Expenses</t>
  </si>
  <si>
    <t>Misc. Trans. Expenses</t>
  </si>
  <si>
    <t>Rents</t>
  </si>
  <si>
    <t>MAINTENANCE:</t>
  </si>
  <si>
    <t>Structures</t>
  </si>
  <si>
    <t>Station Equipment</t>
  </si>
  <si>
    <t>Overhead Lines</t>
  </si>
  <si>
    <t>Underground Lines</t>
  </si>
  <si>
    <t>Misc. Transm. Plant</t>
  </si>
  <si>
    <t>LABOR</t>
  </si>
  <si>
    <t>ALLOCATED TO</t>
  </si>
  <si>
    <t>TRANSMISSION</t>
  </si>
  <si>
    <t xml:space="preserve"> (5)</t>
  </si>
  <si>
    <t xml:space="preserve"> (6)</t>
  </si>
  <si>
    <t>NIAGARA</t>
  </si>
  <si>
    <t>MARCY-SOUTH</t>
  </si>
  <si>
    <t>HEADQUARTERS</t>
  </si>
  <si>
    <t xml:space="preserve"> </t>
  </si>
  <si>
    <t>TOTAL</t>
  </si>
  <si>
    <t>Allocated to</t>
  </si>
  <si>
    <t>Transmission</t>
  </si>
  <si>
    <t>Source/Comments</t>
  </si>
  <si>
    <t>Administrative &amp; General Expenses</t>
  </si>
  <si>
    <t>A&amp;G Salaries</t>
  </si>
  <si>
    <t>Office Supplies &amp; Expenses</t>
  </si>
  <si>
    <t>Outside Services Employed</t>
  </si>
  <si>
    <t>Property Insurance</t>
  </si>
  <si>
    <t>Employee Pensions &amp; Benefits</t>
  </si>
  <si>
    <t>Reg. Commission Expenses</t>
  </si>
  <si>
    <t>Maint of General Plant A/C 932</t>
  </si>
  <si>
    <t>Less A/C 924</t>
  </si>
  <si>
    <t>TOTAL A&amp;G Expense</t>
  </si>
  <si>
    <t>RATE OF</t>
  </si>
  <si>
    <t>RETURN</t>
  </si>
  <si>
    <t>RETURN ON</t>
  </si>
  <si>
    <t>RATE BASE</t>
  </si>
  <si>
    <t xml:space="preserve"> (7)</t>
  </si>
  <si>
    <t>A)  Net Electric Plant in Service</t>
  </si>
  <si>
    <t>B)  Rate Base Adjustments</t>
  </si>
  <si>
    <t>PRODUCTION</t>
  </si>
  <si>
    <t>TITLE</t>
  </si>
  <si>
    <t>SOURCE/COMMENTS</t>
  </si>
  <si>
    <t>COMMON EQUITY</t>
  </si>
  <si>
    <t xml:space="preserve"> TOTAL CAPITALIZATION</t>
  </si>
  <si>
    <t xml:space="preserve">Line </t>
  </si>
  <si>
    <t>No.</t>
  </si>
  <si>
    <t>DESCRIPTION</t>
  </si>
  <si>
    <t>RATIO</t>
  </si>
  <si>
    <t>TOTAL LABOR</t>
  </si>
  <si>
    <t>St. Lawrence</t>
  </si>
  <si>
    <t>Niagara</t>
  </si>
  <si>
    <t>Blenheim-Gilboa</t>
  </si>
  <si>
    <t>A)</t>
  </si>
  <si>
    <t>Average</t>
  </si>
  <si>
    <t>Other</t>
  </si>
  <si>
    <t>B)</t>
  </si>
  <si>
    <t>LONG ISLAND SOUND CABLE</t>
  </si>
  <si>
    <t>Depreciation</t>
  </si>
  <si>
    <t>Structures &amp; Improvements</t>
  </si>
  <si>
    <t>TurboGenerator Units</t>
  </si>
  <si>
    <t>Accessory Electric Equipment</t>
  </si>
  <si>
    <t>Roads, Railroads &amp; Bridges</t>
  </si>
  <si>
    <t>Generators</t>
  </si>
  <si>
    <t>Towers &amp; Fixtures</t>
  </si>
  <si>
    <t>Poles &amp; Fixtures</t>
  </si>
  <si>
    <t>Overhead Conductors &amp; Devices</t>
  </si>
  <si>
    <t>Underground Conduit</t>
  </si>
  <si>
    <t>Underground Conductors &amp; Devices</t>
  </si>
  <si>
    <t>Roads &amp; Trails</t>
  </si>
  <si>
    <t>Office Furniture &amp; Equipment</t>
  </si>
  <si>
    <t>Transportation Equipment</t>
  </si>
  <si>
    <t>Stores Equipment</t>
  </si>
  <si>
    <t>Tools, Shop &amp; Garage Equipment</t>
  </si>
  <si>
    <t>Laboratory Equipment</t>
  </si>
  <si>
    <t>Power Operated Equipment</t>
  </si>
  <si>
    <t>Communication Equipment</t>
  </si>
  <si>
    <t>Miscellaneous Equipment</t>
  </si>
  <si>
    <t>Other Tangible Property</t>
  </si>
  <si>
    <t>Headquarters</t>
  </si>
  <si>
    <t>Poletti</t>
  </si>
  <si>
    <t>Balance</t>
  </si>
  <si>
    <t>Purchased Power</t>
  </si>
  <si>
    <t xml:space="preserve">                </t>
  </si>
  <si>
    <t>A. OPERATING EXPENSES</t>
  </si>
  <si>
    <t>Operation &amp; Maintenance Expense</t>
  </si>
  <si>
    <t>Depreciation &amp; Amortization Expense</t>
  </si>
  <si>
    <t>Administration &amp; General Expenses</t>
  </si>
  <si>
    <t>TOTAL OPERATING EXPENSE</t>
  </si>
  <si>
    <t>B. RATE BASE</t>
  </si>
  <si>
    <t>Return on Rate Base</t>
  </si>
  <si>
    <t>General Plant</t>
  </si>
  <si>
    <t xml:space="preserve">Labor Ratio (%)  </t>
  </si>
  <si>
    <t xml:space="preserve"> Annual</t>
  </si>
  <si>
    <t>Annual Financial Statements</t>
  </si>
  <si>
    <t>(a)</t>
  </si>
  <si>
    <t>(b)</t>
  </si>
  <si>
    <t>TRANSMISSION REVENUE REQUIREMENT</t>
  </si>
  <si>
    <t>Description</t>
  </si>
  <si>
    <t>Electric</t>
  </si>
  <si>
    <t>Operating Expenses</t>
  </si>
  <si>
    <t>General</t>
  </si>
  <si>
    <t>105 - Blenheim-Gilboa</t>
  </si>
  <si>
    <t>110 - St. Lawrence</t>
  </si>
  <si>
    <t>115 - Niagara</t>
  </si>
  <si>
    <t>235 - Sound Cable</t>
  </si>
  <si>
    <t>310 - Headquarters</t>
  </si>
  <si>
    <t>501 -    Steam Product-Fuel</t>
  </si>
  <si>
    <t>514 -    SP-Maint Misc Stm Pl</t>
  </si>
  <si>
    <t>535 -    HP-Oper Supvr&amp;Engrg</t>
  </si>
  <si>
    <t>537 -    HP-Hydraulic Expense</t>
  </si>
  <si>
    <t>539 -    HP-Misc Hyd Pwr Gen</t>
  </si>
  <si>
    <t>541 -    HP-Maint Supvn&amp;Engrg</t>
  </si>
  <si>
    <t>542 -    HP-Maint of Struct</t>
  </si>
  <si>
    <t>543 -    HP-Maint Res Dam&amp;Wtr</t>
  </si>
  <si>
    <t>544 -    HP-Maint Elect Plant</t>
  </si>
  <si>
    <t>545 -    HP-Maint Misc Hyd Pl</t>
  </si>
  <si>
    <t>546 -    OP-Oper Supvr&amp;Engrg</t>
  </si>
  <si>
    <t>548 -    OP-Generation Expens</t>
  </si>
  <si>
    <t>549 -    OP-Misc Oth Pwr Gen</t>
  </si>
  <si>
    <t>551 -    OP-Maint Supvn &amp; Eng</t>
  </si>
  <si>
    <t>552 -    OP-Maint of Struct</t>
  </si>
  <si>
    <t>553 -    OP-Maint Gen &amp; Elect</t>
  </si>
  <si>
    <t>554 -    OP-Maint Oth Pwr Prd</t>
  </si>
  <si>
    <t>555 -    OPSE-Purchased Power</t>
  </si>
  <si>
    <t>560 -    Trans-Oper Supvr&amp;Eng</t>
  </si>
  <si>
    <t>561 -    Trans-Load Dispatcng</t>
  </si>
  <si>
    <t>562 -    Trans-Station Expens</t>
  </si>
  <si>
    <t>565 -    Trans-Xmsn Elect Oth</t>
  </si>
  <si>
    <t>566 -    Trans-Misc Xmsn Exp</t>
  </si>
  <si>
    <t>568 -    Trans-Maint Sup &amp; En</t>
  </si>
  <si>
    <t>569 -    Trans-Maint Struct</t>
  </si>
  <si>
    <t>570 -    Trans-Maint St Equip</t>
  </si>
  <si>
    <t>571 -    Trans-Maint Ovhd Lns</t>
  </si>
  <si>
    <t>572 -    Trans-Maint Ungrd Ln</t>
  </si>
  <si>
    <t>573 -    Trans-Maint Misc Xmn</t>
  </si>
  <si>
    <t>905 -   Misc. Customer Accts. Exps</t>
  </si>
  <si>
    <t>916 -   Misc. Sales Expense</t>
  </si>
  <si>
    <t>920 -    Misc. Admin &amp; Gen'l Salaries</t>
  </si>
  <si>
    <t>921 -    Misc. Office Supp &amp; Exps</t>
  </si>
  <si>
    <t>922 -   Administrative Expenses Transferred</t>
  </si>
  <si>
    <t>930 -    Obsolete/Excess Inv</t>
  </si>
  <si>
    <t>930.5-R &amp; D Expense</t>
  </si>
  <si>
    <t>931 -    Rents</t>
  </si>
  <si>
    <t>Step-up Transformers</t>
  </si>
  <si>
    <t>FACTS</t>
  </si>
  <si>
    <t>Ratio</t>
  </si>
  <si>
    <t>EXCL</t>
  </si>
  <si>
    <t>Plant   in</t>
  </si>
  <si>
    <t>Accumulated</t>
  </si>
  <si>
    <t>Service</t>
  </si>
  <si>
    <t>Service  (Net)</t>
  </si>
  <si>
    <t>500mW C - C at Astoria</t>
  </si>
  <si>
    <t>Boiler Plant Equipment</t>
  </si>
  <si>
    <t>Misc Power Plant Equipment</t>
  </si>
  <si>
    <t>Land &amp; Land Rights</t>
  </si>
  <si>
    <t>Crescent</t>
  </si>
  <si>
    <t>Reservoirs, Dams, Waterways</t>
  </si>
  <si>
    <t>Waterwheels, Turbines, Generators</t>
  </si>
  <si>
    <t>FLYNN  (Holtsville)</t>
  </si>
  <si>
    <t>GOWANUS  (Brooklyn)</t>
  </si>
  <si>
    <t>HARLEM RIVER YARDS  (Bronx)</t>
  </si>
  <si>
    <t>HELLGATE  (Bronx)</t>
  </si>
  <si>
    <t>BRENTWOOD  (Long Island)</t>
  </si>
  <si>
    <t>FuelHolders, Producers, Accessory</t>
  </si>
  <si>
    <t>Station Equip - Transmission</t>
  </si>
  <si>
    <t>TOTAL EXCLUDED GENERAL</t>
  </si>
  <si>
    <t>POLETTI  (Astoria)</t>
  </si>
  <si>
    <t>Jarvis</t>
  </si>
  <si>
    <t>Kensico</t>
  </si>
  <si>
    <t>St.  LAWRENCE / FDR</t>
  </si>
  <si>
    <t>Vischer Ferry</t>
  </si>
  <si>
    <t>BLENHEIM - GILBOA</t>
  </si>
  <si>
    <t>KENT  (Brooklyn)</t>
  </si>
  <si>
    <t>POUCH TERMINAL  (Richmond)</t>
  </si>
  <si>
    <t>VERNON BOULEVARD  (Queens)</t>
  </si>
  <si>
    <t>J. A. FITZPATRICK</t>
  </si>
  <si>
    <t>MASSENA - MARCY  (Clark)</t>
  </si>
  <si>
    <t>CAPITAL STRUCTURE</t>
  </si>
  <si>
    <t>Cost</t>
  </si>
  <si>
    <t>Weighted</t>
  </si>
  <si>
    <t>Component</t>
  </si>
  <si>
    <t>Amount</t>
  </si>
  <si>
    <t>Long-Term Debt</t>
  </si>
  <si>
    <t>Preferred Stock</t>
  </si>
  <si>
    <t>Common Equity</t>
  </si>
  <si>
    <t xml:space="preserve">         Total</t>
  </si>
  <si>
    <t>Total Proprietary Capital</t>
  </si>
  <si>
    <t xml:space="preserve">  less Preferred </t>
  </si>
  <si>
    <t xml:space="preserve">  less Acct. 216.1</t>
  </si>
  <si>
    <t>Long Term Interest Paid</t>
  </si>
  <si>
    <t>Long Term Debt</t>
  </si>
  <si>
    <t>Preferred Cost Rate</t>
  </si>
  <si>
    <t>Station Equipment - Windfarm Assets acq. 12-1-11</t>
  </si>
  <si>
    <t>Ashokan</t>
  </si>
  <si>
    <t>Power Oper Eqp-500MW</t>
  </si>
  <si>
    <t>Capital Lease Asset (Manual)</t>
  </si>
  <si>
    <t>Adjustments</t>
  </si>
  <si>
    <t>CWIP</t>
  </si>
  <si>
    <t>Beginning</t>
  </si>
  <si>
    <t>Unamortized</t>
  </si>
  <si>
    <t>Ending</t>
  </si>
  <si>
    <t>Capitalized</t>
  </si>
  <si>
    <t>Lease Asset/</t>
  </si>
  <si>
    <t>Lease</t>
  </si>
  <si>
    <t>Year</t>
  </si>
  <si>
    <t>(1)</t>
  </si>
  <si>
    <t>(2)</t>
  </si>
  <si>
    <t>(3)</t>
  </si>
  <si>
    <t>(4)</t>
  </si>
  <si>
    <t>(5)</t>
  </si>
  <si>
    <t>Net Adjusted Transmission</t>
  </si>
  <si>
    <t>Net Adjusted General Plant</t>
  </si>
  <si>
    <t>NEW YORK POWER AUTHORITY</t>
  </si>
  <si>
    <t>NEW  YORK POWER AUTHORITY</t>
  </si>
  <si>
    <t>ADMINISTRATIVE AND GENERAL EXPENSES</t>
  </si>
  <si>
    <t>OPERATION &amp; MAINTENANCE EXPENSE SUMMARY</t>
  </si>
  <si>
    <t>ANNUAL DEPRECIATION AND AMORTIZATION EXPENSES</t>
  </si>
  <si>
    <t>TRANSMISSION - RATE BASE CALCULATION</t>
  </si>
  <si>
    <t>ADJUSTED PLANT IN SERVICE</t>
  </si>
  <si>
    <t>BG Trans</t>
  </si>
  <si>
    <t>JAF Trans</t>
  </si>
  <si>
    <t>IP3/Pol Trans</t>
  </si>
  <si>
    <t>Marcy/Clark Trans</t>
  </si>
  <si>
    <t>Marcy South Trans</t>
  </si>
  <si>
    <t>Niagara Trans</t>
  </si>
  <si>
    <t>Sound Cable</t>
  </si>
  <si>
    <t>ST Law Trans</t>
  </si>
  <si>
    <t>765 KV Trans</t>
  </si>
  <si>
    <t>Asset</t>
  </si>
  <si>
    <t>Net</t>
  </si>
  <si>
    <t xml:space="preserve">Income Statement Interest </t>
  </si>
  <si>
    <t>Debt Discount/Premium</t>
  </si>
  <si>
    <t xml:space="preserve">Total LTD Interest </t>
  </si>
  <si>
    <t xml:space="preserve">Balance Sheet Capital Structure </t>
  </si>
  <si>
    <t>Overall Result</t>
  </si>
  <si>
    <t>SENY</t>
  </si>
  <si>
    <t>Flynn</t>
  </si>
  <si>
    <t>JAF</t>
  </si>
  <si>
    <t>Operating Revenues</t>
  </si>
  <si>
    <t>Wheeling</t>
  </si>
  <si>
    <t>Investments and Other Income</t>
  </si>
  <si>
    <t>Total Operating Expenses</t>
  </si>
  <si>
    <t>Total Operating Revenues</t>
  </si>
  <si>
    <t>Incl</t>
  </si>
  <si>
    <t>Acct #</t>
  </si>
  <si>
    <t>Item</t>
  </si>
  <si>
    <t>FERC</t>
  </si>
  <si>
    <t>Site</t>
  </si>
  <si>
    <t>Relicensing Costs</t>
  </si>
  <si>
    <t>Niagara Relicense Compliance &amp; Implement Costs</t>
  </si>
  <si>
    <t>Niagara Relicense Other Payments '07</t>
  </si>
  <si>
    <t>STL Relicensing Re: Fish Enhancement</t>
  </si>
  <si>
    <t>ST. Lawrence Relicensing Re: Community Enhance Fun</t>
  </si>
  <si>
    <t>STL Relicensing Re:  Habitat Improvement Funds</t>
  </si>
  <si>
    <t>STL Relicense Re: Seaway Equity Corp.</t>
  </si>
  <si>
    <t>Asset  No.</t>
  </si>
  <si>
    <t>Niagara:</t>
  </si>
  <si>
    <t>Electric Plant</t>
  </si>
  <si>
    <t>Plant in</t>
  </si>
  <si>
    <t>SUBTOTAL 500Mw CC</t>
  </si>
  <si>
    <t>SUBTOTAL Small Hydro</t>
  </si>
  <si>
    <t>SUBTOTAL Flynn</t>
  </si>
  <si>
    <t>SUBTOTAL Poletti</t>
  </si>
  <si>
    <t>SUBTOTAL SCPP</t>
  </si>
  <si>
    <t>EXCLUDED TRANSMISSION</t>
  </si>
  <si>
    <t>T</t>
  </si>
  <si>
    <t>TOTAL EXCLUDED TRANSMISSION</t>
  </si>
  <si>
    <t>EXCLUDED GENERAL</t>
  </si>
  <si>
    <t>G</t>
  </si>
  <si>
    <t>Total Included Transmission</t>
  </si>
  <si>
    <t>Windfarm</t>
  </si>
  <si>
    <t>Asset Description</t>
  </si>
  <si>
    <t>Marcy CSC Building, Electronics, Software, Xfmrs -</t>
  </si>
  <si>
    <t>Marcy CSC Transformer - 345kv, 200mva</t>
  </si>
  <si>
    <t>Marcy CSC Gas Circuit Breaker - 345kv, 3000a  GE</t>
  </si>
  <si>
    <t>Marcy CSC Disconnect Switches (Five) - 362kv</t>
  </si>
  <si>
    <t>Marcy CSC 3000 Bay w/Equipment</t>
  </si>
  <si>
    <t>Marcy CSC Relay/Protection/Control Equipment</t>
  </si>
  <si>
    <t>Circuit Breaker Monitoring System</t>
  </si>
  <si>
    <t>Remote Terminal Units</t>
  </si>
  <si>
    <t>Marcy CSC Transformer - 345kv, 100mva</t>
  </si>
  <si>
    <t>Marcy CSC Gas Circuit Breaker - 362kv,   GE</t>
  </si>
  <si>
    <t>CSC   Potential Xfmrs, 345kV, SF6 Gas (Fourteen)</t>
  </si>
  <si>
    <t>CSC   Current  Xfmrs, 362kV, SF6 Gas   (Seven)</t>
  </si>
  <si>
    <t>Marcy CSC   Disconnect Switches, 345kV   (Eleven)</t>
  </si>
  <si>
    <t>CSC   Motor Oper Disconnect Switches, 38kV  (Four)</t>
  </si>
  <si>
    <t>Marcy CSC Gas Circuit Breaker - 35kVA,  SF6  (Two)</t>
  </si>
  <si>
    <t>Marcy CSC   Power &amp; Control Cable</t>
  </si>
  <si>
    <t>Marcy CSC   Surge Arresters</t>
  </si>
  <si>
    <t>CEC Circuit Switcher Upgrade</t>
  </si>
  <si>
    <t>Remote Terminal Units CMC-MAD-11-AAAQ</t>
  </si>
  <si>
    <t>Facility</t>
  </si>
  <si>
    <t>Station Equip - Transmission (Flynn)</t>
  </si>
  <si>
    <t>NIA/STL Relicensing Reclass</t>
  </si>
  <si>
    <t>TOTAL O&amp;M TRANSMISSION</t>
  </si>
  <si>
    <t xml:space="preserve">       Total Operation</t>
  </si>
  <si>
    <t>NYPA</t>
  </si>
  <si>
    <t>Net Asset Value</t>
  </si>
  <si>
    <t>Total Debt</t>
  </si>
  <si>
    <t>RELICENSING/RECLASSIFICATION EXPENSES</t>
  </si>
  <si>
    <t>Total Expenses</t>
  </si>
  <si>
    <t>Total Plant</t>
  </si>
  <si>
    <t>Cap.Date</t>
  </si>
  <si>
    <t>CALCULATION OF LABOR RATIO</t>
  </si>
  <si>
    <t>DEPRECIATION AND AMORTIZATION EXPENSES (BY FERC ACCOUNT)</t>
  </si>
  <si>
    <t>Included General Plant</t>
  </si>
  <si>
    <t>Included Transmission Plant</t>
  </si>
  <si>
    <t>Total Included General Plant</t>
  </si>
  <si>
    <t>Subtotal General - Structures &amp; Improvements</t>
  </si>
  <si>
    <t>Subtotal General - Office Furniture &amp; Equipment</t>
  </si>
  <si>
    <t>Subtotal General - Transportation Equipment</t>
  </si>
  <si>
    <t>Subtotal General - Stores Equipment</t>
  </si>
  <si>
    <t>Subtotal General - Tools, Shop &amp; Garage Equipment</t>
  </si>
  <si>
    <t>Subtotal General - Laboratory Equipment</t>
  </si>
  <si>
    <t>Subtotal General - Power Operated Equipment</t>
  </si>
  <si>
    <t>Subtotal General - Communication Equipment</t>
  </si>
  <si>
    <t>Subtotal General - Miscellaneous Equipment</t>
  </si>
  <si>
    <t>Subtotal General - Other Tangible Property</t>
  </si>
  <si>
    <t>Subtotal Transmission -  Structures &amp; Improvements</t>
  </si>
  <si>
    <t>Subtotal Transmission -  Station Equipment</t>
  </si>
  <si>
    <t>Subtotal Transmission -  Towers &amp; Fixtures</t>
  </si>
  <si>
    <t>Subtotal Transmission -  Poles &amp; Fixtures</t>
  </si>
  <si>
    <t>Subtotal Transmission -  Overhead Conductors &amp; Devices</t>
  </si>
  <si>
    <t>Subtotal Transmission -  Underground Conduit</t>
  </si>
  <si>
    <t>Subtotal Transmission -  Underground Conductors &amp; Devices</t>
  </si>
  <si>
    <t>Subtotal Transmission -  Roads &amp; Trails</t>
  </si>
  <si>
    <t>Total Included Transmission Plant</t>
  </si>
  <si>
    <t>Depreciation ($)</t>
  </si>
  <si>
    <t>Station Equip - Transmission (500MW)</t>
  </si>
  <si>
    <t>Property</t>
  </si>
  <si>
    <t>Insurance</t>
  </si>
  <si>
    <t>ESTIMATED PREPAYMENTS AND INSURANCE</t>
  </si>
  <si>
    <t>Impairment (Prod)</t>
  </si>
  <si>
    <t>Impairment (Trans)</t>
  </si>
  <si>
    <t>Impairment</t>
  </si>
  <si>
    <t xml:space="preserve"> (2) * (3)</t>
  </si>
  <si>
    <t>Col (1); Ln (2) / Ln (3)</t>
  </si>
  <si>
    <t>LONG-TERM DEBT AND RELATED INTEREST</t>
  </si>
  <si>
    <t>WEIGHTED COST OF CAPITAL</t>
  </si>
  <si>
    <t>FACTS PROJECT PLANT IN SERVICE AND ACCUMULATED DEPRECIATION</t>
  </si>
  <si>
    <t>MATERIALS AND SUPPLIES</t>
  </si>
  <si>
    <t>(c)</t>
  </si>
  <si>
    <t>MARCY-SOUTH CAPITALIZED LEASE AMORTIZATION</t>
  </si>
  <si>
    <t>AND UNAMORTIZED BALANCE</t>
  </si>
  <si>
    <t>INDEX</t>
  </si>
  <si>
    <t> 12/31/2001</t>
  </si>
  <si>
    <t>157       </t>
  </si>
  <si>
    <t>729308 </t>
  </si>
  <si>
    <t>Asset Impairment (FASB 121) - Vernon Boulevard</t>
  </si>
  <si>
    <t> 11/30/2002</t>
  </si>
  <si>
    <t>158       </t>
  </si>
  <si>
    <t>Asset Impairment (FASB 121) - Gowanus         </t>
  </si>
  <si>
    <t>160       </t>
  </si>
  <si>
    <t>Asset Impairment (FASB 121) - Pouch Terminal  </t>
  </si>
  <si>
    <t> 12/31/2003</t>
  </si>
  <si>
    <t>WriteOff  Asset Retirement Cost - V B Impaired</t>
  </si>
  <si>
    <t> 11/30/2004</t>
  </si>
  <si>
    <t>220       </t>
  </si>
  <si>
    <t>Asset Impairment (FAS 144) - Marcy  FACTS/CSC </t>
  </si>
  <si>
    <t>159       </t>
  </si>
  <si>
    <t>Asset Impairment (FAS 144) - Kent, Bklyn      </t>
  </si>
  <si>
    <t>161       </t>
  </si>
  <si>
    <t>Asset Impairment (FAS 144) - Brentwood, L.I.  </t>
  </si>
  <si>
    <t>          </t>
  </si>
  <si>
    <t>       </t>
  </si>
  <si>
    <t>                                              </t>
  </si>
  <si>
    <t>Total Impairment - Transmission</t>
  </si>
  <si>
    <t>Total Impairment - Production</t>
  </si>
  <si>
    <t>Total Impairment - General Plant</t>
  </si>
  <si>
    <t>Center</t>
  </si>
  <si>
    <t>Posting</t>
  </si>
  <si>
    <t>Date</t>
  </si>
  <si>
    <t>Unallocated</t>
  </si>
  <si>
    <t>105</t>
  </si>
  <si>
    <t>110</t>
  </si>
  <si>
    <t>115</t>
  </si>
  <si>
    <t>120</t>
  </si>
  <si>
    <t>165</t>
  </si>
  <si>
    <t>125</t>
  </si>
  <si>
    <t>Hell Gate</t>
  </si>
  <si>
    <t>Harlem River</t>
  </si>
  <si>
    <t>Vernon Blvd.</t>
  </si>
  <si>
    <t>23rd &amp; 3rd (Gowanus)</t>
  </si>
  <si>
    <t>N 1st &amp;Grand (Kent)</t>
  </si>
  <si>
    <t>Pouch Terminal</t>
  </si>
  <si>
    <t>Brentwood</t>
  </si>
  <si>
    <t>Power for Jobs</t>
  </si>
  <si>
    <t>Recharge NY</t>
  </si>
  <si>
    <t>Admin. Exp. Transferred-Cr</t>
  </si>
  <si>
    <t>Labor Actual</t>
  </si>
  <si>
    <t>Total Small Hydro</t>
  </si>
  <si>
    <t>Total - Production + Transmission</t>
  </si>
  <si>
    <t>Total - Production Only</t>
  </si>
  <si>
    <t>AE II</t>
  </si>
  <si>
    <t>130-150</t>
  </si>
  <si>
    <t>155-161</t>
  </si>
  <si>
    <t>205-245</t>
  </si>
  <si>
    <t>Total Small Clean Power Plants</t>
  </si>
  <si>
    <t>Name</t>
  </si>
  <si>
    <t>Cost-of-Service Summary</t>
  </si>
  <si>
    <t>925 -    A&amp;G-Injuries &amp; Damages Insurance</t>
  </si>
  <si>
    <t>925</t>
  </si>
  <si>
    <t>Injuries &amp; Damages Insurance</t>
  </si>
  <si>
    <t>PROPERTY INSURANCE ALLOCATION</t>
  </si>
  <si>
    <t>Allocated</t>
  </si>
  <si>
    <t>Expense -</t>
  </si>
  <si>
    <t>Amount ($)</t>
  </si>
  <si>
    <t>Ratio (%)</t>
  </si>
  <si>
    <t>Transmission ($)</t>
  </si>
  <si>
    <t>Notes</t>
  </si>
  <si>
    <t>220 - Marcy /Clark Trans</t>
  </si>
  <si>
    <t>Injury/Damage</t>
  </si>
  <si>
    <t>Less A/C 925</t>
  </si>
  <si>
    <t>INJURIES &amp; DAMAGES INSURANCE EXPENSE ALLOCATION</t>
  </si>
  <si>
    <t>FACTS Plant-in-Service</t>
  </si>
  <si>
    <t>Reclassified FACTS Transmission Plant</t>
  </si>
  <si>
    <t>Transmission Maintenance</t>
  </si>
  <si>
    <t>Generator Step-Up Transformer Plant-in-Service</t>
  </si>
  <si>
    <t xml:space="preserve">       Total  Maintenance</t>
  </si>
  <si>
    <t>TOTAL ADJUSTED O&amp;M TRANSMISSION</t>
  </si>
  <si>
    <t>TRANSMISSION REVENUE REQUIREMENT SUMMARY</t>
  </si>
  <si>
    <t>NET A&amp;G TRANSMISSION EXPENSE</t>
  </si>
  <si>
    <t xml:space="preserve">     Subtotal</t>
  </si>
  <si>
    <t xml:space="preserve">     Subtotal (Full Transmission)</t>
  </si>
  <si>
    <t>Niagara -  Station Equipment 6 Units</t>
  </si>
  <si>
    <t>500MW Combined Cycle</t>
  </si>
  <si>
    <t>Capitalized Lease Amortization</t>
  </si>
  <si>
    <t>Total Adjustments</t>
  </si>
  <si>
    <t>TOTAL $</t>
  </si>
  <si>
    <t>Labor Ratio</t>
  </si>
  <si>
    <t>1/</t>
  </si>
  <si>
    <t>2/</t>
  </si>
  <si>
    <t>3/</t>
  </si>
  <si>
    <t>4/</t>
  </si>
  <si>
    <t>1/  Source:</t>
  </si>
  <si>
    <t>Share</t>
  </si>
  <si>
    <t>Rate</t>
  </si>
  <si>
    <t>1/:</t>
  </si>
  <si>
    <t>2/:</t>
  </si>
  <si>
    <t>3/:</t>
  </si>
  <si>
    <t>GENERATOR STEP-UP TRANSFORMERS BREAKOUT</t>
  </si>
  <si>
    <t>(6)</t>
  </si>
  <si>
    <t>(7)</t>
  </si>
  <si>
    <t>Col 1, Ln 2 / Col 1, Ln 1</t>
  </si>
  <si>
    <t xml:space="preserve">    (4)</t>
  </si>
  <si>
    <t>ST. Lawrence Relicensing Re: Local Recreation Fac</t>
  </si>
  <si>
    <t>STL. Relicensing-WHWMA Improvement Proj</t>
  </si>
  <si>
    <t>924 -    A&amp;G-Property Insurance</t>
  </si>
  <si>
    <t>Postings $</t>
  </si>
  <si>
    <t>930.5</t>
  </si>
  <si>
    <t>Misc. General Expenses</t>
  </si>
  <si>
    <t>Research &amp; Development</t>
  </si>
  <si>
    <t>930.2</t>
  </si>
  <si>
    <t>Total M&amp;S</t>
  </si>
  <si>
    <t>Inventory</t>
  </si>
  <si>
    <t>NIA</t>
  </si>
  <si>
    <t>STL</t>
  </si>
  <si>
    <t>POL</t>
  </si>
  <si>
    <t>B/G</t>
  </si>
  <si>
    <t>500MW</t>
  </si>
  <si>
    <t>CEC</t>
  </si>
  <si>
    <t>0100/105</t>
  </si>
  <si>
    <t>0100/110</t>
  </si>
  <si>
    <t>0100/115</t>
  </si>
  <si>
    <t>0100/120</t>
  </si>
  <si>
    <t>0100/122</t>
  </si>
  <si>
    <t>0100/125</t>
  </si>
  <si>
    <t>0100/130</t>
  </si>
  <si>
    <t>0100/135</t>
  </si>
  <si>
    <t>0100/140</t>
  </si>
  <si>
    <t>0100/145</t>
  </si>
  <si>
    <t>0100/150</t>
  </si>
  <si>
    <t>0100/155</t>
  </si>
  <si>
    <t>0100/156</t>
  </si>
  <si>
    <t>0100/157</t>
  </si>
  <si>
    <t>0100/158</t>
  </si>
  <si>
    <t>0100/159</t>
  </si>
  <si>
    <t>0100/160</t>
  </si>
  <si>
    <t>0100/161</t>
  </si>
  <si>
    <t>0100/165</t>
  </si>
  <si>
    <t>0100/205</t>
  </si>
  <si>
    <t>0100/210</t>
  </si>
  <si>
    <t>0100/215</t>
  </si>
  <si>
    <t>0100/220</t>
  </si>
  <si>
    <t>0100/225</t>
  </si>
  <si>
    <t>0100/230</t>
  </si>
  <si>
    <t>0100/235</t>
  </si>
  <si>
    <t>0100/240</t>
  </si>
  <si>
    <t>0100/245</t>
  </si>
  <si>
    <t>0100/305</t>
  </si>
  <si>
    <t>0100/310</t>
  </si>
  <si>
    <t>0100/320</t>
  </si>
  <si>
    <t>0100/321</t>
  </si>
  <si>
    <t>0100/410</t>
  </si>
  <si>
    <t>0100/600</t>
  </si>
  <si>
    <t>Astoria Energy II</t>
  </si>
  <si>
    <t>DSM</t>
  </si>
  <si>
    <t>NYPA/950100</t>
  </si>
  <si>
    <t>NYPA/950600</t>
  </si>
  <si>
    <t>506 -    SP-Misc Steam Power</t>
  </si>
  <si>
    <t>NYPA/951200</t>
  </si>
  <si>
    <t>512 -    SP-Maint Boiler Plt</t>
  </si>
  <si>
    <t>NYPA/951400</t>
  </si>
  <si>
    <t>NYPA/953500</t>
  </si>
  <si>
    <t>NYPA/953700</t>
  </si>
  <si>
    <t>NYPA/953800</t>
  </si>
  <si>
    <t>538 -    HP-Electric Expenses</t>
  </si>
  <si>
    <t>NYPA/953900</t>
  </si>
  <si>
    <t>NYPA/954100</t>
  </si>
  <si>
    <t>NYPA/954200</t>
  </si>
  <si>
    <t>NYPA/954300</t>
  </si>
  <si>
    <t>NYPA/954400</t>
  </si>
  <si>
    <t>NYPA/954500</t>
  </si>
  <si>
    <t>NYPA/954600</t>
  </si>
  <si>
    <t>NYPA/954800</t>
  </si>
  <si>
    <t>NYPA/954900</t>
  </si>
  <si>
    <t>NYPA/955100</t>
  </si>
  <si>
    <t>NYPA/955200</t>
  </si>
  <si>
    <t>NYPA/955300</t>
  </si>
  <si>
    <t>NYPA/955400</t>
  </si>
  <si>
    <t>NYPA/955500</t>
  </si>
  <si>
    <t>NYPA/956000</t>
  </si>
  <si>
    <t>NYPA/956100</t>
  </si>
  <si>
    <t>NYPA/956200</t>
  </si>
  <si>
    <t>NYPA/956500</t>
  </si>
  <si>
    <t>NYPA/956600</t>
  </si>
  <si>
    <t>NYPA/956800</t>
  </si>
  <si>
    <t>NYPA/956900</t>
  </si>
  <si>
    <t>NYPA/957000</t>
  </si>
  <si>
    <t>NYPA/957100</t>
  </si>
  <si>
    <t>NYPA/957200</t>
  </si>
  <si>
    <t>NYPA/957300</t>
  </si>
  <si>
    <t>NYPA/920000</t>
  </si>
  <si>
    <t>923 -   Outside Services Employed</t>
  </si>
  <si>
    <t>NYPA/992400</t>
  </si>
  <si>
    <t>NYPA/992600</t>
  </si>
  <si>
    <t>926 -    A&amp;G-Employee Pension &amp; Benefits</t>
  </si>
  <si>
    <t>NYPA/992800</t>
  </si>
  <si>
    <t>928 -    A&amp;G-Regulatory Commission Expense</t>
  </si>
  <si>
    <t>NYPA/993000</t>
  </si>
  <si>
    <t>NYPA/993020</t>
  </si>
  <si>
    <t>930.2-A&amp;G-Miscellaneous &amp; General Expense</t>
  </si>
  <si>
    <t>NYPA/920030</t>
  </si>
  <si>
    <t>NYPA/993500</t>
  </si>
  <si>
    <t>935 -    A&amp;G-Maintenance of General Plant</t>
  </si>
  <si>
    <t>Actual</t>
  </si>
  <si>
    <t>Production      </t>
  </si>
  <si>
    <t>Transmission    </t>
  </si>
  <si>
    <t>General         </t>
  </si>
  <si>
    <t>ASHOKAN / KENSICO</t>
  </si>
  <si>
    <t>Transprt.Equip-500MW</t>
  </si>
  <si>
    <t>P/T/G</t>
  </si>
  <si>
    <t>Plant Name</t>
  </si>
  <si>
    <t>A/C</t>
  </si>
  <si>
    <t>Allocator</t>
  </si>
  <si>
    <t>Avg. M&amp;S</t>
  </si>
  <si>
    <t>0100/255</t>
  </si>
  <si>
    <t>FERC G/L Accounts</t>
  </si>
  <si>
    <t>HTP Trans</t>
  </si>
  <si>
    <t>Obsolete/Excess Inv</t>
  </si>
  <si>
    <t>Net position at January 1</t>
  </si>
  <si>
    <t>Net position at December 31</t>
  </si>
  <si>
    <t>Astoria 2 (AE-II) Substation</t>
  </si>
  <si>
    <t>Land &amp; Land Rights - Pathnode Substation WF</t>
  </si>
  <si>
    <t>930</t>
  </si>
  <si>
    <t>Year-Over-Year Accumulated Depreciation</t>
  </si>
  <si>
    <t>Production</t>
  </si>
  <si>
    <t>Avg. Transmission Plant in Service</t>
  </si>
  <si>
    <t>Cost of Removal Deprec to Reg Assets (Prod)</t>
  </si>
  <si>
    <t>Cost of Removal Deprec to Reg Assets (Gen)</t>
  </si>
  <si>
    <t>Cost of Removal Deprec to Reg Assets (Trans)</t>
  </si>
  <si>
    <t>Cost of Removal to Regulatory Assets - Depreciation:</t>
  </si>
  <si>
    <t>TOTAL REVENUE REQUIREMENT</t>
  </si>
  <si>
    <t>Source</t>
  </si>
  <si>
    <t>A</t>
  </si>
  <si>
    <t>B</t>
  </si>
  <si>
    <t>C</t>
  </si>
  <si>
    <t>D</t>
  </si>
  <si>
    <t>E</t>
  </si>
  <si>
    <t>F</t>
  </si>
  <si>
    <t>H</t>
  </si>
  <si>
    <t>Less line 6</t>
  </si>
  <si>
    <t>Less line 5</t>
  </si>
  <si>
    <t>LN</t>
  </si>
  <si>
    <t>(Sum lines 1-24)</t>
  </si>
  <si>
    <t>(sum lines 1-14)</t>
  </si>
  <si>
    <t>Project Revenue Requirement Worksheet</t>
  </si>
  <si>
    <t>Line</t>
  </si>
  <si>
    <t>Page, Line, Col.</t>
  </si>
  <si>
    <t>Gross Transmission Plant - Total</t>
  </si>
  <si>
    <t>1a</t>
  </si>
  <si>
    <t>Transmission Accumulated Depreciation</t>
  </si>
  <si>
    <t>1b</t>
  </si>
  <si>
    <t>Net Transmission Plant - Total</t>
  </si>
  <si>
    <t>Line 1 minus Line 1a plus Line 1b</t>
  </si>
  <si>
    <t>O&amp;M TRANSMISSION EXPENSE</t>
  </si>
  <si>
    <t>Total O&amp;M Allocated to Transmission</t>
  </si>
  <si>
    <t>5</t>
  </si>
  <si>
    <t>6</t>
  </si>
  <si>
    <t>7</t>
  </si>
  <si>
    <t>8</t>
  </si>
  <si>
    <t xml:space="preserve">RETURN </t>
  </si>
  <si>
    <t>Annual Allocation Factor for Return on Rate Base</t>
  </si>
  <si>
    <t>Annual Allocation Factor for Return</t>
  </si>
  <si>
    <t>(14)</t>
  </si>
  <si>
    <t>(15)</t>
  </si>
  <si>
    <t>(16)</t>
  </si>
  <si>
    <t>Project Name and #</t>
  </si>
  <si>
    <t>Type</t>
  </si>
  <si>
    <t>Incentive Return in basis Points</t>
  </si>
  <si>
    <t>Col. 3 * Col. 5</t>
  </si>
  <si>
    <t>(Note E)</t>
  </si>
  <si>
    <t>(Note F)</t>
  </si>
  <si>
    <t>1c</t>
  </si>
  <si>
    <t>1d</t>
  </si>
  <si>
    <t>1e</t>
  </si>
  <si>
    <t>1f</t>
  </si>
  <si>
    <t>1g</t>
  </si>
  <si>
    <t>1h</t>
  </si>
  <si>
    <t>1i</t>
  </si>
  <si>
    <t>1j</t>
  </si>
  <si>
    <t>1k</t>
  </si>
  <si>
    <t>1l</t>
  </si>
  <si>
    <t>1m</t>
  </si>
  <si>
    <t>1n</t>
  </si>
  <si>
    <t>1o</t>
  </si>
  <si>
    <t>2</t>
  </si>
  <si>
    <t>Note</t>
  </si>
  <si>
    <t>Letter</t>
  </si>
  <si>
    <t>Requires approval by FERC of incentive return applicable to the specified project(s)</t>
  </si>
  <si>
    <t>Incentives</t>
  </si>
  <si>
    <t>Rate Base</t>
  </si>
  <si>
    <t>100 Basis Point Incentive Return</t>
  </si>
  <si>
    <t>$</t>
  </si>
  <si>
    <t>%</t>
  </si>
  <si>
    <t xml:space="preserve">  Long Term Debt </t>
  </si>
  <si>
    <t xml:space="preserve">  Common Stock</t>
  </si>
  <si>
    <t>Total  (sum lines 3-4)</t>
  </si>
  <si>
    <t>100 Basis Point Incentive Return multiplied by Rate Base (line 1 * line 5)</t>
  </si>
  <si>
    <t>Incremental Return for 100 basis point increase in ROE</t>
  </si>
  <si>
    <t>(Line 6 less line 7)</t>
  </si>
  <si>
    <t>Incremental Return for 100 basis point increase in ROE divided by Rate Base</t>
  </si>
  <si>
    <t>(Line 8 / line 9)</t>
  </si>
  <si>
    <t xml:space="preserve">Notes: </t>
  </si>
  <si>
    <t>Line 5 includes a 100 basis point increase in ROE that is used only to determine the increase in return and income taxes associated with</t>
  </si>
  <si>
    <t>Project True-Up</t>
  </si>
  <si>
    <t>(d)</t>
  </si>
  <si>
    <t>(e)</t>
  </si>
  <si>
    <t>True-Up</t>
  </si>
  <si>
    <t>Applicable</t>
  </si>
  <si>
    <t>Adjustment</t>
  </si>
  <si>
    <t>Interest</t>
  </si>
  <si>
    <t>Project</t>
  </si>
  <si>
    <t>Revenue</t>
  </si>
  <si>
    <t>Principal</t>
  </si>
  <si>
    <t xml:space="preserve">Prior Period </t>
  </si>
  <si>
    <t>Rate on</t>
  </si>
  <si>
    <t>Number</t>
  </si>
  <si>
    <t>Under/(Over)</t>
  </si>
  <si>
    <t>(Col. (f) + Col. (g)) x</t>
  </si>
  <si>
    <t>Col. (f) + Col. (g)</t>
  </si>
  <si>
    <t>Col. (e) - Col. (d)</t>
  </si>
  <si>
    <t>Line 24</t>
  </si>
  <si>
    <t xml:space="preserve">Col. (h) x 24 months </t>
  </si>
  <si>
    <t xml:space="preserve"> + Col. (i)</t>
  </si>
  <si>
    <t>Schedule 1</t>
  </si>
  <si>
    <t>…</t>
  </si>
  <si>
    <t>Subtotal</t>
  </si>
  <si>
    <t>Under/(Over) Recovery</t>
  </si>
  <si>
    <t>FERC Refund Interest Rate</t>
  </si>
  <si>
    <t>Interest Rate (Note A):</t>
  </si>
  <si>
    <t>Interest Rates under Section 35.19(a)</t>
  </si>
  <si>
    <t>January</t>
  </si>
  <si>
    <t>February</t>
  </si>
  <si>
    <t>March</t>
  </si>
  <si>
    <t>April</t>
  </si>
  <si>
    <t>May</t>
  </si>
  <si>
    <t>June</t>
  </si>
  <si>
    <t>July</t>
  </si>
  <si>
    <t>August</t>
  </si>
  <si>
    <t>September</t>
  </si>
  <si>
    <t>October</t>
  </si>
  <si>
    <t>November</t>
  </si>
  <si>
    <t>December</t>
  </si>
  <si>
    <t>Avg. Monthly FERC Rate</t>
  </si>
  <si>
    <t>Prior Period Adjustments</t>
  </si>
  <si>
    <t xml:space="preserve">Project or </t>
  </si>
  <si>
    <t>Total Adjustment</t>
  </si>
  <si>
    <t xml:space="preserve">A Description of the Adjustment </t>
  </si>
  <si>
    <t>In Dollars</t>
  </si>
  <si>
    <t>(Note  A)</t>
  </si>
  <si>
    <t>Col. (c) + Col. (d)</t>
  </si>
  <si>
    <t>25a</t>
  </si>
  <si>
    <t>25b</t>
  </si>
  <si>
    <t>25c</t>
  </si>
  <si>
    <t>..</t>
  </si>
  <si>
    <t>Notes:</t>
  </si>
  <si>
    <t>GENERAL DEPRECIATION EXPENSE</t>
  </si>
  <si>
    <t>Total General Depreciation Expense</t>
  </si>
  <si>
    <t>Project 1</t>
  </si>
  <si>
    <t>Project 2</t>
  </si>
  <si>
    <t>Annual Allocation Factor for Expenses</t>
  </si>
  <si>
    <t>(Sum Col. 6, 9 &amp; 10)</t>
  </si>
  <si>
    <t>(Sum Col. 11 + 13)</t>
  </si>
  <si>
    <t xml:space="preserve">Sum Col. 14 + 15 </t>
  </si>
  <si>
    <t>check</t>
  </si>
  <si>
    <t>Docket Number</t>
  </si>
  <si>
    <t>Authorized Amount</t>
  </si>
  <si>
    <t xml:space="preserve"> TOTAL         (sum lines 1-9)</t>
  </si>
  <si>
    <t>352</t>
  </si>
  <si>
    <t>353</t>
  </si>
  <si>
    <t xml:space="preserve">     5 Year Property</t>
  </si>
  <si>
    <t xml:space="preserve">     10 Year Property</t>
  </si>
  <si>
    <t xml:space="preserve">     20 Year Property</t>
  </si>
  <si>
    <t xml:space="preserve">     7 Year Property</t>
  </si>
  <si>
    <t xml:space="preserve"> over the life of a CIAC without subsequent FERC approval.</t>
  </si>
  <si>
    <t>Per FERC order (Note H)</t>
  </si>
  <si>
    <t>The Total General and Common Depreciation Expense excludes any depreciation expense directly associated with a project and thereby included in page 2 column 8.</t>
  </si>
  <si>
    <t>Reserved</t>
  </si>
  <si>
    <t>Cost = Schedule E, line 2, Cost plus .01</t>
  </si>
  <si>
    <t>or Project</t>
  </si>
  <si>
    <t>True-up Adjustment</t>
  </si>
  <si>
    <t>NET ADJUSTED REVENUE REQUIREMENT</t>
  </si>
  <si>
    <t>Line 4 + Line 6</t>
  </si>
  <si>
    <t xml:space="preserve">Sum lines 1, 2, &amp; 3 </t>
  </si>
  <si>
    <t>Breakout by Project</t>
  </si>
  <si>
    <t>Total Break out</t>
  </si>
  <si>
    <t>PROJECT REVENUE REQUIREMENT WORKSHEET</t>
  </si>
  <si>
    <t>INCENTIVES</t>
  </si>
  <si>
    <t>PROJECT TRUE-UP</t>
  </si>
  <si>
    <t xml:space="preserve">DEPRECIATION AND AMORTIZATION RATES </t>
  </si>
  <si>
    <t>MARCY-SOUTH CAPITALIZED LEASE AMORTIZATION AND UNAMORTIZED BALANCE</t>
  </si>
  <si>
    <t>Page 1 of 2</t>
  </si>
  <si>
    <t>Page 2 of 2</t>
  </si>
  <si>
    <t>YEAR ENDING DECEMBER 31, 2014</t>
  </si>
  <si>
    <t>NYPA/9 56900</t>
  </si>
  <si>
    <t>DECEMBER 2014</t>
  </si>
  <si>
    <t>TRANSMISSION (353 Station Equip.)</t>
  </si>
  <si>
    <t>930.1-A&amp;G-General Advertising Expense</t>
  </si>
  <si>
    <t>930.1</t>
  </si>
  <si>
    <t>General Advertising Expense</t>
  </si>
  <si>
    <t>Long Term Debt due within 1 year</t>
  </si>
  <si>
    <t>Interest LTD (including Swaps, Deferred Refinancing)</t>
  </si>
  <si>
    <t>Land</t>
  </si>
  <si>
    <t>Construction in progress</t>
  </si>
  <si>
    <t>Production - Hydro</t>
  </si>
  <si>
    <t>Production - Gas turbine/combined cycle</t>
  </si>
  <si>
    <t>Category</t>
  </si>
  <si>
    <t>Transmission Total</t>
  </si>
  <si>
    <t>Production - Hydro Total</t>
  </si>
  <si>
    <t>Production - Gas turbine/combined cycle Total</t>
  </si>
  <si>
    <t>Land Total</t>
  </si>
  <si>
    <t>General Total</t>
  </si>
  <si>
    <t>Construction in progress Total</t>
  </si>
  <si>
    <t>SUBTOTAL Astoria 2 (AE-II) Substation</t>
  </si>
  <si>
    <t>Capital assets, not being depreciated:</t>
  </si>
  <si>
    <t>Total capital assets not being depreciated</t>
  </si>
  <si>
    <t>Capital assets, being depreciated:</t>
  </si>
  <si>
    <t>Total capital assets, being depreciated</t>
  </si>
  <si>
    <t xml:space="preserve">                                                                   Net value of all capital assets</t>
  </si>
  <si>
    <t>Power Sales</t>
  </si>
  <si>
    <t>Transmission Charges</t>
  </si>
  <si>
    <t>Wheeling Charges</t>
  </si>
  <si>
    <t>Fuel Oil and Gas</t>
  </si>
  <si>
    <t>Operations</t>
  </si>
  <si>
    <t>Maintenance</t>
  </si>
  <si>
    <t>Operating Income</t>
  </si>
  <si>
    <t>Nonoperating Revenues</t>
  </si>
  <si>
    <t>Nonoperating Expenses</t>
  </si>
  <si>
    <t>Contribution to New York State</t>
  </si>
  <si>
    <t>Interest on Long-Term Debt</t>
  </si>
  <si>
    <t>Interest Capitalized</t>
  </si>
  <si>
    <t>Amortization of Debt Premium</t>
  </si>
  <si>
    <t>Interest - Other</t>
  </si>
  <si>
    <t>Net Income Before Contributed Capital</t>
  </si>
  <si>
    <t>Contributed Capital - Wind Farm Transmission  Assets</t>
  </si>
  <si>
    <t>Change in net position</t>
  </si>
  <si>
    <t>Liabilities, Deferred Inflows and Net Position</t>
  </si>
  <si>
    <t>Current Liabilities:</t>
  </si>
  <si>
    <t>Accounts payable and accrued liabilities</t>
  </si>
  <si>
    <t>Short-term debt</t>
  </si>
  <si>
    <t>Long-term debt due within one year</t>
  </si>
  <si>
    <t>Capital lease obligation due within one year</t>
  </si>
  <si>
    <t>Risk management activities - derivatives</t>
  </si>
  <si>
    <t>Total current liabilities</t>
  </si>
  <si>
    <t>Noncurrent liabilities:</t>
  </si>
  <si>
    <t>Long-term debt:</t>
  </si>
  <si>
    <t>Senior:</t>
  </si>
  <si>
    <t>Revenue bonds</t>
  </si>
  <si>
    <t>Adjustable rate tender notes</t>
  </si>
  <si>
    <t>Subordinated:</t>
  </si>
  <si>
    <t>Commercial paper</t>
  </si>
  <si>
    <t>Total long-term debt</t>
  </si>
  <si>
    <t>Other noncurrent liabilities:</t>
  </si>
  <si>
    <t>Capital lease obligation</t>
  </si>
  <si>
    <t>Liability to decommission divested nuclear facilities</t>
  </si>
  <si>
    <t>Disposal of spent nuclear fuel</t>
  </si>
  <si>
    <t>Relicensing</t>
  </si>
  <si>
    <t>Other long-term liabilities</t>
  </si>
  <si>
    <t>Total other noncurrent liabilities</t>
  </si>
  <si>
    <t>Total noncurrent liabilities</t>
  </si>
  <si>
    <t>Total liabilities</t>
  </si>
  <si>
    <t>Deferred inflows:</t>
  </si>
  <si>
    <t>Cost of removal obligation</t>
  </si>
  <si>
    <t>Net position:</t>
  </si>
  <si>
    <t>Net investment in capital assets</t>
  </si>
  <si>
    <t>Restricted</t>
  </si>
  <si>
    <t>Unrestricted</t>
  </si>
  <si>
    <t>Total net position</t>
  </si>
  <si>
    <t>Total liabilities, deferred inflows and net position</t>
  </si>
  <si>
    <t>Assets and Deferred Outflows</t>
  </si>
  <si>
    <t>Cash and cash equivalents</t>
  </si>
  <si>
    <t>Investment in securities</t>
  </si>
  <si>
    <t>Receivables - customers</t>
  </si>
  <si>
    <t>Materials and supplies, at average Cost:</t>
  </si>
  <si>
    <t>Plant and general</t>
  </si>
  <si>
    <t>Fuel</t>
  </si>
  <si>
    <t>Miscellaneous receivables and other</t>
  </si>
  <si>
    <t>Total current assets</t>
  </si>
  <si>
    <t>Noncurrent Assets:</t>
  </si>
  <si>
    <t>Current Assets:</t>
  </si>
  <si>
    <t>Restricted funds:</t>
  </si>
  <si>
    <t>Total restricted assets</t>
  </si>
  <si>
    <t>Capital funds:</t>
  </si>
  <si>
    <t>Capital Assets</t>
  </si>
  <si>
    <t>Capital assets not being depreciated</t>
  </si>
  <si>
    <t>Capital assets, net of accumulated depreciation</t>
  </si>
  <si>
    <t>Total capital funds</t>
  </si>
  <si>
    <t>Total capital assets</t>
  </si>
  <si>
    <t>Other noncurrent assets:</t>
  </si>
  <si>
    <t>Receivable - New York State</t>
  </si>
  <si>
    <t>Notes receivable - nuclear plant sale</t>
  </si>
  <si>
    <t>Other long-term assets</t>
  </si>
  <si>
    <t>Total other noncurrent assets</t>
  </si>
  <si>
    <t>Total noncurrent assets</t>
  </si>
  <si>
    <t>Total assets</t>
  </si>
  <si>
    <t>Deferred outflows:</t>
  </si>
  <si>
    <t>Total assets and deferred outflows</t>
  </si>
  <si>
    <t>Unadjusted General Plant Depreciation</t>
  </si>
  <si>
    <t>Subordinated Notes, Series 2012</t>
  </si>
  <si>
    <t>COST OF REMOVAL</t>
  </si>
  <si>
    <t>Production - Land</t>
  </si>
  <si>
    <t>Production - Gas Turbine / Combined Cycle</t>
  </si>
  <si>
    <t>Transmission - Land</t>
  </si>
  <si>
    <t>Transmission - Asset Impairment</t>
  </si>
  <si>
    <t>General - Land</t>
  </si>
  <si>
    <t>General - Asset Impairment</t>
  </si>
  <si>
    <t>General - Cost of Removal</t>
  </si>
  <si>
    <t>Operation and Maintenance Summary</t>
  </si>
  <si>
    <t>TOTALS</t>
  </si>
  <si>
    <t>OVERALL</t>
  </si>
  <si>
    <t>RESULT</t>
  </si>
  <si>
    <t xml:space="preserve">              FERC by accounts and profit center</t>
  </si>
  <si>
    <t>Generator Step-ups</t>
  </si>
  <si>
    <t>GENERAL</t>
  </si>
  <si>
    <t>ADMIN &amp; GENERAL</t>
  </si>
  <si>
    <t>NYPA/940300</t>
  </si>
  <si>
    <t>403 -    Depreciation Expense</t>
  </si>
  <si>
    <t>New York Power Authority</t>
  </si>
  <si>
    <t>Capital Assets - Note 5</t>
  </si>
  <si>
    <t xml:space="preserve">2014 Annual Report </t>
  </si>
  <si>
    <t>balance</t>
  </si>
  <si>
    <t>Additions</t>
  </si>
  <si>
    <t>Deletions</t>
  </si>
  <si>
    <t>Production – Hydro</t>
  </si>
  <si>
    <t>Production – Gas</t>
  </si>
  <si>
    <t>turbine/combined cycle</t>
  </si>
  <si>
    <t>Major</t>
  </si>
  <si>
    <t>O&amp;M AND A&amp;G SUMMARY</t>
  </si>
  <si>
    <t>O&amp;M AND A&amp;G DETAIL</t>
  </si>
  <si>
    <t>EXCLUDED PLANT IN SERVICE</t>
  </si>
  <si>
    <t>Accumulated decrease in fair value of hedging derivatives</t>
  </si>
  <si>
    <t>Investment Income</t>
  </si>
  <si>
    <t>PLANT IN SERVICE DETAIL</t>
  </si>
  <si>
    <t>Gross Plant in</t>
  </si>
  <si>
    <t>Service Ratio</t>
  </si>
  <si>
    <t>926 -    A&amp;G-Employee Pension &amp; Benefits(PBOP)</t>
  </si>
  <si>
    <t xml:space="preserve">Actual Revenues </t>
  </si>
  <si>
    <t>Received (Note 1)</t>
  </si>
  <si>
    <t>Requirement (Note 2)</t>
  </si>
  <si>
    <t>Line 25, Col. (e)</t>
  </si>
  <si>
    <t>Less EPRI Dues</t>
  </si>
  <si>
    <t>Contained in line 12</t>
  </si>
  <si>
    <t>Less A/C 928</t>
  </si>
  <si>
    <t>Less line 8</t>
  </si>
  <si>
    <t>PBOP Adjustment</t>
  </si>
  <si>
    <t xml:space="preserve">CAPITAL STRUCTURE AND COST OF CAPITAL </t>
  </si>
  <si>
    <t>LABOR  RATIO</t>
  </si>
  <si>
    <t>Col (1) * Col (2)</t>
  </si>
  <si>
    <t>Col (3); Ln (1) + Ln (2)</t>
  </si>
  <si>
    <t>Income</t>
  </si>
  <si>
    <t>St. Lawrence/FDR</t>
  </si>
  <si>
    <t>Massena-Marcy</t>
  </si>
  <si>
    <t>Marcy-South</t>
  </si>
  <si>
    <t>New Project</t>
  </si>
  <si>
    <t>Microwave Tower Rental Income</t>
  </si>
  <si>
    <t>MICROWAVE TOWER RENTAL INCOME</t>
  </si>
  <si>
    <t>Adjustments to Rate Base</t>
  </si>
  <si>
    <t>CAPITAL ASSETS - Note 5 ($ Millions)</t>
  </si>
  <si>
    <t>Recharge New York</t>
  </si>
  <si>
    <t>Base PBOP Amount</t>
  </si>
  <si>
    <t>Operation and Maintenance Detail</t>
  </si>
  <si>
    <t>Line 4 less line 3</t>
  </si>
  <si>
    <t>2014</t>
  </si>
  <si>
    <t>Line 1 less line 2</t>
  </si>
  <si>
    <t>PBOP contained in Cost of Service</t>
  </si>
  <si>
    <t>Flexible Alternating Current Transmission System device</t>
  </si>
  <si>
    <t>Note 1</t>
  </si>
  <si>
    <t>FACTS (Note 1)</t>
  </si>
  <si>
    <t>NTAC ATRR</t>
  </si>
  <si>
    <t>Reference</t>
  </si>
  <si>
    <t xml:space="preserve">STATEMENT OF REVENUES, EXPENSES AND CHANGES IN NET POSITION </t>
  </si>
  <si>
    <t>(sum lines 1-4)</t>
  </si>
  <si>
    <t>(sum lines 6-11)</t>
  </si>
  <si>
    <t>(sum lines 5 &amp; 12)</t>
  </si>
  <si>
    <t>(sum lines 15 to 20)</t>
  </si>
  <si>
    <t>(sum lines 1 to 21)</t>
  </si>
  <si>
    <t>(Page 1, line 8)</t>
  </si>
  <si>
    <t>(Col. 7 * Col. 8)</t>
  </si>
  <si>
    <t>NTAC Facilities</t>
  </si>
  <si>
    <t>Prior Period Adjustments are when an error is discovered relating to a prior true-up or refunds/surcharges ordered by FERC.  The interest on the Prior Period Adjustment excludes interest for the current true up period, because the interest is included in Row 25 column (d).</t>
  </si>
  <si>
    <t>Oakdale (NYSEG) Substation 345kv Capacitor Bank</t>
  </si>
  <si>
    <t>Edic (NMPC) Substation 345kv Capacitor Bank</t>
  </si>
  <si>
    <t xml:space="preserve">The revenue requirements shown on lines 11 and 11a et seq. and annual revenue requirements.  If the first year is a partial year, 1/12 of the amounts should be recovered for every month of the Rate Year. </t>
  </si>
  <si>
    <t>CAPITAL STRUCTURE AND COST OF CAPITAL AS OF DECEMBER 31, 2014</t>
  </si>
  <si>
    <t>STEP-UP TRANSFORMERS O&amp;M ALLOCATOR</t>
  </si>
  <si>
    <t>FACTS O&amp;M ALLOCATOR</t>
  </si>
  <si>
    <t>PROPERTY INSURANCE ALLOCATOR</t>
  </si>
  <si>
    <t>Long Island Sound Cable</t>
  </si>
  <si>
    <t>Removed Step-up Transmission O&amp;M</t>
  </si>
  <si>
    <t>($)</t>
  </si>
  <si>
    <t>2014 Amount ($)</t>
  </si>
  <si>
    <t>Insurance ($)</t>
  </si>
  <si>
    <t>Prepayments ($)</t>
  </si>
  <si>
    <t>Obligation ($)</t>
  </si>
  <si>
    <t>Lease/Asset ($)</t>
  </si>
  <si>
    <t>Amortization ($)</t>
  </si>
  <si>
    <t>Inventory ($)</t>
  </si>
  <si>
    <t>M&amp;S ($)</t>
  </si>
  <si>
    <t>Service ($)</t>
  </si>
  <si>
    <t>Service (Net $)</t>
  </si>
  <si>
    <t>Expense ($)</t>
  </si>
  <si>
    <t>Service  (Net $)</t>
  </si>
  <si>
    <t>Depreciation Expense ($)</t>
  </si>
  <si>
    <t>Electric Plant in Service ($)</t>
  </si>
  <si>
    <t>Accumulated Depreciation ($)</t>
  </si>
  <si>
    <t>Electric Plant in Service  (Net $ )</t>
  </si>
  <si>
    <t>Electric Plant in Service  (Net $)</t>
  </si>
  <si>
    <t>Project Gross Plant ($)</t>
  </si>
  <si>
    <t>Project Accumulated Depreciation ($)</t>
  </si>
  <si>
    <t>Annual Allocation for Expenses ($)</t>
  </si>
  <si>
    <t>Project Net Plant ($)</t>
  </si>
  <si>
    <t>Annual Return Charge ($)</t>
  </si>
  <si>
    <t>Project Depreciation/Amortization Expense ($)</t>
  </si>
  <si>
    <t>Annual Revenue Requirement ($)</t>
  </si>
  <si>
    <t>Incentive Return ($)</t>
  </si>
  <si>
    <t>Total Annual Revenue Requirement ($)</t>
  </si>
  <si>
    <t>True-Up Adjustment ($)</t>
  </si>
  <si>
    <t>Net Revenue Requirement ($)</t>
  </si>
  <si>
    <t>LABOR AMOUNT ($)</t>
  </si>
  <si>
    <t>PLANT ($)</t>
  </si>
  <si>
    <t>GENERAL PLANT ($)</t>
  </si>
  <si>
    <t>TRANSMISSION ($)</t>
  </si>
  <si>
    <t>ANNUAL DEPRECIATION AND AMORTIZATION EXPENSES ($)</t>
  </si>
  <si>
    <t>A&amp;G ($)</t>
  </si>
  <si>
    <t>OPERATION &amp; MAINTENANCE EXPENSE SUMMARY ($)</t>
  </si>
  <si>
    <t>(sum lines 13-16)</t>
  </si>
  <si>
    <t>5/</t>
  </si>
  <si>
    <t>6/</t>
  </si>
  <si>
    <t>Amount Actually Received for Transmission Service</t>
  </si>
  <si>
    <t>Preferred Dividends</t>
  </si>
  <si>
    <t>LTD Cost Rate</t>
  </si>
  <si>
    <t>POSTRETIREMENT BENEFITS OTHER THAN PENSIONS (PBOP)</t>
  </si>
  <si>
    <t>PBOP Capitalized</t>
  </si>
  <si>
    <t>(Net $)</t>
  </si>
  <si>
    <t>J. A. FitzPatrick</t>
  </si>
  <si>
    <t>J. A.  FitzPatrick</t>
  </si>
  <si>
    <t>St. Lawrence:</t>
  </si>
  <si>
    <t>St. Lawrence - Station Equipment</t>
  </si>
  <si>
    <t>Step-Up Transformer</t>
  </si>
  <si>
    <t>Step-Up Transformer &amp; Related Equipment - Unit # 6</t>
  </si>
  <si>
    <t>Step-Up Transformer &amp; Related Equipment - Unit # 3</t>
  </si>
  <si>
    <t>Step-Up Transformer &amp; Related Equipment - Unit # 12</t>
  </si>
  <si>
    <t>Step-Up Transformer &amp; Related Equipment - Unit # 11</t>
  </si>
  <si>
    <t>Step-Up Transformer &amp; Related Equipment - Unit # 7</t>
  </si>
  <si>
    <t>Step-Up Transformer &amp; Related Equipment - Unit # 5</t>
  </si>
  <si>
    <t>Step-Up Transformer &amp; Related Equipment - Unit # 9</t>
  </si>
  <si>
    <t>Step-Up Transformer GTB 7A</t>
  </si>
  <si>
    <t>Step-Up Transformer GTB 7B</t>
  </si>
  <si>
    <t>Step-Up Transformer STG</t>
  </si>
  <si>
    <t>Transmission CWIP, Regulatory Asset and Abandoned Plant</t>
  </si>
  <si>
    <t>Inclusive of any CWIP, Unamortized Regulatory Asset or Unamortized Abandoned Plant balances included in rate base when authorized by FERC order.</t>
  </si>
  <si>
    <t>Project Net Plant is the Project Gross Plant Identified in Column 3 less the associated Accumulated Depreciation in page 2, column 4.  Net Plant includes any FERC approved CWIP, Unamortized Abandoned Plant and Regulatory Asset.</t>
  </si>
  <si>
    <t>Col (2)+(5)</t>
  </si>
  <si>
    <t xml:space="preserve"> (1) + (4)</t>
  </si>
  <si>
    <t>CAPITALIZATION RATIO</t>
  </si>
  <si>
    <t xml:space="preserve">COST RATE </t>
  </si>
  <si>
    <t>AVERAGE</t>
  </si>
  <si>
    <t xml:space="preserve">WEIGHTED  </t>
  </si>
  <si>
    <t>Note 2</t>
  </si>
  <si>
    <t>Adjustments   (Note 2)</t>
  </si>
  <si>
    <t>(Note A)</t>
  </si>
  <si>
    <t>Incentive Return</t>
  </si>
  <si>
    <t>Net Transmission Plant</t>
  </si>
  <si>
    <t>Line 7 + line 8 + line 9</t>
  </si>
  <si>
    <t>Exhibit No. PA-102, INDEX</t>
  </si>
  <si>
    <t>Total Capital Assets</t>
  </si>
  <si>
    <t>Less CWIP</t>
  </si>
  <si>
    <t>Total Assets in Service</t>
  </si>
  <si>
    <t>Comprising:</t>
  </si>
  <si>
    <t>Service - Net ($)</t>
  </si>
  <si>
    <t>Reclassification to deferred liability</t>
  </si>
  <si>
    <t>Asset Impairment</t>
  </si>
  <si>
    <t>Unadjusted Depreciation</t>
  </si>
  <si>
    <t>Total Assets in Service - As per ATRR</t>
  </si>
  <si>
    <t>Capital Assets not being depreciated</t>
  </si>
  <si>
    <t>Capital Assets being depreciated</t>
  </si>
  <si>
    <t>Adjustments for ATRR</t>
  </si>
  <si>
    <t>Cost of Removal (note 1)</t>
  </si>
  <si>
    <t>Excluded (note 2)</t>
  </si>
  <si>
    <t>Adjustments to Rate Base (note 3)</t>
  </si>
  <si>
    <t>RECONCILIATIONS BETWEEN ANNUAL REPORT &amp; ATRR</t>
  </si>
  <si>
    <t>As per Annual Report</t>
  </si>
  <si>
    <t>925 - Injuries &amp; Damages Insurance as allocated</t>
  </si>
  <si>
    <t>924 -Property Insurance as allocated</t>
  </si>
  <si>
    <t>A&amp;G allocated to Production and General</t>
  </si>
  <si>
    <t>Less A/C 924 - Property Insurance</t>
  </si>
  <si>
    <t>Less A/C 925 - Injuries &amp; Damages Insurance</t>
  </si>
  <si>
    <t>OPERATION &amp; MAINTANANCE EXPENSES</t>
  </si>
  <si>
    <t>Cost of Removal: Bringing back to accumulated depreciation cost of removal which was reclassified to regulatory liabilities in annual report</t>
  </si>
  <si>
    <t>Excluded: Assets not recoverable under ATRR</t>
  </si>
  <si>
    <t>Excluded Expenses</t>
  </si>
  <si>
    <t>As per ATRR</t>
  </si>
  <si>
    <t>Total O&amp;M</t>
  </si>
  <si>
    <t>Operations &amp; Maintenance Expenses - as per Annual Report</t>
  </si>
  <si>
    <t>Operations &amp; Maintenance Expenses - as per ATRR</t>
  </si>
  <si>
    <t>MATERIALS &amp; SUPPLIES</t>
  </si>
  <si>
    <t>Plant and General</t>
  </si>
  <si>
    <t>Long-Term</t>
  </si>
  <si>
    <t>Short-Term</t>
  </si>
  <si>
    <t>Long -Term Debt</t>
  </si>
  <si>
    <t>INTEREST ON LONG-TERM DEBT</t>
  </si>
  <si>
    <t>Transmission - Cost of Removal 1/</t>
  </si>
  <si>
    <t>Excluded Transmission   2/</t>
  </si>
  <si>
    <t>2/   Excluded Transmission: Assets not recoverable under ATRR, FERC Accounts 350 and 352-359 for 500 MW, AEII, Poletti, SCPPs, Small Hydro, and Flynn.</t>
  </si>
  <si>
    <t xml:space="preserve">        SCPPs include Brentwood, Gowanus, Harlem River, Hell Gate, Kent, Pouch and Vernon. Small Hydro includes Ashokan, Crescent, Jarvis and Vischer Ferry </t>
  </si>
  <si>
    <t>Schedule B1, Col 6, Ln 26</t>
  </si>
  <si>
    <t>Schedule C1, Col 5, Ln 10</t>
  </si>
  <si>
    <t>Schedule C1, Col 7, Ln 10</t>
  </si>
  <si>
    <t>Schedule F1</t>
  </si>
  <si>
    <t>Schedule A1, Col 5, Ln 17</t>
  </si>
  <si>
    <t>Schedule A2, Col 5, Ln 22</t>
  </si>
  <si>
    <t>SCHEDULE  A1</t>
  </si>
  <si>
    <t>Exhibit No. PA-102, SCH-A1</t>
  </si>
  <si>
    <t>SCHEDULE   A2</t>
  </si>
  <si>
    <t>Exhibit No. PA-102, SCH-A2</t>
  </si>
  <si>
    <t>SCHEDULE   B1</t>
  </si>
  <si>
    <t>Exhibit No. PA-102, SCH-B1</t>
  </si>
  <si>
    <t>WP-AC, line 5</t>
  </si>
  <si>
    <t>WP-AD, line 5</t>
  </si>
  <si>
    <t>WP-AE, line 14</t>
  </si>
  <si>
    <t>Exhibit No. PA-102, WP-AE</t>
  </si>
  <si>
    <t>WP-AF</t>
  </si>
  <si>
    <t>See WP-AG; Ln 9</t>
  </si>
  <si>
    <t>See WP-AH; Ln 7</t>
  </si>
  <si>
    <t>REVENUE REQUIREMENT</t>
  </si>
  <si>
    <t>Compensation for FACTS through the NYISO’s issuance of Transmission Congestion Contract (“TCC”) payments</t>
  </si>
  <si>
    <t>Timing differences</t>
  </si>
  <si>
    <t>SENY load (note 4)</t>
  </si>
  <si>
    <t>FACTS revenue (note 5)</t>
  </si>
  <si>
    <t>See WP-AA; Ln 27</t>
  </si>
  <si>
    <t>WP-BA</t>
  </si>
  <si>
    <t>(8)</t>
  </si>
  <si>
    <t>(9)</t>
  </si>
  <si>
    <t>(10)</t>
  </si>
  <si>
    <t>(11)</t>
  </si>
  <si>
    <t>Schedule B2, Col 4, line 14</t>
  </si>
  <si>
    <t>Schedule B2, Col 4, line 13</t>
  </si>
  <si>
    <t>Schedule B2, Col 4, line 11</t>
  </si>
  <si>
    <t>Schedule B2, Col 4, line 12</t>
  </si>
  <si>
    <t>WP-BG, Col 4</t>
  </si>
  <si>
    <t>SCHEDULE B2</t>
  </si>
  <si>
    <t>Exhibit No. PA-102, SCH- B2</t>
  </si>
  <si>
    <t>Exhibit No. PA-102, WP-BE</t>
  </si>
  <si>
    <t>WORK PAPER AA</t>
  </si>
  <si>
    <t>Exhibit No. PA-102, WP-AA</t>
  </si>
  <si>
    <t>WP-AA, Col (6)</t>
  </si>
  <si>
    <t>Exhibit No. PA-102, SCH-B3</t>
  </si>
  <si>
    <t>SCHEDULE C1</t>
  </si>
  <si>
    <t>Exhibit No. PA-102, SCH-C1</t>
  </si>
  <si>
    <t>1/  Schedule B2; Net Electric Plant in Service; Ln 17</t>
  </si>
  <si>
    <t>2/  Schedule B2; Net Electric Plant in Service; Ln 25</t>
  </si>
  <si>
    <t>SCHEDULE  D1</t>
  </si>
  <si>
    <t>Exhibit No. PA-102, SCH-D1</t>
  </si>
  <si>
    <t>4/  WP-BD; Average of Year-end Unamortized Balances, Col 5</t>
  </si>
  <si>
    <t xml:space="preserve"> from WP-DA</t>
  </si>
  <si>
    <t>from WP-DA</t>
  </si>
  <si>
    <t>Exhibit No. PA-102, SCH-E1</t>
  </si>
  <si>
    <t>WP-BE</t>
  </si>
  <si>
    <t>Exhibit No. PA-102, SCH-F1</t>
  </si>
  <si>
    <t>Exhibit PA-102, SCH-F1</t>
  </si>
  <si>
    <t>Schedule B2, line 17, col 10</t>
  </si>
  <si>
    <t>Schedule A1, line 17, col 5 and Schedule A2, line 22, Col 5</t>
  </si>
  <si>
    <t>Schedule C1 line 10, col 7</t>
  </si>
  <si>
    <t>Gross Transmission Plant that is included on Schedule B2, line 17, col 5.</t>
  </si>
  <si>
    <t>(Schedule F2, Line 10  * (Col. 12/100)* Col. 7)</t>
  </si>
  <si>
    <r>
      <t xml:space="preserve">Schedule B3 - </t>
    </r>
    <r>
      <rPr>
        <b/>
        <sz val="12"/>
        <color indexed="8"/>
        <rFont val="Calibri"/>
        <family val="2"/>
      </rPr>
      <t>Depreciation and Amortization Rates</t>
    </r>
    <r>
      <rPr>
        <b/>
        <sz val="12"/>
        <rFont val="Calibri"/>
        <family val="2"/>
      </rPr>
      <t xml:space="preserve"> </t>
    </r>
  </si>
  <si>
    <t>Schedule C1, lines 7, 8, &amp; 9 (Note B)</t>
  </si>
  <si>
    <t>Schedule F2</t>
  </si>
  <si>
    <t>Exhibit No. PA-102, SCH-F2</t>
  </si>
  <si>
    <t xml:space="preserve">Schedule C1, line 10, Col. 5 </t>
  </si>
  <si>
    <t>(Schedule D1, line 1)</t>
  </si>
  <si>
    <t>(Schedule D1, line 2)</t>
  </si>
  <si>
    <t>(Schedule C1, line 1, col. (1)</t>
  </si>
  <si>
    <t xml:space="preserve">increase in ROE would be multiplied by 137 on Schedule F1, col. 13. </t>
  </si>
  <si>
    <t>Return    (Schedule C1, line 10, Col. 7)</t>
  </si>
  <si>
    <t>Exhibit No. PA-102, SCH-F3</t>
  </si>
  <si>
    <t>Schedule F3</t>
  </si>
  <si>
    <t>Schedule F2 Using Actual Cost Data</t>
  </si>
  <si>
    <t>2) Schedule F1, Page 2 of 2, col (16).</t>
  </si>
  <si>
    <t>WORK PAPER AB</t>
  </si>
  <si>
    <t>Sch A1; Col 4, Ln 12</t>
  </si>
  <si>
    <t>Exhibit No. PA-102, WP-AD</t>
  </si>
  <si>
    <t>WORK PAPER AD</t>
  </si>
  <si>
    <t>Sch B2; Col 5, Sum Ln 5, 6 and 10</t>
  </si>
  <si>
    <t>Sch A1: Col 4, Ln 12</t>
  </si>
  <si>
    <t>WORK PAPER AC</t>
  </si>
  <si>
    <t>WORK PAPER AE</t>
  </si>
  <si>
    <t>Exhibit No. PA-102, WP-AF</t>
  </si>
  <si>
    <t>WORK PAPER AF</t>
  </si>
  <si>
    <t>Exhibit No. PA-102, WP-AG</t>
  </si>
  <si>
    <t>WORK PAPER AG</t>
  </si>
  <si>
    <t>WORK PAPER AH</t>
  </si>
  <si>
    <t>Exhibit No. PA-102, WP-AH</t>
  </si>
  <si>
    <t>WORK PAPER AI</t>
  </si>
  <si>
    <t>Exhibit No. PA-102, WP-AI</t>
  </si>
  <si>
    <t>Exhibit No. PA-102, WP-BA</t>
  </si>
  <si>
    <t>WORK PAPER BA</t>
  </si>
  <si>
    <t>WORK PAPER BB</t>
  </si>
  <si>
    <t>Exhibit No. PA-102, WP-BB</t>
  </si>
  <si>
    <t>Exhibit No. PA-102, WP-BC</t>
  </si>
  <si>
    <t>WORK PAPER BC</t>
  </si>
  <si>
    <t>Exhibit No. PA-102, WP-BD</t>
  </si>
  <si>
    <t>WORK PAPER BD</t>
  </si>
  <si>
    <t>Exhibit No. PA-102, WP-BF</t>
  </si>
  <si>
    <t>WORK PAPER BF</t>
  </si>
  <si>
    <t>Exhibit No. PA-102, WP-BG</t>
  </si>
  <si>
    <t>WORK PAPER BG</t>
  </si>
  <si>
    <t>WORK PAPER BH</t>
  </si>
  <si>
    <t>Exhibit No. PA-102, WP-BH</t>
  </si>
  <si>
    <t>Exhibit No. PA-102, WP-BI</t>
  </si>
  <si>
    <t>WORK PAPER BI</t>
  </si>
  <si>
    <t>Exhibit No. PA-102, WP-CA</t>
  </si>
  <si>
    <t>WORK PAPER CA</t>
  </si>
  <si>
    <t>Exhibit No. PA-102, WP-CB</t>
  </si>
  <si>
    <t>WORK PAPER CB</t>
  </si>
  <si>
    <t>Exhibit No. PA-102, WP-DA</t>
  </si>
  <si>
    <t>WORK PAPER DA</t>
  </si>
  <si>
    <t>Exhibit No. PA-102, WP-DB</t>
  </si>
  <si>
    <t>WORK PAPER DB</t>
  </si>
  <si>
    <t>WORK PAPER EA</t>
  </si>
  <si>
    <t>Exhibit No. PA-102, WP-EA</t>
  </si>
  <si>
    <t>Exhibit No. PA-102, WP-AR-IS</t>
  </si>
  <si>
    <t>Exhibit No. PA-102, WP-AR-BS</t>
  </si>
  <si>
    <t>WORK PAPER AR-BS</t>
  </si>
  <si>
    <t>Exhibit No. PA-102, WP-AR-Cap Assets</t>
  </si>
  <si>
    <t>WORK PAPER AR-Cap Assets</t>
  </si>
  <si>
    <t>WORK PAPER Reconciliations</t>
  </si>
  <si>
    <t>Exhibit No. PA-102, WP-Reconciliations</t>
  </si>
  <si>
    <t>WORK PAPER AR- IS</t>
  </si>
  <si>
    <r>
      <t xml:space="preserve"> </t>
    </r>
    <r>
      <rPr>
        <sz val="10"/>
        <color indexed="8"/>
        <rFont val="Arial"/>
        <family val="2"/>
      </rPr>
      <t>Rate (Annual) Percent</t>
    </r>
    <r>
      <rPr>
        <sz val="10"/>
        <rFont val="Arial"/>
        <family val="2"/>
      </rPr>
      <t xml:space="preserve"> </t>
    </r>
  </si>
  <si>
    <r>
      <rPr>
        <b/>
        <sz val="10"/>
        <color indexed="8"/>
        <rFont val="Arial"/>
        <family val="2"/>
      </rPr>
      <t>TRANSMISSION PLANT</t>
    </r>
    <r>
      <rPr>
        <b/>
        <sz val="10"/>
        <rFont val="Arial"/>
        <family val="2"/>
      </rPr>
      <t xml:space="preserve"> </t>
    </r>
  </si>
  <si>
    <r>
      <t xml:space="preserve"> </t>
    </r>
    <r>
      <rPr>
        <sz val="10"/>
        <color indexed="8"/>
        <rFont val="Arial"/>
        <family val="2"/>
      </rPr>
      <t>Land Rights</t>
    </r>
    <r>
      <rPr>
        <sz val="10"/>
        <rFont val="Arial"/>
        <family val="2"/>
      </rPr>
      <t xml:space="preserve"> </t>
    </r>
  </si>
  <si>
    <r>
      <t xml:space="preserve"> </t>
    </r>
    <r>
      <rPr>
        <sz val="10"/>
        <color indexed="8"/>
        <rFont val="Arial"/>
        <family val="2"/>
      </rPr>
      <t>Structures and Improvements</t>
    </r>
    <r>
      <rPr>
        <sz val="10"/>
        <rFont val="Arial"/>
        <family val="2"/>
      </rPr>
      <t xml:space="preserve"> </t>
    </r>
  </si>
  <si>
    <r>
      <t xml:space="preserve"> </t>
    </r>
    <r>
      <rPr>
        <sz val="10"/>
        <color indexed="8"/>
        <rFont val="Arial"/>
        <family val="2"/>
      </rPr>
      <t>Station Equipment</t>
    </r>
    <r>
      <rPr>
        <sz val="10"/>
        <rFont val="Arial"/>
        <family val="2"/>
      </rPr>
      <t xml:space="preserve"> </t>
    </r>
  </si>
  <si>
    <r>
      <t xml:space="preserve"> </t>
    </r>
    <r>
      <rPr>
        <sz val="10"/>
        <color indexed="8"/>
        <rFont val="Arial"/>
        <family val="2"/>
      </rPr>
      <t>354</t>
    </r>
    <r>
      <rPr>
        <sz val="10"/>
        <rFont val="Arial"/>
        <family val="2"/>
      </rPr>
      <t xml:space="preserve"> </t>
    </r>
  </si>
  <si>
    <r>
      <t xml:space="preserve"> </t>
    </r>
    <r>
      <rPr>
        <sz val="10"/>
        <color indexed="8"/>
        <rFont val="Arial"/>
        <family val="2"/>
      </rPr>
      <t>Towers and Fixtures</t>
    </r>
    <r>
      <rPr>
        <sz val="10"/>
        <rFont val="Arial"/>
        <family val="2"/>
      </rPr>
      <t xml:space="preserve"> </t>
    </r>
  </si>
  <si>
    <r>
      <t xml:space="preserve"> </t>
    </r>
    <r>
      <rPr>
        <sz val="10"/>
        <color indexed="8"/>
        <rFont val="Arial"/>
        <family val="2"/>
      </rPr>
      <t>355</t>
    </r>
    <r>
      <rPr>
        <sz val="10"/>
        <rFont val="Arial"/>
        <family val="2"/>
      </rPr>
      <t xml:space="preserve"> </t>
    </r>
  </si>
  <si>
    <r>
      <t xml:space="preserve"> </t>
    </r>
    <r>
      <rPr>
        <sz val="10"/>
        <color indexed="8"/>
        <rFont val="Arial"/>
        <family val="2"/>
      </rPr>
      <t>Poles and Fixtures</t>
    </r>
    <r>
      <rPr>
        <sz val="10"/>
        <rFont val="Arial"/>
        <family val="2"/>
      </rPr>
      <t xml:space="preserve"> </t>
    </r>
  </si>
  <si>
    <r>
      <t xml:space="preserve"> </t>
    </r>
    <r>
      <rPr>
        <sz val="10"/>
        <color indexed="8"/>
        <rFont val="Arial"/>
        <family val="2"/>
      </rPr>
      <t>356</t>
    </r>
    <r>
      <rPr>
        <sz val="10"/>
        <rFont val="Arial"/>
        <family val="2"/>
      </rPr>
      <t xml:space="preserve"> </t>
    </r>
  </si>
  <si>
    <r>
      <t xml:space="preserve"> </t>
    </r>
    <r>
      <rPr>
        <sz val="10"/>
        <color indexed="8"/>
        <rFont val="Arial"/>
        <family val="2"/>
      </rPr>
      <t>Overhead Conductor and Devices</t>
    </r>
    <r>
      <rPr>
        <sz val="10"/>
        <rFont val="Arial"/>
        <family val="2"/>
      </rPr>
      <t xml:space="preserve"> </t>
    </r>
  </si>
  <si>
    <r>
      <t xml:space="preserve"> </t>
    </r>
    <r>
      <rPr>
        <sz val="10"/>
        <color indexed="8"/>
        <rFont val="Arial"/>
        <family val="2"/>
      </rPr>
      <t>357</t>
    </r>
    <r>
      <rPr>
        <sz val="10"/>
        <rFont val="Arial"/>
        <family val="2"/>
      </rPr>
      <t xml:space="preserve"> </t>
    </r>
  </si>
  <si>
    <r>
      <t xml:space="preserve"> </t>
    </r>
    <r>
      <rPr>
        <sz val="10"/>
        <color indexed="8"/>
        <rFont val="Arial"/>
        <family val="2"/>
      </rPr>
      <t>Underground Conduit</t>
    </r>
    <r>
      <rPr>
        <sz val="10"/>
        <rFont val="Arial"/>
        <family val="2"/>
      </rPr>
      <t xml:space="preserve"> </t>
    </r>
  </si>
  <si>
    <r>
      <t xml:space="preserve"> </t>
    </r>
    <r>
      <rPr>
        <sz val="10"/>
        <color indexed="8"/>
        <rFont val="Arial"/>
        <family val="2"/>
      </rPr>
      <t>358</t>
    </r>
    <r>
      <rPr>
        <sz val="10"/>
        <rFont val="Arial"/>
        <family val="2"/>
      </rPr>
      <t xml:space="preserve"> </t>
    </r>
  </si>
  <si>
    <r>
      <t xml:space="preserve"> </t>
    </r>
    <r>
      <rPr>
        <sz val="10"/>
        <color indexed="8"/>
        <rFont val="Arial"/>
        <family val="2"/>
      </rPr>
      <t>Underground Conductor and Devices</t>
    </r>
    <r>
      <rPr>
        <sz val="10"/>
        <rFont val="Arial"/>
        <family val="2"/>
      </rPr>
      <t xml:space="preserve"> </t>
    </r>
  </si>
  <si>
    <r>
      <t xml:space="preserve"> </t>
    </r>
    <r>
      <rPr>
        <sz val="10"/>
        <color indexed="8"/>
        <rFont val="Arial"/>
        <family val="2"/>
      </rPr>
      <t>359</t>
    </r>
    <r>
      <rPr>
        <sz val="10"/>
        <rFont val="Arial"/>
        <family val="2"/>
      </rPr>
      <t xml:space="preserve"> </t>
    </r>
  </si>
  <si>
    <r>
      <t xml:space="preserve"> </t>
    </r>
    <r>
      <rPr>
        <sz val="10"/>
        <color indexed="8"/>
        <rFont val="Arial"/>
        <family val="2"/>
      </rPr>
      <t>Roads and Trails</t>
    </r>
    <r>
      <rPr>
        <sz val="10"/>
        <rFont val="Arial"/>
        <family val="2"/>
      </rPr>
      <t xml:space="preserve"> </t>
    </r>
  </si>
  <si>
    <r>
      <t xml:space="preserve"> </t>
    </r>
    <r>
      <rPr>
        <b/>
        <sz val="10"/>
        <color indexed="8"/>
        <rFont val="Arial"/>
        <family val="2"/>
      </rPr>
      <t>GENERAL PLANT</t>
    </r>
    <r>
      <rPr>
        <sz val="10"/>
        <rFont val="Arial"/>
        <family val="2"/>
      </rPr>
      <t xml:space="preserve"> </t>
    </r>
  </si>
  <si>
    <r>
      <t xml:space="preserve"> </t>
    </r>
    <r>
      <rPr>
        <sz val="10"/>
        <color indexed="8"/>
        <rFont val="Arial"/>
        <family val="2"/>
      </rPr>
      <t>390</t>
    </r>
    <r>
      <rPr>
        <sz val="10"/>
        <rFont val="Arial"/>
        <family val="2"/>
      </rPr>
      <t xml:space="preserve"> </t>
    </r>
  </si>
  <si>
    <r>
      <t xml:space="preserve"> </t>
    </r>
    <r>
      <rPr>
        <sz val="10"/>
        <color indexed="8"/>
        <rFont val="Arial"/>
        <family val="2"/>
      </rPr>
      <t>Structures &amp; Improvements</t>
    </r>
    <r>
      <rPr>
        <sz val="10"/>
        <rFont val="Arial"/>
        <family val="2"/>
      </rPr>
      <t xml:space="preserve"> </t>
    </r>
  </si>
  <si>
    <r>
      <t xml:space="preserve"> </t>
    </r>
    <r>
      <rPr>
        <sz val="10"/>
        <color indexed="8"/>
        <rFont val="Arial"/>
        <family val="2"/>
      </rPr>
      <t>391</t>
    </r>
    <r>
      <rPr>
        <sz val="10"/>
        <rFont val="Arial"/>
        <family val="2"/>
      </rPr>
      <t xml:space="preserve"> </t>
    </r>
  </si>
  <si>
    <r>
      <t xml:space="preserve"> </t>
    </r>
    <r>
      <rPr>
        <sz val="10"/>
        <color indexed="8"/>
        <rFont val="Arial"/>
        <family val="2"/>
      </rPr>
      <t>Office Furniture &amp; Equipment</t>
    </r>
    <r>
      <rPr>
        <sz val="10"/>
        <rFont val="Arial"/>
        <family val="2"/>
      </rPr>
      <t xml:space="preserve"> </t>
    </r>
  </si>
  <si>
    <r>
      <t xml:space="preserve"> </t>
    </r>
    <r>
      <rPr>
        <sz val="10"/>
        <color indexed="8"/>
        <rFont val="Arial"/>
        <family val="2"/>
      </rPr>
      <t>392</t>
    </r>
    <r>
      <rPr>
        <sz val="10"/>
        <rFont val="Arial"/>
        <family val="2"/>
      </rPr>
      <t xml:space="preserve"> </t>
    </r>
  </si>
  <si>
    <r>
      <t xml:space="preserve"> </t>
    </r>
    <r>
      <rPr>
        <sz val="10"/>
        <color indexed="8"/>
        <rFont val="Arial"/>
        <family val="2"/>
      </rPr>
      <t>Transportation Equipment</t>
    </r>
    <r>
      <rPr>
        <sz val="10"/>
        <rFont val="Arial"/>
        <family val="2"/>
      </rPr>
      <t xml:space="preserve"> </t>
    </r>
  </si>
  <si>
    <r>
      <t xml:space="preserve"> </t>
    </r>
    <r>
      <rPr>
        <sz val="10"/>
        <color indexed="8"/>
        <rFont val="Arial"/>
        <family val="2"/>
      </rPr>
      <t>393</t>
    </r>
    <r>
      <rPr>
        <sz val="10"/>
        <rFont val="Arial"/>
        <family val="2"/>
      </rPr>
      <t xml:space="preserve"> </t>
    </r>
  </si>
  <si>
    <r>
      <t xml:space="preserve"> </t>
    </r>
    <r>
      <rPr>
        <sz val="10"/>
        <color indexed="8"/>
        <rFont val="Arial"/>
        <family val="2"/>
      </rPr>
      <t>Stores Equipment</t>
    </r>
    <r>
      <rPr>
        <sz val="10"/>
        <rFont val="Arial"/>
        <family val="2"/>
      </rPr>
      <t xml:space="preserve"> </t>
    </r>
  </si>
  <si>
    <r>
      <t xml:space="preserve"> </t>
    </r>
    <r>
      <rPr>
        <sz val="10"/>
        <color indexed="8"/>
        <rFont val="Arial"/>
        <family val="2"/>
      </rPr>
      <t>394</t>
    </r>
    <r>
      <rPr>
        <sz val="10"/>
        <rFont val="Arial"/>
        <family val="2"/>
      </rPr>
      <t xml:space="preserve"> </t>
    </r>
  </si>
  <si>
    <r>
      <t xml:space="preserve"> </t>
    </r>
    <r>
      <rPr>
        <sz val="10"/>
        <color indexed="8"/>
        <rFont val="Arial"/>
        <family val="2"/>
      </rPr>
      <t>Tools, Shop &amp; Garage Equipment</t>
    </r>
    <r>
      <rPr>
        <sz val="10"/>
        <rFont val="Arial"/>
        <family val="2"/>
      </rPr>
      <t xml:space="preserve"> </t>
    </r>
  </si>
  <si>
    <r>
      <t xml:space="preserve"> </t>
    </r>
    <r>
      <rPr>
        <sz val="10"/>
        <color indexed="8"/>
        <rFont val="Arial"/>
        <family val="2"/>
      </rPr>
      <t>395</t>
    </r>
    <r>
      <rPr>
        <sz val="10"/>
        <rFont val="Arial"/>
        <family val="2"/>
      </rPr>
      <t xml:space="preserve"> </t>
    </r>
  </si>
  <si>
    <r>
      <t xml:space="preserve"> </t>
    </r>
    <r>
      <rPr>
        <sz val="10"/>
        <color indexed="8"/>
        <rFont val="Arial"/>
        <family val="2"/>
      </rPr>
      <t>Laboratory Equipment</t>
    </r>
    <r>
      <rPr>
        <sz val="10"/>
        <rFont val="Arial"/>
        <family val="2"/>
      </rPr>
      <t xml:space="preserve"> </t>
    </r>
  </si>
  <si>
    <r>
      <t xml:space="preserve"> </t>
    </r>
    <r>
      <rPr>
        <sz val="10"/>
        <color indexed="8"/>
        <rFont val="Arial"/>
        <family val="2"/>
      </rPr>
      <t>396</t>
    </r>
    <r>
      <rPr>
        <sz val="10"/>
        <rFont val="Arial"/>
        <family val="2"/>
      </rPr>
      <t xml:space="preserve"> </t>
    </r>
  </si>
  <si>
    <r>
      <t xml:space="preserve"> </t>
    </r>
    <r>
      <rPr>
        <sz val="10"/>
        <color indexed="8"/>
        <rFont val="Arial"/>
        <family val="2"/>
      </rPr>
      <t>Power Operated Equipment</t>
    </r>
    <r>
      <rPr>
        <sz val="10"/>
        <rFont val="Arial"/>
        <family val="2"/>
      </rPr>
      <t xml:space="preserve"> </t>
    </r>
  </si>
  <si>
    <r>
      <t xml:space="preserve"> </t>
    </r>
    <r>
      <rPr>
        <sz val="10"/>
        <color indexed="8"/>
        <rFont val="Arial"/>
        <family val="2"/>
      </rPr>
      <t>397</t>
    </r>
    <r>
      <rPr>
        <sz val="10"/>
        <rFont val="Arial"/>
        <family val="2"/>
      </rPr>
      <t xml:space="preserve"> </t>
    </r>
  </si>
  <si>
    <r>
      <t xml:space="preserve"> </t>
    </r>
    <r>
      <rPr>
        <sz val="10"/>
        <color indexed="8"/>
        <rFont val="Arial"/>
        <family val="2"/>
      </rPr>
      <t>Communication Equipment</t>
    </r>
    <r>
      <rPr>
        <sz val="10"/>
        <rFont val="Arial"/>
        <family val="2"/>
      </rPr>
      <t xml:space="preserve"> </t>
    </r>
  </si>
  <si>
    <r>
      <t xml:space="preserve"> </t>
    </r>
    <r>
      <rPr>
        <sz val="10"/>
        <color indexed="8"/>
        <rFont val="Arial"/>
        <family val="2"/>
      </rPr>
      <t>398</t>
    </r>
    <r>
      <rPr>
        <sz val="10"/>
        <rFont val="Arial"/>
        <family val="2"/>
      </rPr>
      <t xml:space="preserve"> </t>
    </r>
  </si>
  <si>
    <r>
      <t xml:space="preserve"> </t>
    </r>
    <r>
      <rPr>
        <sz val="10"/>
        <color indexed="8"/>
        <rFont val="Arial"/>
        <family val="2"/>
      </rPr>
      <t>Miscellaneous Equipment</t>
    </r>
    <r>
      <rPr>
        <sz val="10"/>
        <rFont val="Arial"/>
        <family val="2"/>
      </rPr>
      <t xml:space="preserve"> </t>
    </r>
  </si>
  <si>
    <r>
      <t xml:space="preserve"> </t>
    </r>
    <r>
      <rPr>
        <b/>
        <sz val="10"/>
        <color indexed="8"/>
        <rFont val="Arial"/>
        <family val="2"/>
      </rPr>
      <t>INTANGIBLE PLANT</t>
    </r>
    <r>
      <rPr>
        <sz val="10"/>
        <rFont val="Arial"/>
        <family val="2"/>
      </rPr>
      <t xml:space="preserve"> </t>
    </r>
  </si>
  <si>
    <r>
      <t xml:space="preserve"> </t>
    </r>
    <r>
      <rPr>
        <sz val="10"/>
        <color indexed="8"/>
        <rFont val="Arial"/>
        <family val="2"/>
      </rPr>
      <t>303</t>
    </r>
    <r>
      <rPr>
        <sz val="10"/>
        <rFont val="Arial"/>
        <family val="2"/>
      </rPr>
      <t xml:space="preserve"> </t>
    </r>
  </si>
  <si>
    <r>
      <t xml:space="preserve"> </t>
    </r>
    <r>
      <rPr>
        <sz val="10"/>
        <color indexed="8"/>
        <rFont val="Arial"/>
        <family val="2"/>
      </rPr>
      <t>Miscellaneous Intangible Plant</t>
    </r>
    <r>
      <rPr>
        <sz val="10"/>
        <rFont val="Arial"/>
        <family val="2"/>
      </rPr>
      <t xml:space="preserve"> </t>
    </r>
  </si>
  <si>
    <r>
      <rPr>
        <sz val="10"/>
        <color indexed="8"/>
        <rFont val="Arial"/>
        <family val="2"/>
      </rPr>
      <t xml:space="preserve"> Transmission facility Contributions in Aid of Construction</t>
    </r>
    <r>
      <rPr>
        <sz val="10"/>
        <rFont val="Arial"/>
        <family val="2"/>
      </rPr>
      <t xml:space="preserve"> </t>
    </r>
  </si>
  <si>
    <r>
      <t xml:space="preserve"> </t>
    </r>
    <r>
      <rPr>
        <sz val="10"/>
        <color indexed="8"/>
        <rFont val="Arial"/>
        <family val="2"/>
      </rPr>
      <t>Note 1</t>
    </r>
    <r>
      <rPr>
        <sz val="10"/>
        <rFont val="Arial"/>
        <family val="2"/>
      </rPr>
      <t xml:space="preserve"> </t>
    </r>
  </si>
  <si>
    <r>
      <t xml:space="preserve"> </t>
    </r>
    <r>
      <rPr>
        <sz val="10"/>
        <color indexed="8"/>
        <rFont val="Arial"/>
        <family val="2"/>
      </rPr>
      <t xml:space="preserve">Note 1: In the event a Contribution in Aid of Construction (CIAC) is made for a transmission facility, the transmission </t>
    </r>
    <r>
      <rPr>
        <sz val="10"/>
        <rFont val="Arial"/>
        <family val="2"/>
      </rPr>
      <t xml:space="preserve"> </t>
    </r>
  </si>
  <si>
    <r>
      <t xml:space="preserve"> </t>
    </r>
    <r>
      <rPr>
        <sz val="10"/>
        <color indexed="8"/>
        <rFont val="Arial"/>
        <family val="2"/>
      </rPr>
      <t>depreciation rates above will be weighted based on the relative amount of underlying plant booked to the accounts</t>
    </r>
    <r>
      <rPr>
        <sz val="10"/>
        <rFont val="Arial"/>
        <family val="2"/>
      </rPr>
      <t xml:space="preserve"> </t>
    </r>
  </si>
  <si>
    <r>
      <t xml:space="preserve"> </t>
    </r>
    <r>
      <rPr>
        <sz val="10"/>
        <color indexed="8"/>
        <rFont val="Arial"/>
        <family val="2"/>
      </rPr>
      <t>shown in lines 1-9 above and the weighted average depreciation rate will be used to amortize the CIAC.</t>
    </r>
    <r>
      <rPr>
        <sz val="10"/>
        <rFont val="Arial"/>
        <family val="2"/>
      </rPr>
      <t xml:space="preserve"> The life of a</t>
    </r>
  </si>
  <si>
    <r>
      <t xml:space="preserve"> </t>
    </r>
    <r>
      <rPr>
        <sz val="10"/>
        <color indexed="8"/>
        <rFont val="Arial"/>
        <family val="2"/>
      </rPr>
      <t>These depreciation rates will not change absent the appropriate filing at FERC.</t>
    </r>
    <r>
      <rPr>
        <sz val="10"/>
        <rFont val="Arial"/>
        <family val="2"/>
      </rPr>
      <t xml:space="preserve"> </t>
    </r>
  </si>
  <si>
    <t>Schedule A1</t>
  </si>
  <si>
    <t>Schedule A2</t>
  </si>
  <si>
    <t>Schedule B1</t>
  </si>
  <si>
    <t>Schedule C1</t>
  </si>
  <si>
    <t>Schedule D1</t>
  </si>
  <si>
    <t>Schedule E1</t>
  </si>
  <si>
    <t>Schedule B2</t>
  </si>
  <si>
    <t>Schedule B3</t>
  </si>
  <si>
    <t>Work Paper-BC</t>
  </si>
  <si>
    <t>Work Paper-BB</t>
  </si>
  <si>
    <t>Work Paper-AR-IS</t>
  </si>
  <si>
    <t>Work Paper-AA</t>
  </si>
  <si>
    <t>Work Paper-AB</t>
  </si>
  <si>
    <t>Work Paper-EA</t>
  </si>
  <si>
    <t>Work Paper-DA</t>
  </si>
  <si>
    <t>Work Paper-BA</t>
  </si>
  <si>
    <t>Work Paper-BH</t>
  </si>
  <si>
    <t>Work Paper-BF</t>
  </si>
  <si>
    <t>Work Paper-BG</t>
  </si>
  <si>
    <t>Work Paper-BE</t>
  </si>
  <si>
    <t>Work Paper-CA</t>
  </si>
  <si>
    <t>Work Paper-BD</t>
  </si>
  <si>
    <t>Work Paper-CB</t>
  </si>
  <si>
    <t>Work Paper-AC</t>
  </si>
  <si>
    <t>Work Paper-AF</t>
  </si>
  <si>
    <t>Work Paper-AD</t>
  </si>
  <si>
    <t>Work Paper-AI</t>
  </si>
  <si>
    <t>Work Paper-AG</t>
  </si>
  <si>
    <t>Work Paper-AH</t>
  </si>
  <si>
    <t>Work Paper-BI</t>
  </si>
  <si>
    <t>Work Paper-AE</t>
  </si>
  <si>
    <t xml:space="preserve">Work Paper-Reconciliations </t>
  </si>
  <si>
    <t>1/  See Schedule-E1, Column (3), Line 2</t>
  </si>
  <si>
    <t>3/  1/8 of (Schedule A1; Col 5, Ln 17 + Schedule A2; Col 5, Ln 22)  [45 days]</t>
  </si>
  <si>
    <t>Schedule B2, line 17, col 9 (Note A)</t>
  </si>
  <si>
    <t>Schedule B1 line 26, col 5</t>
  </si>
  <si>
    <t>From WP-EA</t>
  </si>
  <si>
    <t>Total NYPA PBOP</t>
  </si>
  <si>
    <t>Adjusted Grand Total (Excludes 500MW C - C at Astoria)</t>
  </si>
  <si>
    <t>($ Millions)</t>
  </si>
  <si>
    <t>Total capital assets being depreciated</t>
  </si>
  <si>
    <t>Total accumulated depreciation</t>
  </si>
  <si>
    <t>Net value of capital assets being depreciated</t>
  </si>
  <si>
    <t>Net value of all capital assets</t>
  </si>
  <si>
    <t>ASSET IMPAIRMENT</t>
  </si>
  <si>
    <t>Work Paper-AR-BS</t>
  </si>
  <si>
    <t>Work Paper-AR-Cap Assets</t>
  </si>
  <si>
    <t>11a</t>
  </si>
  <si>
    <t>11b</t>
  </si>
  <si>
    <t>11c</t>
  </si>
  <si>
    <t xml:space="preserve">Sum lines 11 </t>
  </si>
  <si>
    <t>STATEMENT OF REVENUES , EXPENSES, AND CHANGES IN NET POSITION</t>
  </si>
  <si>
    <t>STATEMENT OF NET POSITION</t>
  </si>
  <si>
    <t>CAPITAL ASSETS</t>
  </si>
  <si>
    <t>FERC acct 916 - Misc Sales Expense</t>
  </si>
  <si>
    <t>Workpaper WP-DB</t>
  </si>
  <si>
    <t>Work Paper-DB</t>
  </si>
  <si>
    <t>- Allocated based on</t>
  </si>
  <si>
    <t xml:space="preserve">  allocator (Schedule E1)</t>
  </si>
  <si>
    <t xml:space="preserve">  transmission labor </t>
  </si>
  <si>
    <t>Transm. Col (3)*(4)</t>
  </si>
  <si>
    <t>1/   Cost of Removal: Bringing back to accumulated depreciation cost of removal which was reclassified to regulatory liabilities in annual report</t>
  </si>
  <si>
    <t xml:space="preserve">3/   Marcy South Capitalized Lease amount is added separately to the Rate Base </t>
  </si>
  <si>
    <t>4/   Excluded General: Assets not recoverable under ATRR, FERC Accounts 389-399 for 500 MW, AEII, Poletti, SCPPs, Small Hydro, and Flynn.</t>
  </si>
  <si>
    <t>Excluded General   4/</t>
  </si>
  <si>
    <t>Marcy South Capitalized Lease 3/</t>
  </si>
  <si>
    <t xml:space="preserve"> facility subject to a CIAC will be the estimated life of the facility or rights associated with the facility and will not change </t>
  </si>
  <si>
    <t>[Schedule E1]</t>
  </si>
  <si>
    <t>GENERAL PLANT</t>
  </si>
  <si>
    <t>[Schedule D1]</t>
  </si>
  <si>
    <t>* Cash Working Capital (1/8 O&amp;M)</t>
  </si>
  <si>
    <t>* Marcy South Capitalized Lease</t>
  </si>
  <si>
    <t>* Materials &amp; Supplies</t>
  </si>
  <si>
    <t>* Prepayments</t>
  </si>
  <si>
    <t>* CWIP</t>
  </si>
  <si>
    <t>* Regulatory Asset</t>
  </si>
  <si>
    <t>* Abandoned Plant</t>
  </si>
  <si>
    <t xml:space="preserve"> (5) * (6)</t>
  </si>
  <si>
    <t>6/ CWIP, Regulatory Asset and Abandoned Plant are zero until an amount is authorized by FERC.</t>
  </si>
  <si>
    <t>LONG-TERM DEBT</t>
  </si>
  <si>
    <t>SOURCE/</t>
  </si>
  <si>
    <t>COMMENTS</t>
  </si>
  <si>
    <t>LABOR RATIO</t>
  </si>
  <si>
    <t>SCHEDULE E1</t>
  </si>
  <si>
    <t>For example, if FERC were to grant a 137 basis point ROE incentive, the increase in return and taxes for a 100 basis point</t>
  </si>
  <si>
    <t xml:space="preserve">1)  For all projects and NTAC ATRR, the Actual Revenues Received are the actual revenues NYPA receives from the NYISO in that calendar year.  If NYISO does not break out the revenues per project, </t>
  </si>
  <si>
    <t>the Actual Revenues Received will be allocated pro rata to each project based on their Actual Net Revenue Requirement in col (e).</t>
  </si>
  <si>
    <t>Col 1, Ln 4 x Col 2, Ln 3</t>
  </si>
  <si>
    <t>From WP-BF, Col 1</t>
  </si>
  <si>
    <t>From WP-BE, Col 1</t>
  </si>
  <si>
    <t>Subtract Col 1, Ln 4 * Col 2, Ln 3</t>
  </si>
  <si>
    <t xml:space="preserve">     Subtotal (Gross Transmission Plant Ratio)</t>
  </si>
  <si>
    <t>Allocated based on transmission gross plant ratio from Work Paper AI</t>
  </si>
  <si>
    <t>Allocated based on transmission labor ratio from Schedule E1</t>
  </si>
  <si>
    <t>WORK PAPER BE</t>
  </si>
  <si>
    <t>FACTS PROJECT PLANT IN SERVICE, ACCUMULATED DEPRECIATION AND DEPRECIATION EXPENSE</t>
  </si>
  <si>
    <t>500MW C - C at Astoria:</t>
  </si>
  <si>
    <t>ST. LAWRENCE</t>
  </si>
  <si>
    <t>Beginning/End of Year Average</t>
  </si>
  <si>
    <t>Center(s)</t>
  </si>
  <si>
    <t>Less accumulated depreciation for:</t>
  </si>
  <si>
    <t>Less A/C 928 - Regulatory Commission Expense</t>
  </si>
  <si>
    <t>A&amp;G in FERC Acct   549 -    OP-Misc Oth Pwr Gen</t>
  </si>
  <si>
    <t xml:space="preserve">differences due to rounding   </t>
  </si>
  <si>
    <t>Cap</t>
  </si>
  <si>
    <t>Reserve for Excess and Obsolete Inventory</t>
  </si>
  <si>
    <t>Reserve for Degraded Materials</t>
  </si>
  <si>
    <t>Facility Subtotal</t>
  </si>
  <si>
    <t>Reserves Subtotal</t>
  </si>
  <si>
    <t>5/  Average of year-end inventory Materials &amp; Supplies (WP-CA).</t>
  </si>
  <si>
    <t>Schedule F1, page 2, line 1a, col. 16</t>
  </si>
  <si>
    <t>Schedule F1, page 2, line 1c, col. 16</t>
  </si>
  <si>
    <t>Schedule F1, page 2, line 1b, col. 16</t>
  </si>
  <si>
    <t>Schedule F1, page 2, line 2, col. 13</t>
  </si>
  <si>
    <t>Schedule F3, page 1, line 3, col. 10</t>
  </si>
  <si>
    <t>WP-BC</t>
  </si>
  <si>
    <t>WP-BF</t>
  </si>
  <si>
    <t>WP-BG</t>
  </si>
  <si>
    <t>WP-BB</t>
  </si>
  <si>
    <t>Reclassifications (post Annual Report)</t>
  </si>
  <si>
    <t>FERC acct 905 (less contribution to New York State)</t>
  </si>
  <si>
    <t>Electric Plant in</t>
  </si>
  <si>
    <t>Adjustments to Rate Base: Relicensing, Windfarm, Step-up transformers, FACTS &amp; Asset Impairment</t>
  </si>
  <si>
    <r>
      <t>FERC approved ATRR</t>
    </r>
    <r>
      <rPr>
        <sz val="11"/>
        <color indexed="8"/>
        <rFont val="Arial"/>
        <family val="2"/>
      </rPr>
      <t xml:space="preserve"> </t>
    </r>
    <r>
      <rPr>
        <sz val="10"/>
        <color indexed="8"/>
        <rFont val="Arial"/>
        <family val="2"/>
      </rPr>
      <t>(line 63 - line 67)</t>
    </r>
  </si>
  <si>
    <t>Total (sum lines 64-66)</t>
  </si>
  <si>
    <t>Amount that NYPA will credit to its ATRR assessed to the SENY customer load.  These revenues are included in the Annual Report within Production Revenues.</t>
  </si>
  <si>
    <t>ELECTRIC PLANT IN SERVICE &amp; DEPRECIATION</t>
  </si>
  <si>
    <t>(Note C)</t>
  </si>
  <si>
    <t>(Note D)</t>
  </si>
  <si>
    <t>Exhibit No. PA-102, WP-AB</t>
  </si>
  <si>
    <t>5/:  Equals base ROE plus 50 basis-point incentive for RTO participation.</t>
  </si>
  <si>
    <t xml:space="preserve">      ROE may only be changed pursuant to a FPA section 205 or section 206 filing.</t>
  </si>
  <si>
    <t>Applied</t>
  </si>
  <si>
    <t>Equity</t>
  </si>
  <si>
    <t>OTHER POSTEMPLOYMENT BENEFIT PLANS</t>
  </si>
  <si>
    <t>Annual OPEB Cost</t>
  </si>
  <si>
    <t>Exhibit No. PA-102, SCH - Summary</t>
  </si>
  <si>
    <t>Project 1 - Marcy South Series Compensation</t>
  </si>
  <si>
    <r>
      <t xml:space="preserve">FERC </t>
    </r>
    <r>
      <rPr>
        <sz val="10"/>
        <color indexed="8"/>
        <rFont val="Arial"/>
        <family val="2"/>
      </rPr>
      <t xml:space="preserve">Account </t>
    </r>
    <r>
      <rPr>
        <sz val="10"/>
        <rFont val="Arial"/>
        <family val="2"/>
      </rPr>
      <t xml:space="preserve"> </t>
    </r>
  </si>
  <si>
    <r>
      <t xml:space="preserve"> </t>
    </r>
    <r>
      <rPr>
        <sz val="10"/>
        <color indexed="8"/>
        <rFont val="Arial"/>
        <family val="2"/>
      </rPr>
      <t>FERC Account</t>
    </r>
    <r>
      <rPr>
        <sz val="10"/>
        <rFont val="Arial"/>
        <family val="2"/>
      </rPr>
      <t xml:space="preserve">  Description</t>
    </r>
  </si>
  <si>
    <t>a 100 basis point increase in ROE.  Any actual incentive is calculated on Schedule F1 and must be approved by FERC.</t>
  </si>
  <si>
    <t>Revenues that are credited in the NTAC are not revenue credited here.</t>
  </si>
  <si>
    <t>Project Gross Plant is the total capital investment for the project calculated in the same method as the gross plant value in page 1, line 1 .  This value includes subsequent capital investments required to maintain the facilities to their original capabilities.  
Gross plant does not include CWIP, Unamortized Regulatory Asset or Unamortized Abandoned Plant.</t>
  </si>
  <si>
    <t>Project Depreciation Expense is the amount in Schedule B1, line 26, col. 2 that is associated with the specified project.  Project Depreciation Expense includes the amortization of Abandoned Plant and any FERC approved Regulatory Asset.  
However, if FERC grants accelerated depreciation for a project the depreciation rate authorized by FERC will be used instead of the rates shown on Schedule B3 for all other projects.</t>
  </si>
  <si>
    <t>Page 1 line 6</t>
  </si>
  <si>
    <t>(line 7 divided by line 2 col 2)</t>
  </si>
  <si>
    <t>([line 3 + line 5] divided by line 1, col 2)</t>
  </si>
  <si>
    <t>YEAR ENDING DECEMBER 31, 2015</t>
  </si>
  <si>
    <t>2015</t>
  </si>
  <si>
    <t>2014-2015 EXCLUDED PLANT IN SERVICE</t>
  </si>
  <si>
    <t>Included General &amp; Transmission Plant - Depreciation 2015</t>
  </si>
  <si>
    <t>2015 Amount ($)</t>
  </si>
  <si>
    <t>2014 - 2015 Average</t>
  </si>
  <si>
    <t>DECEMBER 2015</t>
  </si>
  <si>
    <t>Exhibit No. PA-102, WP-AC</t>
  </si>
  <si>
    <t xml:space="preserve">    (3)</t>
  </si>
  <si>
    <t xml:space="preserve">    (1)</t>
  </si>
  <si>
    <t>2013-14</t>
  </si>
  <si>
    <t>4/: Actual common equity share, not to exceed 60%.The applied debt share will be calculated as 1 minus the applied equity share.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</si>
</sst>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00%"/>
    <numFmt numFmtId="167" formatCode="&quot;$&quot;#,##0"/>
    <numFmt numFmtId="168" formatCode="_(* #,##0_);_(* \(#,##0\);_(* &quot;-&quot;??_);_(@_)"/>
    <numFmt numFmtId="169" formatCode="#,##0;\(#,##0\)"/>
    <numFmt numFmtId="170" formatCode="_(&quot;$&quot;* #,##0_);_(&quot;$&quot;* \(#,##0\);_(&quot;$&quot;* &quot;-&quot;??_);_(@_)"/>
    <numFmt numFmtId="171" formatCode="0.0%"/>
    <numFmt numFmtId="172" formatCode="0.0000%"/>
    <numFmt numFmtId="173" formatCode="0.00000%"/>
    <numFmt numFmtId="174" formatCode="0.00_)"/>
    <numFmt numFmtId="175" formatCode="0_);\(0\)"/>
    <numFmt numFmtId="176" formatCode="\$\ #,##0.00"/>
    <numFmt numFmtId="177" formatCode="&quot;$&quot;#,##0.00"/>
    <numFmt numFmtId="178" formatCode="#,##0.00000"/>
    <numFmt numFmtId="179" formatCode="_(* #,##0.0000_);_(* \(#,##0.0000\);_(* &quot;-&quot;??_);_(@_)"/>
    <numFmt numFmtId="180" formatCode="0.0000"/>
    <numFmt numFmtId="181" formatCode="_(* #,##0.000_);_(* \(#,##0.000\);_(* &quot;-&quot;??_);_(@_)"/>
    <numFmt numFmtId="182" formatCode="_(* #,##0.0_);_(* \(#,##0.0\);_(* &quot;-&quot;??_);_(@_)"/>
    <numFmt numFmtId="183" formatCode="0.00000"/>
    <numFmt numFmtId="184" formatCode="#,##0\ \ \ ;[Red]\(#,##0\)\ \ ;\—\ \ \ \ "/>
    <numFmt numFmtId="185" formatCode="#,##0\ \ \ \ ;[Red]\(#,##0\)\ \ \ ;\—\ \ \ \ "/>
    <numFmt numFmtId="186" formatCode="#,##0\ \ ;[Red]\(#,##0\)\ ;\—\ \ "/>
    <numFmt numFmtId="187" formatCode="#,##0\ ;\(#,##0\);\-\ \ \ \ \ "/>
    <numFmt numFmtId="188" formatCode="#,##0\ ;\(#,##0\);\–\ \ \ \ \ "/>
    <numFmt numFmtId="189" formatCode="0.000_)"/>
    <numFmt numFmtId="190" formatCode="#,##0.0;\(#,##0.00\)"/>
    <numFmt numFmtId="191" formatCode="#,##0.00;\(#,##0.00\)"/>
    <numFmt numFmtId="192" formatCode="#,##0.0;\(#,##0.0\)"/>
  </numFmts>
  <fonts count="178">
    <font>
      <sz val="10"/>
      <name val="Courier"/>
      <family val="0"/>
    </font>
    <font>
      <sz val="11"/>
      <color indexed="8"/>
      <name val="Calibri"/>
      <family val="2"/>
    </font>
    <font>
      <sz val="10"/>
      <color indexed="8"/>
      <name val="Arial"/>
      <family val="2"/>
    </font>
    <font>
      <sz val="14"/>
      <color indexed="8"/>
      <name val="Arial"/>
      <family val="2"/>
    </font>
    <font>
      <b/>
      <sz val="14"/>
      <color indexed="8"/>
      <name val="Arial"/>
      <family val="2"/>
    </font>
    <font>
      <sz val="18"/>
      <color indexed="8"/>
      <name val="Arial"/>
      <family val="2"/>
    </font>
    <font>
      <sz val="12"/>
      <color indexed="8"/>
      <name val="Arial"/>
      <family val="2"/>
    </font>
    <font>
      <b/>
      <sz val="12"/>
      <color indexed="8"/>
      <name val="Arial"/>
      <family val="2"/>
    </font>
    <font>
      <b/>
      <sz val="10"/>
      <color indexed="8"/>
      <name val="Arial"/>
      <family val="2"/>
    </font>
    <font>
      <sz val="12"/>
      <name val="Courier"/>
      <family val="3"/>
    </font>
    <font>
      <sz val="14"/>
      <name val="Courier"/>
      <family val="3"/>
    </font>
    <font>
      <sz val="8"/>
      <name val="Arial"/>
      <family val="2"/>
    </font>
    <font>
      <sz val="12"/>
      <name val="Arial"/>
      <family val="2"/>
    </font>
    <font>
      <b/>
      <sz val="12"/>
      <name val="Arial"/>
      <family val="2"/>
    </font>
    <font>
      <b/>
      <sz val="10"/>
      <name val="Arial"/>
      <family val="2"/>
    </font>
    <font>
      <b/>
      <sz val="11"/>
      <color indexed="8"/>
      <name val="Calibri"/>
      <family val="2"/>
    </font>
    <font>
      <sz val="11"/>
      <name val="Calibri"/>
      <family val="2"/>
    </font>
    <font>
      <sz val="10"/>
      <name val="Arial"/>
      <family val="2"/>
    </font>
    <font>
      <sz val="10"/>
      <color indexed="39"/>
      <name val="Arial"/>
      <family val="2"/>
    </font>
    <font>
      <b/>
      <sz val="16"/>
      <color indexed="23"/>
      <name val="Arial"/>
      <family val="2"/>
    </font>
    <font>
      <sz val="10"/>
      <color indexed="10"/>
      <name val="Arial"/>
      <family val="2"/>
    </font>
    <font>
      <b/>
      <sz val="14"/>
      <color indexed="10"/>
      <name val="Arial"/>
      <family val="2"/>
    </font>
    <font>
      <b/>
      <u val="single"/>
      <sz val="10"/>
      <name val="Courier"/>
      <family val="3"/>
    </font>
    <font>
      <b/>
      <u val="single"/>
      <sz val="14"/>
      <color indexed="8"/>
      <name val="Arial"/>
      <family val="2"/>
    </font>
    <font>
      <sz val="14"/>
      <color indexed="10"/>
      <name val="Arial"/>
      <family val="2"/>
    </font>
    <font>
      <b/>
      <sz val="14"/>
      <name val="Arial"/>
      <family val="2"/>
    </font>
    <font>
      <sz val="14"/>
      <name val="Arial"/>
      <family val="2"/>
    </font>
    <font>
      <sz val="11"/>
      <color indexed="56"/>
      <name val="Calibri"/>
      <family val="2"/>
    </font>
    <font>
      <b/>
      <sz val="12"/>
      <name val="Calibri"/>
      <family val="2"/>
    </font>
    <font>
      <sz val="10"/>
      <name val="Calibri"/>
      <family val="2"/>
    </font>
    <font>
      <sz val="12"/>
      <name val="Calibri"/>
      <family val="2"/>
    </font>
    <font>
      <b/>
      <u val="single"/>
      <sz val="12"/>
      <name val="Courier"/>
      <family val="3"/>
    </font>
    <font>
      <b/>
      <sz val="10"/>
      <name val="Calibri"/>
      <family val="2"/>
    </font>
    <font>
      <sz val="10"/>
      <color indexed="10"/>
      <name val="Calibri"/>
      <family val="2"/>
    </font>
    <font>
      <sz val="12"/>
      <color indexed="8"/>
      <name val="Calibri"/>
      <family val="2"/>
    </font>
    <font>
      <sz val="9"/>
      <name val="Calibri"/>
      <family val="2"/>
    </font>
    <font>
      <i/>
      <sz val="10"/>
      <name val="Calibri"/>
      <family val="2"/>
    </font>
    <font>
      <sz val="14"/>
      <color indexed="8"/>
      <name val="Calibri"/>
      <family val="2"/>
    </font>
    <font>
      <sz val="14"/>
      <color indexed="10"/>
      <name val="Calibri"/>
      <family val="2"/>
    </font>
    <font>
      <u val="single"/>
      <sz val="14"/>
      <color indexed="8"/>
      <name val="Calibri"/>
      <family val="2"/>
    </font>
    <font>
      <b/>
      <sz val="9"/>
      <color indexed="8"/>
      <name val="Arial"/>
      <family val="2"/>
    </font>
    <font>
      <sz val="9"/>
      <name val="Courier"/>
      <family val="3"/>
    </font>
    <font>
      <b/>
      <u val="single"/>
      <sz val="9"/>
      <name val="Courier"/>
      <family val="3"/>
    </font>
    <font>
      <b/>
      <u val="single"/>
      <sz val="12"/>
      <name val="Calibri"/>
      <family val="2"/>
    </font>
    <font>
      <b/>
      <sz val="14"/>
      <color indexed="8"/>
      <name val="Calibri"/>
      <family val="2"/>
    </font>
    <font>
      <b/>
      <sz val="12"/>
      <color indexed="8"/>
      <name val="Calibri"/>
      <family val="2"/>
    </font>
    <font>
      <b/>
      <sz val="12"/>
      <color indexed="10"/>
      <name val="Calibri"/>
      <family val="2"/>
    </font>
    <font>
      <sz val="12"/>
      <color indexed="10"/>
      <name val="Calibri"/>
      <family val="2"/>
    </font>
    <font>
      <b/>
      <sz val="14"/>
      <name val="Calibri"/>
      <family val="2"/>
    </font>
    <font>
      <b/>
      <i/>
      <sz val="12"/>
      <name val="Calibri"/>
      <family val="2"/>
    </font>
    <font>
      <b/>
      <sz val="9"/>
      <name val="Calibri"/>
      <family val="2"/>
    </font>
    <font>
      <u val="single"/>
      <sz val="10"/>
      <color indexed="12"/>
      <name val="Courier"/>
      <family val="3"/>
    </font>
    <font>
      <b/>
      <sz val="10"/>
      <color indexed="39"/>
      <name val="Arial"/>
      <family val="2"/>
    </font>
    <font>
      <b/>
      <sz val="11"/>
      <color indexed="8"/>
      <name val="Arial"/>
      <family val="2"/>
    </font>
    <font>
      <b/>
      <sz val="10"/>
      <color indexed="10"/>
      <name val="Calibri"/>
      <family val="2"/>
    </font>
    <font>
      <u val="single"/>
      <sz val="9"/>
      <name val="Courier"/>
      <family val="3"/>
    </font>
    <font>
      <sz val="9"/>
      <color indexed="8"/>
      <name val="Arial"/>
      <family val="2"/>
    </font>
    <font>
      <sz val="9"/>
      <color indexed="8"/>
      <name val="Calibri"/>
      <family val="2"/>
    </font>
    <font>
      <b/>
      <sz val="9"/>
      <color indexed="10"/>
      <name val="Arial"/>
      <family val="2"/>
    </font>
    <font>
      <sz val="12"/>
      <name val="Arial MT"/>
      <family val="0"/>
    </font>
    <font>
      <sz val="10"/>
      <name val="Times New Roman"/>
      <family val="1"/>
    </font>
    <font>
      <sz val="10"/>
      <color indexed="17"/>
      <name val="Times New Roman"/>
      <family val="1"/>
    </font>
    <font>
      <b/>
      <sz val="10"/>
      <name val="Times New Roman"/>
      <family val="1"/>
    </font>
    <font>
      <sz val="10"/>
      <name val="Arial Narrow"/>
      <family val="2"/>
    </font>
    <font>
      <sz val="12"/>
      <name val="Times New Roman"/>
      <family val="1"/>
    </font>
    <font>
      <sz val="12"/>
      <name val="Arial Narrow"/>
      <family val="2"/>
    </font>
    <font>
      <b/>
      <sz val="10"/>
      <color indexed="8"/>
      <name val="Calibri"/>
      <family val="2"/>
    </font>
    <font>
      <sz val="10"/>
      <color indexed="8"/>
      <name val="Calibri"/>
      <family val="2"/>
    </font>
    <font>
      <sz val="11"/>
      <name val="Times New Roman"/>
      <family val="1"/>
    </font>
    <font>
      <b/>
      <i/>
      <sz val="12"/>
      <name val="Arial"/>
      <family val="2"/>
    </font>
    <font>
      <b/>
      <u val="single"/>
      <sz val="12"/>
      <name val="Arial"/>
      <family val="2"/>
    </font>
    <font>
      <sz val="11"/>
      <color indexed="53"/>
      <name val="Calibri"/>
      <family val="2"/>
    </font>
    <font>
      <b/>
      <sz val="16"/>
      <color indexed="8"/>
      <name val="Arial"/>
      <family val="2"/>
    </font>
    <font>
      <b/>
      <u val="single"/>
      <sz val="11"/>
      <name val="Calibri"/>
      <family val="2"/>
    </font>
    <font>
      <b/>
      <sz val="13"/>
      <color indexed="8"/>
      <name val="Arial"/>
      <family val="2"/>
    </font>
    <font>
      <b/>
      <u val="single"/>
      <sz val="10"/>
      <name val="Calibri"/>
      <family val="2"/>
    </font>
    <font>
      <b/>
      <u val="single"/>
      <sz val="10"/>
      <name val="Arial"/>
      <family val="2"/>
    </font>
    <font>
      <u val="single"/>
      <sz val="12"/>
      <name val="Arial"/>
      <family val="2"/>
    </font>
    <font>
      <b/>
      <sz val="11"/>
      <name val="Arial"/>
      <family val="2"/>
    </font>
    <font>
      <sz val="11"/>
      <color indexed="8"/>
      <name val="Arial"/>
      <family val="2"/>
    </font>
    <font>
      <sz val="11"/>
      <name val="Arial"/>
      <family val="2"/>
    </font>
    <font>
      <b/>
      <u val="singleAccounting"/>
      <sz val="12"/>
      <name val="Arial"/>
      <family val="2"/>
    </font>
    <font>
      <b/>
      <u val="single"/>
      <sz val="12"/>
      <color indexed="8"/>
      <name val="Arial"/>
      <family val="2"/>
    </font>
    <font>
      <sz val="12"/>
      <color indexed="10"/>
      <name val="Arial"/>
      <family val="2"/>
    </font>
    <font>
      <u val="singleAccounting"/>
      <sz val="12"/>
      <name val="Arial"/>
      <family val="2"/>
    </font>
    <font>
      <sz val="12"/>
      <color indexed="30"/>
      <name val="Arial"/>
      <family val="2"/>
    </font>
    <font>
      <b/>
      <sz val="16"/>
      <color indexed="8"/>
      <name val="Calibri"/>
      <family val="2"/>
    </font>
    <font>
      <sz val="14"/>
      <name val="Calibri"/>
      <family val="2"/>
    </font>
    <font>
      <sz val="9"/>
      <name val="Arial"/>
      <family val="2"/>
    </font>
    <font>
      <i/>
      <sz val="10"/>
      <name val="Arial"/>
      <family val="2"/>
    </font>
    <font>
      <u val="single"/>
      <sz val="10"/>
      <name val="Arial"/>
      <family val="2"/>
    </font>
    <font>
      <i/>
      <sz val="9"/>
      <name val="Arial"/>
      <family val="2"/>
    </font>
    <font>
      <sz val="10"/>
      <color indexed="30"/>
      <name val="Arial"/>
      <family val="2"/>
    </font>
    <font>
      <b/>
      <sz val="12"/>
      <color indexed="30"/>
      <name val="Arial"/>
      <family val="2"/>
    </font>
    <font>
      <b/>
      <u val="single"/>
      <sz val="10"/>
      <color indexed="8"/>
      <name val="Arial"/>
      <family val="2"/>
    </font>
    <font>
      <i/>
      <sz val="12"/>
      <color indexed="8"/>
      <name val="Arial"/>
      <family val="2"/>
    </font>
    <font>
      <b/>
      <i/>
      <sz val="10"/>
      <name val="Arial"/>
      <family val="2"/>
    </font>
    <font>
      <u val="single"/>
      <sz val="12"/>
      <color indexed="8"/>
      <name val="Arial"/>
      <family val="2"/>
    </font>
    <font>
      <u val="single"/>
      <sz val="10"/>
      <color indexed="8"/>
      <name val="Arial"/>
      <family val="2"/>
    </font>
    <font>
      <u val="single"/>
      <sz val="10"/>
      <color indexed="10"/>
      <name val="Arial"/>
      <family val="2"/>
    </font>
    <font>
      <u val="singleAccounting"/>
      <sz val="10"/>
      <name val="Arial"/>
      <family val="2"/>
    </font>
    <font>
      <b/>
      <sz val="10"/>
      <color indexed="10"/>
      <name val="Arial"/>
      <family val="2"/>
    </font>
    <font>
      <strike/>
      <sz val="10"/>
      <name val="Arial"/>
      <family val="2"/>
    </font>
    <font>
      <u val="singleAccounting"/>
      <sz val="11"/>
      <color indexed="8"/>
      <name val="Arial"/>
      <family val="2"/>
    </font>
    <font>
      <b/>
      <sz val="12"/>
      <color indexed="10"/>
      <name val="Arial"/>
      <family val="2"/>
    </font>
    <font>
      <sz val="10"/>
      <color indexed="10"/>
      <name val="Courier"/>
      <family val="0"/>
    </font>
    <font>
      <sz val="12"/>
      <color indexed="10"/>
      <name val="Courier"/>
      <family val="3"/>
    </font>
    <font>
      <sz val="11.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rgb="FFFF0000"/>
      <name val="Arial"/>
      <family val="2"/>
    </font>
    <font>
      <sz val="11"/>
      <color rgb="FF1F497D"/>
      <name val="Calibri"/>
      <family val="2"/>
    </font>
    <font>
      <b/>
      <sz val="14"/>
      <color rgb="FFFF0000"/>
      <name val="Arial"/>
      <family val="2"/>
    </font>
    <font>
      <sz val="10"/>
      <color rgb="FFFF0000"/>
      <name val="Arial"/>
      <family val="2"/>
    </font>
    <font>
      <b/>
      <u val="single"/>
      <sz val="14"/>
      <color theme="1"/>
      <name val="Arial"/>
      <family val="2"/>
    </font>
    <font>
      <sz val="14"/>
      <color rgb="FFFF0000"/>
      <name val="Calibri"/>
      <family val="2"/>
    </font>
    <font>
      <sz val="12"/>
      <color rgb="FFFF0000"/>
      <name val="Calibri"/>
      <family val="2"/>
    </font>
    <font>
      <b/>
      <sz val="12"/>
      <color rgb="FFFF0000"/>
      <name val="Calibri"/>
      <family val="2"/>
    </font>
    <font>
      <sz val="10"/>
      <color rgb="FFFF0000"/>
      <name val="Calibri"/>
      <family val="2"/>
    </font>
    <font>
      <b/>
      <sz val="9"/>
      <color rgb="FFFF0000"/>
      <name val="Arial"/>
      <family val="2"/>
    </font>
    <font>
      <sz val="12"/>
      <color theme="1"/>
      <name val="Arial"/>
      <family val="2"/>
    </font>
    <font>
      <sz val="12"/>
      <color theme="1"/>
      <name val="Calibri"/>
      <family val="2"/>
    </font>
    <font>
      <b/>
      <sz val="16"/>
      <color theme="1"/>
      <name val="Arial"/>
      <family val="2"/>
    </font>
    <font>
      <b/>
      <sz val="10"/>
      <color rgb="FFFF0000"/>
      <name val="Calibri"/>
      <family val="2"/>
    </font>
    <font>
      <b/>
      <sz val="14"/>
      <color theme="1"/>
      <name val="Calibri"/>
      <family val="2"/>
    </font>
    <font>
      <sz val="11"/>
      <color theme="9" tint="-0.24997000396251678"/>
      <name val="Calibri"/>
      <family val="2"/>
    </font>
    <font>
      <b/>
      <sz val="11"/>
      <color rgb="FF000000"/>
      <name val="Arial"/>
      <family val="2"/>
    </font>
    <font>
      <sz val="11"/>
      <color rgb="FF000000"/>
      <name val="Arial"/>
      <family val="2"/>
    </font>
    <font>
      <b/>
      <sz val="12"/>
      <color theme="1"/>
      <name val="Arial"/>
      <family val="2"/>
    </font>
    <font>
      <sz val="12"/>
      <color rgb="FF000000"/>
      <name val="Arial"/>
      <family val="2"/>
    </font>
    <font>
      <sz val="11"/>
      <color theme="1"/>
      <name val="Arial"/>
      <family val="2"/>
    </font>
    <font>
      <b/>
      <sz val="11"/>
      <color theme="1"/>
      <name val="Arial"/>
      <family val="2"/>
    </font>
    <font>
      <sz val="12"/>
      <color rgb="FFFF0000"/>
      <name val="Arial"/>
      <family val="2"/>
    </font>
    <font>
      <sz val="12"/>
      <color rgb="FF0033CC"/>
      <name val="Arial"/>
      <family val="2"/>
    </font>
    <font>
      <b/>
      <sz val="12"/>
      <color rgb="FF0070C0"/>
      <name val="Arial"/>
      <family val="2"/>
    </font>
    <font>
      <u val="single"/>
      <sz val="10"/>
      <color rgb="FFFF0000"/>
      <name val="Arial"/>
      <family val="2"/>
    </font>
    <font>
      <b/>
      <sz val="10"/>
      <color rgb="FFFF0000"/>
      <name val="Arial"/>
      <family val="2"/>
    </font>
    <font>
      <sz val="10"/>
      <color rgb="FF0070C0"/>
      <name val="Arial"/>
      <family val="2"/>
    </font>
    <font>
      <b/>
      <sz val="12"/>
      <color rgb="FFFF0000"/>
      <name val="Arial"/>
      <family val="2"/>
    </font>
    <font>
      <u val="singleAccounting"/>
      <sz val="11"/>
      <color rgb="FF000000"/>
      <name val="Arial"/>
      <family val="2"/>
    </font>
    <font>
      <sz val="12"/>
      <color theme="5"/>
      <name val="Courier"/>
      <family val="3"/>
    </font>
    <font>
      <sz val="10"/>
      <color theme="5"/>
      <name val="Courier"/>
      <family val="3"/>
    </font>
    <font>
      <sz val="12"/>
      <color theme="5"/>
      <name val="Arial"/>
      <family val="2"/>
    </font>
    <font>
      <b/>
      <sz val="12"/>
      <color theme="5"/>
      <name val="Arial"/>
      <family val="2"/>
    </font>
    <font>
      <sz val="10"/>
      <color theme="5"/>
      <name val="Arial"/>
      <family val="2"/>
    </font>
    <font>
      <sz val="10"/>
      <color rgb="FFFF0000"/>
      <name val="Courier"/>
      <family val="0"/>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n">
        <color theme="1"/>
      </bottom>
    </border>
    <border>
      <left/>
      <right/>
      <top/>
      <bottom style="double"/>
    </border>
    <border>
      <left/>
      <right/>
      <top style="medium"/>
      <bottom style="medium"/>
    </border>
    <border>
      <left/>
      <right/>
      <top style="thick"/>
      <bottom style="thick"/>
    </border>
    <border>
      <left style="thin"/>
      <right/>
      <top style="thin"/>
      <bottom style="thin"/>
    </border>
    <border>
      <left style="thin"/>
      <right style="thin"/>
      <top/>
      <bottom style="thin"/>
    </border>
    <border>
      <left style="thin"/>
      <right style="thin"/>
      <top/>
      <bottom style="medium"/>
    </border>
    <border>
      <left style="thin"/>
      <right style="thin"/>
      <top/>
      <bottom/>
    </border>
    <border>
      <left style="thin"/>
      <right/>
      <top/>
      <bottom style="medium"/>
    </border>
    <border>
      <left style="thin"/>
      <right/>
      <top/>
      <bottom style="thin"/>
    </border>
    <border>
      <left style="thin"/>
      <right style="thin"/>
      <top style="thin"/>
      <bottom style="thin"/>
    </border>
    <border>
      <left style="thin"/>
      <right/>
      <top style="medium"/>
      <bottom style="medium"/>
    </border>
    <border>
      <left style="thin"/>
      <right style="thin"/>
      <top style="medium"/>
      <bottom style="medium"/>
    </border>
    <border>
      <left/>
      <right style="thin"/>
      <top style="thin"/>
      <bottom style="thin"/>
    </border>
    <border>
      <left/>
      <right/>
      <top style="thin"/>
      <bottom/>
    </border>
    <border>
      <left/>
      <right/>
      <top style="thin"/>
      <bottom style="double"/>
    </border>
    <border>
      <left style="medium"/>
      <right style="medium"/>
      <top style="medium"/>
      <bottom style="medium"/>
    </border>
    <border>
      <left style="thin">
        <color indexed="8"/>
      </left>
      <right style="thin">
        <color indexed="8"/>
      </right>
      <top style="thin">
        <color indexed="8"/>
      </top>
      <bottom style="thin">
        <color indexed="8"/>
      </bottom>
    </border>
    <border>
      <left style="thin"/>
      <right/>
      <top style="thin"/>
      <bottom style="medium"/>
    </border>
    <border>
      <left style="thin"/>
      <right style="thin"/>
      <top style="thin"/>
      <bottom style="medium"/>
    </border>
    <border>
      <left style="thin"/>
      <right style="thin"/>
      <top style="thin"/>
      <bottom/>
    </border>
    <border>
      <left/>
      <right/>
      <top style="thin"/>
      <bottom style="thin"/>
    </border>
    <border>
      <left style="thin">
        <color theme="1"/>
      </left>
      <right style="thin">
        <color theme="1"/>
      </right>
      <top style="thin">
        <color theme="1"/>
      </top>
      <bottom style="thin">
        <color theme="1"/>
      </bottom>
    </border>
    <border>
      <left style="thick">
        <color indexed="8"/>
      </left>
      <right style="thick">
        <color indexed="8"/>
      </right>
      <top style="thick">
        <color indexed="8"/>
      </top>
      <bottom style="thick">
        <color indexed="8"/>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medium">
        <color theme="1"/>
      </left>
      <right style="medium">
        <color theme="1"/>
      </right>
      <top style="medium">
        <color theme="1"/>
      </top>
      <bottom style="medium">
        <color theme="1"/>
      </bottom>
    </border>
    <border>
      <left/>
      <right/>
      <top/>
      <bottom style="double">
        <color theme="1"/>
      </bottom>
    </border>
  </borders>
  <cellStyleXfs count="576">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5" fillId="26" borderId="0" applyNumberFormat="0" applyBorder="0" applyAlignment="0" applyProtection="0"/>
    <xf numFmtId="187" fontId="68" fillId="0" borderId="1" applyNumberFormat="0" applyFill="0" applyAlignment="0" applyProtection="0"/>
    <xf numFmtId="188" fontId="68" fillId="0" borderId="2" applyFill="0" applyAlignment="0" applyProtection="0"/>
    <xf numFmtId="0" fontId="126" fillId="27" borderId="3" applyNumberFormat="0" applyAlignment="0" applyProtection="0"/>
    <xf numFmtId="0" fontId="127"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7"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0" fillId="0" borderId="0" applyFon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30" borderId="3" applyNumberFormat="0" applyAlignment="0" applyProtection="0"/>
    <xf numFmtId="0" fontId="136" fillId="0" borderId="8" applyNumberFormat="0" applyFill="0" applyAlignment="0" applyProtection="0"/>
    <xf numFmtId="0" fontId="137" fillId="31" borderId="0" applyNumberFormat="0" applyBorder="0" applyAlignment="0" applyProtection="0"/>
    <xf numFmtId="0" fontId="68" fillId="0" borderId="0" applyNumberFormat="0" applyFill="0" applyAlignment="0" applyProtection="0"/>
    <xf numFmtId="0" fontId="123" fillId="0" borderId="0">
      <alignment/>
      <protection/>
    </xf>
    <xf numFmtId="0" fontId="123" fillId="0" borderId="0">
      <alignment/>
      <protection/>
    </xf>
    <xf numFmtId="0" fontId="17"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164"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8" fillId="0" borderId="0">
      <alignment/>
      <protection/>
    </xf>
    <xf numFmtId="0" fontId="128"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164" fontId="0" fillId="0" borderId="0">
      <alignment/>
      <protection/>
    </xf>
    <xf numFmtId="0" fontId="12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164"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2" fillId="0" borderId="0">
      <alignment vertical="top"/>
      <protection/>
    </xf>
    <xf numFmtId="0" fontId="17" fillId="0" borderId="0">
      <alignment/>
      <protection/>
    </xf>
    <xf numFmtId="177" fontId="59" fillId="0" borderId="0" applyProtection="0">
      <alignment/>
    </xf>
    <xf numFmtId="0" fontId="123" fillId="0" borderId="0">
      <alignment/>
      <protection/>
    </xf>
    <xf numFmtId="164" fontId="0" fillId="0" borderId="0">
      <alignment/>
      <protection/>
    </xf>
    <xf numFmtId="164"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7"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7"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59" fillId="0" borderId="0" applyProtection="0">
      <alignment/>
    </xf>
    <xf numFmtId="177" fontId="59" fillId="0" borderId="0" applyProtection="0">
      <alignment/>
    </xf>
    <xf numFmtId="177" fontId="59" fillId="0" borderId="0" applyProtection="0">
      <alignment/>
    </xf>
    <xf numFmtId="0" fontId="17" fillId="0" borderId="0">
      <alignment/>
      <protection/>
    </xf>
    <xf numFmtId="177" fontId="59" fillId="0" borderId="0" applyProtection="0">
      <alignment/>
    </xf>
    <xf numFmtId="0" fontId="11" fillId="0" borderId="0">
      <alignment/>
      <protection/>
    </xf>
    <xf numFmtId="0" fontId="11" fillId="0" borderId="0">
      <alignment/>
      <protection/>
    </xf>
    <xf numFmtId="0" fontId="0" fillId="32" borderId="9" applyNumberFormat="0" applyFont="0" applyAlignment="0" applyProtection="0"/>
    <xf numFmtId="184" fontId="68" fillId="0" borderId="0" applyFill="0" applyBorder="0" applyAlignment="0" applyProtection="0"/>
    <xf numFmtId="0" fontId="138" fillId="27" borderId="10"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4" fontId="2" fillId="33" borderId="11" applyNumberFormat="0" applyProtection="0">
      <alignment vertical="center"/>
    </xf>
    <xf numFmtId="4" fontId="8" fillId="33" borderId="12" applyNumberFormat="0" applyProtection="0">
      <alignment vertical="center"/>
    </xf>
    <xf numFmtId="4" fontId="2" fillId="33" borderId="11" applyNumberFormat="0" applyProtection="0">
      <alignment vertical="center"/>
    </xf>
    <xf numFmtId="4" fontId="2" fillId="33" borderId="11" applyNumberFormat="0" applyProtection="0">
      <alignment vertical="center"/>
    </xf>
    <xf numFmtId="4" fontId="18" fillId="33" borderId="11" applyNumberFormat="0" applyProtection="0">
      <alignment vertical="center"/>
    </xf>
    <xf numFmtId="4" fontId="52" fillId="33" borderId="12" applyNumberFormat="0" applyProtection="0">
      <alignment vertical="center"/>
    </xf>
    <xf numFmtId="4" fontId="18" fillId="33" borderId="11" applyNumberFormat="0" applyProtection="0">
      <alignment vertical="center"/>
    </xf>
    <xf numFmtId="4" fontId="2" fillId="33" borderId="11" applyNumberFormat="0" applyProtection="0">
      <alignment horizontal="left" vertical="center" indent="1"/>
    </xf>
    <xf numFmtId="4" fontId="8" fillId="33" borderId="12" applyNumberFormat="0" applyProtection="0">
      <alignment horizontal="left" vertical="center" indent="1"/>
    </xf>
    <xf numFmtId="4" fontId="2" fillId="33" borderId="11" applyNumberFormat="0" applyProtection="0">
      <alignment horizontal="left" vertical="center" indent="1"/>
    </xf>
    <xf numFmtId="4" fontId="2" fillId="33" borderId="11" applyNumberFormat="0" applyProtection="0">
      <alignment horizontal="left" vertical="center" indent="1"/>
    </xf>
    <xf numFmtId="4" fontId="2" fillId="33" borderId="11" applyNumberFormat="0" applyProtection="0">
      <alignment horizontal="left" vertical="center" indent="1"/>
    </xf>
    <xf numFmtId="0" fontId="8" fillId="33" borderId="12" applyNumberFormat="0" applyProtection="0">
      <alignment horizontal="left" vertical="top" indent="1"/>
    </xf>
    <xf numFmtId="4" fontId="2" fillId="33" borderId="11" applyNumberFormat="0" applyProtection="0">
      <alignment horizontal="left" vertical="center" indent="1"/>
    </xf>
    <xf numFmtId="4" fontId="2" fillId="33"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8" fillId="35" borderId="0"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2" fillId="36" borderId="11" applyNumberFormat="0" applyProtection="0">
      <alignment horizontal="right" vertical="center"/>
    </xf>
    <xf numFmtId="4" fontId="2" fillId="36" borderId="12" applyNumberFormat="0" applyProtection="0">
      <alignment horizontal="right" vertical="center"/>
    </xf>
    <xf numFmtId="4" fontId="2" fillId="36" borderId="11" applyNumberFormat="0" applyProtection="0">
      <alignment horizontal="right" vertical="center"/>
    </xf>
    <xf numFmtId="4" fontId="2" fillId="37" borderId="11" applyNumberFormat="0" applyProtection="0">
      <alignment horizontal="right" vertical="center"/>
    </xf>
    <xf numFmtId="4" fontId="2" fillId="37" borderId="12" applyNumberFormat="0" applyProtection="0">
      <alignment horizontal="right" vertical="center"/>
    </xf>
    <xf numFmtId="4" fontId="2" fillId="37" borderId="11" applyNumberFormat="0" applyProtection="0">
      <alignment horizontal="right" vertical="center"/>
    </xf>
    <xf numFmtId="4" fontId="2" fillId="38" borderId="11" applyNumberFormat="0" applyProtection="0">
      <alignment horizontal="right" vertical="center"/>
    </xf>
    <xf numFmtId="4" fontId="2" fillId="38" borderId="12" applyNumberFormat="0" applyProtection="0">
      <alignment horizontal="right" vertical="center"/>
    </xf>
    <xf numFmtId="4" fontId="2" fillId="38" borderId="11" applyNumberFormat="0" applyProtection="0">
      <alignment horizontal="right" vertical="center"/>
    </xf>
    <xf numFmtId="4" fontId="2" fillId="39" borderId="11" applyNumberFormat="0" applyProtection="0">
      <alignment horizontal="right" vertical="center"/>
    </xf>
    <xf numFmtId="4" fontId="2" fillId="39" borderId="12" applyNumberFormat="0" applyProtection="0">
      <alignment horizontal="right" vertical="center"/>
    </xf>
    <xf numFmtId="4" fontId="2" fillId="39" borderId="11" applyNumberFormat="0" applyProtection="0">
      <alignment horizontal="right" vertical="center"/>
    </xf>
    <xf numFmtId="4" fontId="2" fillId="40" borderId="11" applyNumberFormat="0" applyProtection="0">
      <alignment horizontal="right" vertical="center"/>
    </xf>
    <xf numFmtId="4" fontId="2" fillId="40" borderId="12" applyNumberFormat="0" applyProtection="0">
      <alignment horizontal="right" vertical="center"/>
    </xf>
    <xf numFmtId="4" fontId="2" fillId="40" borderId="11" applyNumberFormat="0" applyProtection="0">
      <alignment horizontal="right" vertical="center"/>
    </xf>
    <xf numFmtId="4" fontId="2" fillId="41" borderId="11" applyNumberFormat="0" applyProtection="0">
      <alignment horizontal="right" vertical="center"/>
    </xf>
    <xf numFmtId="4" fontId="2" fillId="41" borderId="12" applyNumberFormat="0" applyProtection="0">
      <alignment horizontal="right" vertical="center"/>
    </xf>
    <xf numFmtId="4" fontId="2" fillId="41" borderId="11" applyNumberFormat="0" applyProtection="0">
      <alignment horizontal="right" vertical="center"/>
    </xf>
    <xf numFmtId="4" fontId="2" fillId="42" borderId="11" applyNumberFormat="0" applyProtection="0">
      <alignment horizontal="right" vertical="center"/>
    </xf>
    <xf numFmtId="4" fontId="2" fillId="42" borderId="12" applyNumberFormat="0" applyProtection="0">
      <alignment horizontal="right" vertical="center"/>
    </xf>
    <xf numFmtId="4" fontId="2" fillId="42" borderId="11" applyNumberFormat="0" applyProtection="0">
      <alignment horizontal="right" vertical="center"/>
    </xf>
    <xf numFmtId="4" fontId="2" fillId="43" borderId="11" applyNumberFormat="0" applyProtection="0">
      <alignment horizontal="right" vertical="center"/>
    </xf>
    <xf numFmtId="4" fontId="2" fillId="43" borderId="12" applyNumberFormat="0" applyProtection="0">
      <alignment horizontal="right" vertical="center"/>
    </xf>
    <xf numFmtId="4" fontId="2" fillId="43" borderId="11" applyNumberFormat="0" applyProtection="0">
      <alignment horizontal="right" vertical="center"/>
    </xf>
    <xf numFmtId="4" fontId="2" fillId="44" borderId="11" applyNumberFormat="0" applyProtection="0">
      <alignment horizontal="right" vertical="center"/>
    </xf>
    <xf numFmtId="4" fontId="2" fillId="44" borderId="12" applyNumberFormat="0" applyProtection="0">
      <alignment horizontal="right" vertical="center"/>
    </xf>
    <xf numFmtId="4" fontId="2" fillId="44" borderId="11" applyNumberFormat="0" applyProtection="0">
      <alignment horizontal="right" vertical="center"/>
    </xf>
    <xf numFmtId="4" fontId="8" fillId="45" borderId="11" applyNumberFormat="0" applyProtection="0">
      <alignment horizontal="left" vertical="center" indent="1"/>
    </xf>
    <xf numFmtId="4" fontId="8" fillId="46" borderId="13" applyNumberFormat="0" applyProtection="0">
      <alignment horizontal="left" vertical="center" indent="1"/>
    </xf>
    <xf numFmtId="4" fontId="8" fillId="45" borderId="11" applyNumberFormat="0" applyProtection="0">
      <alignment horizontal="left" vertical="center" indent="1"/>
    </xf>
    <xf numFmtId="4" fontId="2" fillId="47" borderId="14" applyNumberFormat="0" applyProtection="0">
      <alignment horizontal="left" vertical="center" indent="1"/>
    </xf>
    <xf numFmtId="4" fontId="2" fillId="48" borderId="0" applyNumberFormat="0" applyProtection="0">
      <alignment horizontal="left" vertical="center" indent="1"/>
    </xf>
    <xf numFmtId="4" fontId="7" fillId="49" borderId="0" applyNumberFormat="0" applyProtection="0">
      <alignment horizontal="left" vertical="center" indent="1"/>
    </xf>
    <xf numFmtId="4" fontId="7" fillId="49" borderId="0"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2" fillId="35" borderId="12" applyNumberFormat="0" applyProtection="0">
      <alignment horizontal="right" vertical="center"/>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2" fillId="47" borderId="11" applyNumberFormat="0" applyProtection="0">
      <alignment horizontal="left" vertical="center" indent="1"/>
    </xf>
    <xf numFmtId="4" fontId="2" fillId="47" borderId="11" applyNumberFormat="0" applyProtection="0">
      <alignment horizontal="left" vertical="center" indent="1"/>
    </xf>
    <xf numFmtId="4" fontId="2" fillId="47" borderId="11" applyNumberFormat="0" applyProtection="0">
      <alignment horizontal="left" vertical="center" indent="1"/>
    </xf>
    <xf numFmtId="4" fontId="2" fillId="47" borderId="11" applyNumberFormat="0" applyProtection="0">
      <alignment horizontal="left" vertical="center" indent="1"/>
    </xf>
    <xf numFmtId="4" fontId="2" fillId="50" borderId="11" applyNumberFormat="0" applyProtection="0">
      <alignment horizontal="left" vertical="center" indent="1"/>
    </xf>
    <xf numFmtId="4" fontId="2" fillId="50" borderId="11" applyNumberFormat="0" applyProtection="0">
      <alignment horizontal="left" vertical="center" indent="1"/>
    </xf>
    <xf numFmtId="4" fontId="2" fillId="50" borderId="11" applyNumberFormat="0" applyProtection="0">
      <alignment horizontal="left" vertical="center" indent="1"/>
    </xf>
    <xf numFmtId="4" fontId="2" fillId="50" borderId="11"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49" borderId="12"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49" borderId="12" applyNumberFormat="0" applyProtection="0">
      <alignment horizontal="left" vertical="top" indent="1"/>
    </xf>
    <xf numFmtId="0" fontId="17" fillId="50" borderId="11" applyNumberFormat="0" applyProtection="0">
      <alignment horizontal="left" vertical="center" indent="1"/>
    </xf>
    <xf numFmtId="0" fontId="17" fillId="50" borderId="11"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35" borderId="12"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35" borderId="12" applyNumberFormat="0" applyProtection="0">
      <alignment horizontal="left" vertical="top" indent="1"/>
    </xf>
    <xf numFmtId="0" fontId="17" fillId="51" borderId="11" applyNumberFormat="0" applyProtection="0">
      <alignment horizontal="left" vertical="center" indent="1"/>
    </xf>
    <xf numFmtId="0" fontId="17" fillId="51" borderId="11"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3" borderId="12"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53" borderId="12" applyNumberFormat="0" applyProtection="0">
      <alignment horizontal="left" vertical="top" indent="1"/>
    </xf>
    <xf numFmtId="0" fontId="17" fillId="52" borderId="11" applyNumberFormat="0" applyProtection="0">
      <alignment horizontal="left" vertical="center" indent="1"/>
    </xf>
    <xf numFmtId="0" fontId="17" fillId="52"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48" borderId="12"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48" borderId="12" applyNumberFormat="0" applyProtection="0">
      <alignment horizontal="left" vertical="top"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2" fillId="54" borderId="11" applyNumberFormat="0" applyProtection="0">
      <alignment vertical="center"/>
    </xf>
    <xf numFmtId="4" fontId="2" fillId="54" borderId="12" applyNumberFormat="0" applyProtection="0">
      <alignment vertical="center"/>
    </xf>
    <xf numFmtId="4" fontId="2" fillId="54" borderId="11" applyNumberFormat="0" applyProtection="0">
      <alignment vertical="center"/>
    </xf>
    <xf numFmtId="4" fontId="18" fillId="54" borderId="11" applyNumberFormat="0" applyProtection="0">
      <alignment vertical="center"/>
    </xf>
    <xf numFmtId="4" fontId="18" fillId="54" borderId="12" applyNumberFormat="0" applyProtection="0">
      <alignment vertical="center"/>
    </xf>
    <xf numFmtId="4" fontId="18" fillId="54" borderId="11" applyNumberFormat="0" applyProtection="0">
      <alignment vertical="center"/>
    </xf>
    <xf numFmtId="4" fontId="2" fillId="54" borderId="11" applyNumberFormat="0" applyProtection="0">
      <alignment horizontal="left" vertical="center" indent="1"/>
    </xf>
    <xf numFmtId="4" fontId="2" fillId="54" borderId="12" applyNumberFormat="0" applyProtection="0">
      <alignment horizontal="left" vertical="center" indent="1"/>
    </xf>
    <xf numFmtId="4" fontId="2" fillId="54" borderId="11" applyNumberFormat="0" applyProtection="0">
      <alignment horizontal="left" vertical="center" indent="1"/>
    </xf>
    <xf numFmtId="4" fontId="2" fillId="54" borderId="11" applyNumberFormat="0" applyProtection="0">
      <alignment horizontal="left" vertical="center" indent="1"/>
    </xf>
    <xf numFmtId="0" fontId="2" fillId="54" borderId="12" applyNumberFormat="0" applyProtection="0">
      <alignment horizontal="left" vertical="top" indent="1"/>
    </xf>
    <xf numFmtId="4" fontId="2" fillId="54" borderId="11" applyNumberFormat="0" applyProtection="0">
      <alignment horizontal="left" vertical="center" indent="1"/>
    </xf>
    <xf numFmtId="4" fontId="2" fillId="47" borderId="11" applyNumberFormat="0" applyProtection="0">
      <alignment horizontal="right" vertical="center"/>
    </xf>
    <xf numFmtId="4" fontId="2" fillId="48" borderId="12" applyNumberFormat="0" applyProtection="0">
      <alignment horizontal="right" vertical="center"/>
    </xf>
    <xf numFmtId="4" fontId="2" fillId="47" borderId="11" applyNumberFormat="0" applyProtection="0">
      <alignment horizontal="right" vertical="center"/>
    </xf>
    <xf numFmtId="4" fontId="2" fillId="47" borderId="11" applyNumberFormat="0" applyProtection="0">
      <alignment horizontal="right" vertical="center"/>
    </xf>
    <xf numFmtId="4" fontId="18" fillId="47" borderId="11" applyNumberFormat="0" applyProtection="0">
      <alignment horizontal="right" vertical="center"/>
    </xf>
    <xf numFmtId="4" fontId="18" fillId="48" borderId="12" applyNumberFormat="0" applyProtection="0">
      <alignment horizontal="right" vertical="center"/>
    </xf>
    <xf numFmtId="4" fontId="18" fillId="47" borderId="11" applyNumberFormat="0" applyProtection="0">
      <alignment horizontal="right" vertical="center"/>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4" fontId="2" fillId="35" borderId="12"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2" fillId="35" borderId="12" applyNumberFormat="0" applyProtection="0">
      <alignment horizontal="left" vertical="top" indent="1"/>
    </xf>
    <xf numFmtId="0" fontId="17" fillId="34" borderId="11" applyNumberFormat="0" applyProtection="0">
      <alignment horizontal="left" vertical="center" indent="1"/>
    </xf>
    <xf numFmtId="0" fontId="17" fillId="34" borderId="11" applyNumberFormat="0" applyProtection="0">
      <alignment horizontal="left" vertical="center" indent="1"/>
    </xf>
    <xf numFmtId="0" fontId="19" fillId="0" borderId="0">
      <alignment/>
      <protection/>
    </xf>
    <xf numFmtId="0" fontId="19" fillId="0" borderId="0">
      <alignment/>
      <protection/>
    </xf>
    <xf numFmtId="4" fontId="20" fillId="47" borderId="11" applyNumberFormat="0" applyProtection="0">
      <alignment horizontal="right" vertical="center"/>
    </xf>
    <xf numFmtId="4" fontId="20" fillId="48" borderId="12" applyNumberFormat="0" applyProtection="0">
      <alignment horizontal="right" vertical="center"/>
    </xf>
    <xf numFmtId="4" fontId="20" fillId="47" borderId="11" applyNumberFormat="0" applyProtection="0">
      <alignment horizontal="right" vertical="center"/>
    </xf>
    <xf numFmtId="0" fontId="68" fillId="0" borderId="2" applyNumberFormat="0" applyFill="0" applyAlignment="0" applyProtection="0"/>
    <xf numFmtId="0" fontId="139" fillId="0" borderId="0" applyNumberFormat="0" applyFill="0" applyBorder="0" applyAlignment="0" applyProtection="0"/>
    <xf numFmtId="0" fontId="140" fillId="0" borderId="15" applyNumberFormat="0" applyFill="0" applyAlignment="0" applyProtection="0"/>
    <xf numFmtId="0" fontId="141" fillId="0" borderId="0" applyNumberFormat="0" applyFill="0" applyBorder="0" applyAlignment="0" applyProtection="0"/>
  </cellStyleXfs>
  <cellXfs count="1614">
    <xf numFmtId="164" fontId="0" fillId="0" borderId="0" xfId="0" applyAlignment="1">
      <alignment/>
    </xf>
    <xf numFmtId="164" fontId="3" fillId="0" borderId="0" xfId="0" applyNumberFormat="1" applyFont="1" applyAlignment="1" applyProtection="1">
      <alignment/>
      <protection/>
    </xf>
    <xf numFmtId="164" fontId="4" fillId="0" borderId="0" xfId="0" applyNumberFormat="1" applyFont="1" applyAlignment="1" applyProtection="1">
      <alignment horizontal="center"/>
      <protection/>
    </xf>
    <xf numFmtId="164" fontId="5" fillId="0" borderId="0" xfId="0" applyNumberFormat="1" applyFont="1" applyAlignment="1" applyProtection="1">
      <alignment/>
      <protection/>
    </xf>
    <xf numFmtId="164" fontId="6" fillId="0" borderId="0" xfId="0" applyNumberFormat="1" applyFont="1" applyAlignment="1" applyProtection="1">
      <alignment/>
      <protection/>
    </xf>
    <xf numFmtId="164" fontId="7" fillId="0" borderId="0" xfId="0" applyNumberFormat="1" applyFont="1" applyAlignment="1" applyProtection="1">
      <alignment/>
      <protection/>
    </xf>
    <xf numFmtId="165" fontId="7" fillId="0" borderId="0" xfId="0" applyNumberFormat="1" applyFont="1" applyAlignment="1" applyProtection="1">
      <alignment/>
      <protection/>
    </xf>
    <xf numFmtId="164" fontId="6" fillId="0" borderId="0" xfId="0" applyNumberFormat="1" applyFont="1" applyAlignment="1" applyProtection="1">
      <alignment/>
      <protection/>
    </xf>
    <xf numFmtId="164" fontId="9" fillId="0" borderId="0" xfId="0" applyFont="1" applyAlignment="1">
      <alignment/>
    </xf>
    <xf numFmtId="164" fontId="10" fillId="0" borderId="0" xfId="0" applyFont="1" applyAlignment="1">
      <alignment/>
    </xf>
    <xf numFmtId="164" fontId="0" fillId="0" borderId="0" xfId="0" applyBorder="1" applyAlignment="1">
      <alignment/>
    </xf>
    <xf numFmtId="164" fontId="3" fillId="55" borderId="0" xfId="0" applyNumberFormat="1" applyFont="1" applyFill="1" applyAlignment="1" applyProtection="1">
      <alignment/>
      <protection/>
    </xf>
    <xf numFmtId="164" fontId="4" fillId="55" borderId="0" xfId="0" applyNumberFormat="1" applyFont="1" applyFill="1" applyAlignment="1" applyProtection="1">
      <alignment/>
      <protection/>
    </xf>
    <xf numFmtId="164" fontId="0" fillId="55" borderId="0" xfId="0" applyFill="1" applyAlignment="1">
      <alignment/>
    </xf>
    <xf numFmtId="164" fontId="7" fillId="55" borderId="0" xfId="0" applyNumberFormat="1" applyFont="1" applyFill="1" applyAlignment="1" applyProtection="1">
      <alignment/>
      <protection/>
    </xf>
    <xf numFmtId="5" fontId="3" fillId="55" borderId="0" xfId="0" applyNumberFormat="1" applyFont="1" applyFill="1" applyAlignment="1" applyProtection="1">
      <alignment/>
      <protection/>
    </xf>
    <xf numFmtId="5" fontId="4" fillId="55" borderId="0" xfId="0" applyNumberFormat="1" applyFont="1" applyFill="1" applyAlignment="1" applyProtection="1">
      <alignment/>
      <protection/>
    </xf>
    <xf numFmtId="164" fontId="9" fillId="55" borderId="0" xfId="0" applyFont="1" applyFill="1" applyAlignment="1">
      <alignment/>
    </xf>
    <xf numFmtId="164" fontId="3" fillId="55" borderId="0" xfId="0" applyNumberFormat="1" applyFont="1" applyFill="1" applyAlignment="1" applyProtection="1">
      <alignment horizontal="left"/>
      <protection/>
    </xf>
    <xf numFmtId="10" fontId="4" fillId="55" borderId="0" xfId="0" applyNumberFormat="1" applyFont="1" applyFill="1" applyAlignment="1" applyProtection="1">
      <alignment horizontal="center"/>
      <protection/>
    </xf>
    <xf numFmtId="164" fontId="6" fillId="55" borderId="0" xfId="0" applyNumberFormat="1" applyFont="1" applyFill="1" applyAlignment="1" applyProtection="1">
      <alignment/>
      <protection/>
    </xf>
    <xf numFmtId="164" fontId="6" fillId="55" borderId="0" xfId="0" applyNumberFormat="1" applyFont="1" applyFill="1" applyAlignment="1" applyProtection="1">
      <alignment horizontal="center"/>
      <protection/>
    </xf>
    <xf numFmtId="164" fontId="7" fillId="55" borderId="0" xfId="0" applyNumberFormat="1" applyFont="1" applyFill="1" applyAlignment="1" applyProtection="1">
      <alignment horizontal="right"/>
      <protection/>
    </xf>
    <xf numFmtId="49" fontId="3" fillId="55" borderId="0" xfId="0" applyNumberFormat="1" applyFont="1" applyFill="1" applyAlignment="1" applyProtection="1">
      <alignment horizontal="center"/>
      <protection/>
    </xf>
    <xf numFmtId="49" fontId="0" fillId="55" borderId="0" xfId="0" applyNumberFormat="1" applyFill="1" applyAlignment="1">
      <alignment horizontal="center"/>
    </xf>
    <xf numFmtId="14" fontId="4" fillId="55" borderId="0" xfId="0" applyNumberFormat="1" applyFont="1" applyFill="1" applyAlignment="1" applyProtection="1">
      <alignment horizontal="center"/>
      <protection/>
    </xf>
    <xf numFmtId="164" fontId="22" fillId="0" borderId="0" xfId="0" applyFont="1" applyAlignment="1">
      <alignment/>
    </xf>
    <xf numFmtId="164" fontId="17" fillId="55" borderId="0" xfId="0" applyFont="1" applyFill="1" applyAlignment="1">
      <alignment/>
    </xf>
    <xf numFmtId="164" fontId="4" fillId="55" borderId="0" xfId="0" applyNumberFormat="1" applyFont="1" applyFill="1" applyAlignment="1" applyProtection="1">
      <alignment horizontal="left"/>
      <protection/>
    </xf>
    <xf numFmtId="164" fontId="4" fillId="55" borderId="0" xfId="0" applyNumberFormat="1" applyFont="1" applyFill="1" applyBorder="1" applyAlignment="1" applyProtection="1">
      <alignment/>
      <protection/>
    </xf>
    <xf numFmtId="5" fontId="142" fillId="55" borderId="0" xfId="0" applyNumberFormat="1" applyFont="1" applyFill="1" applyAlignment="1" applyProtection="1">
      <alignment/>
      <protection/>
    </xf>
    <xf numFmtId="41" fontId="142" fillId="55" borderId="0" xfId="0" applyNumberFormat="1" applyFont="1" applyFill="1" applyAlignment="1" applyProtection="1">
      <alignment/>
      <protection/>
    </xf>
    <xf numFmtId="164" fontId="142" fillId="55" borderId="0" xfId="0" applyNumberFormat="1" applyFont="1" applyFill="1" applyAlignment="1" applyProtection="1">
      <alignment/>
      <protection/>
    </xf>
    <xf numFmtId="0" fontId="14" fillId="55" borderId="0" xfId="176" applyFont="1" applyFill="1">
      <alignment/>
      <protection/>
    </xf>
    <xf numFmtId="0" fontId="17" fillId="55" borderId="0" xfId="176" applyFont="1" applyFill="1">
      <alignment/>
      <protection/>
    </xf>
    <xf numFmtId="164" fontId="25" fillId="55" borderId="0" xfId="0" applyNumberFormat="1" applyFont="1" applyFill="1" applyAlignment="1" applyProtection="1">
      <alignment/>
      <protection/>
    </xf>
    <xf numFmtId="164" fontId="0" fillId="55" borderId="0" xfId="0" applyFont="1" applyFill="1" applyAlignment="1">
      <alignment/>
    </xf>
    <xf numFmtId="164" fontId="26" fillId="55" borderId="0" xfId="0" applyNumberFormat="1" applyFont="1" applyFill="1" applyAlignment="1" applyProtection="1">
      <alignment/>
      <protection/>
    </xf>
    <xf numFmtId="14" fontId="25" fillId="55" borderId="0" xfId="0" applyNumberFormat="1" applyFont="1" applyFill="1" applyAlignment="1" applyProtection="1">
      <alignment horizontal="left"/>
      <protection/>
    </xf>
    <xf numFmtId="164" fontId="25" fillId="55" borderId="0" xfId="0" applyNumberFormat="1" applyFont="1" applyFill="1" applyAlignment="1" applyProtection="1">
      <alignment horizontal="right"/>
      <protection/>
    </xf>
    <xf numFmtId="164" fontId="25" fillId="55" borderId="0" xfId="0" applyNumberFormat="1" applyFont="1" applyFill="1" applyAlignment="1" applyProtection="1">
      <alignment/>
      <protection/>
    </xf>
    <xf numFmtId="49" fontId="26" fillId="55" borderId="0" xfId="0" applyNumberFormat="1" applyFont="1" applyFill="1" applyAlignment="1" applyProtection="1">
      <alignment horizontal="center"/>
      <protection/>
    </xf>
    <xf numFmtId="0" fontId="14" fillId="55" borderId="0" xfId="176" applyFont="1" applyFill="1" applyAlignment="1">
      <alignment horizontal="center"/>
      <protection/>
    </xf>
    <xf numFmtId="164" fontId="22" fillId="55" borderId="0" xfId="0" applyFont="1" applyFill="1" applyAlignment="1">
      <alignment/>
    </xf>
    <xf numFmtId="0" fontId="14" fillId="55" borderId="0" xfId="249" applyFont="1" applyFill="1">
      <alignment/>
      <protection/>
    </xf>
    <xf numFmtId="164" fontId="7" fillId="55" borderId="0" xfId="0" applyNumberFormat="1" applyFont="1" applyFill="1" applyAlignment="1" applyProtection="1">
      <alignment/>
      <protection/>
    </xf>
    <xf numFmtId="0" fontId="17" fillId="55" borderId="0" xfId="166" applyFill="1">
      <alignment/>
      <protection/>
    </xf>
    <xf numFmtId="0" fontId="12" fillId="55" borderId="0" xfId="176" applyFont="1" applyFill="1">
      <alignment/>
      <protection/>
    </xf>
    <xf numFmtId="164" fontId="143" fillId="55" borderId="0" xfId="0" applyFont="1" applyFill="1" applyAlignment="1">
      <alignment/>
    </xf>
    <xf numFmtId="164" fontId="143" fillId="55" borderId="0" xfId="0" applyFont="1" applyFill="1" applyAlignment="1">
      <alignment horizontal="left" indent="1"/>
    </xf>
    <xf numFmtId="164" fontId="144" fillId="55" borderId="0" xfId="0" applyNumberFormat="1" applyFont="1" applyFill="1" applyAlignment="1" applyProtection="1">
      <alignment/>
      <protection/>
    </xf>
    <xf numFmtId="0" fontId="12" fillId="55" borderId="0" xfId="403" applyFont="1" applyFill="1">
      <alignment/>
      <protection/>
    </xf>
    <xf numFmtId="0" fontId="12" fillId="55" borderId="0" xfId="403" applyFont="1" applyFill="1" applyBorder="1" applyAlignment="1">
      <alignment horizontal="center"/>
      <protection/>
    </xf>
    <xf numFmtId="0" fontId="12" fillId="55" borderId="0" xfId="403" applyFont="1" applyFill="1" applyBorder="1" applyAlignment="1">
      <alignment horizontal="right"/>
      <protection/>
    </xf>
    <xf numFmtId="0" fontId="13" fillId="55" borderId="0" xfId="403" applyFont="1" applyFill="1" quotePrefix="1">
      <alignment/>
      <protection/>
    </xf>
    <xf numFmtId="1" fontId="12" fillId="55" borderId="0" xfId="403" applyNumberFormat="1" applyFont="1" applyFill="1" applyBorder="1" applyAlignment="1">
      <alignment horizontal="left"/>
      <protection/>
    </xf>
    <xf numFmtId="49" fontId="12" fillId="55" borderId="0" xfId="403" applyNumberFormat="1" applyFont="1" applyFill="1" applyAlignment="1">
      <alignment horizontal="left"/>
      <protection/>
    </xf>
    <xf numFmtId="0" fontId="17" fillId="55" borderId="0" xfId="403" applyFont="1" applyFill="1">
      <alignment/>
      <protection/>
    </xf>
    <xf numFmtId="164" fontId="13" fillId="55" borderId="0" xfId="0" applyFont="1" applyFill="1" applyAlignment="1">
      <alignment/>
    </xf>
    <xf numFmtId="164" fontId="4" fillId="55" borderId="0" xfId="0" applyNumberFormat="1" applyFont="1" applyFill="1" applyAlignment="1" applyProtection="1">
      <alignment horizontal="center"/>
      <protection/>
    </xf>
    <xf numFmtId="164" fontId="7" fillId="55" borderId="0" xfId="0" applyNumberFormat="1" applyFont="1" applyFill="1" applyAlignment="1" applyProtection="1">
      <alignment horizontal="center"/>
      <protection/>
    </xf>
    <xf numFmtId="0" fontId="13" fillId="55" borderId="0" xfId="381" applyFont="1" applyFill="1">
      <alignment/>
      <protection/>
    </xf>
    <xf numFmtId="0" fontId="145" fillId="55" borderId="0" xfId="176" applyFont="1" applyFill="1">
      <alignment/>
      <protection/>
    </xf>
    <xf numFmtId="164" fontId="29" fillId="55" borderId="0" xfId="0" applyFont="1" applyFill="1" applyAlignment="1">
      <alignment/>
    </xf>
    <xf numFmtId="164" fontId="30" fillId="55" borderId="0" xfId="0" applyFont="1" applyFill="1" applyAlignment="1">
      <alignment/>
    </xf>
    <xf numFmtId="164" fontId="0" fillId="55" borderId="0" xfId="0" applyFill="1" applyBorder="1" applyAlignment="1">
      <alignment/>
    </xf>
    <xf numFmtId="0" fontId="146" fillId="55" borderId="0" xfId="164" applyFont="1" applyFill="1">
      <alignment/>
      <protection/>
    </xf>
    <xf numFmtId="164" fontId="31" fillId="55" borderId="0" xfId="0" applyFont="1" applyFill="1" applyAlignment="1">
      <alignment/>
    </xf>
    <xf numFmtId="14" fontId="7" fillId="55" borderId="0" xfId="0" applyNumberFormat="1" applyFont="1" applyFill="1" applyAlignment="1" applyProtection="1">
      <alignment horizontal="left"/>
      <protection/>
    </xf>
    <xf numFmtId="164" fontId="25" fillId="55" borderId="0" xfId="0" applyNumberFormat="1" applyFont="1" applyFill="1" applyBorder="1" applyAlignment="1" applyProtection="1">
      <alignment/>
      <protection/>
    </xf>
    <xf numFmtId="165" fontId="7" fillId="55" borderId="0" xfId="0" applyNumberFormat="1" applyFont="1" applyFill="1" applyAlignment="1" applyProtection="1">
      <alignment horizontal="left"/>
      <protection/>
    </xf>
    <xf numFmtId="0" fontId="123" fillId="55" borderId="0" xfId="92" applyFont="1" applyFill="1">
      <alignment/>
      <protection/>
    </xf>
    <xf numFmtId="0" fontId="16" fillId="55" borderId="0" xfId="92" applyFont="1" applyFill="1" applyAlignment="1">
      <alignment horizontal="right"/>
      <protection/>
    </xf>
    <xf numFmtId="164" fontId="4" fillId="55" borderId="0" xfId="0" applyNumberFormat="1" applyFont="1" applyFill="1" applyAlignment="1" applyProtection="1">
      <alignment/>
      <protection/>
    </xf>
    <xf numFmtId="0" fontId="13" fillId="55" borderId="0" xfId="403" applyFont="1" applyFill="1">
      <alignment/>
      <protection/>
    </xf>
    <xf numFmtId="0" fontId="13" fillId="55" borderId="0" xfId="403" applyFont="1" applyFill="1" applyBorder="1" applyAlignment="1">
      <alignment horizontal="center"/>
      <protection/>
    </xf>
    <xf numFmtId="0" fontId="13" fillId="55" borderId="0" xfId="403" applyFont="1" applyFill="1" applyBorder="1" applyAlignment="1">
      <alignment horizontal="right"/>
      <protection/>
    </xf>
    <xf numFmtId="0" fontId="13" fillId="55" borderId="0" xfId="403" applyFont="1" applyFill="1" applyBorder="1" applyAlignment="1">
      <alignment/>
      <protection/>
    </xf>
    <xf numFmtId="0" fontId="12" fillId="55" borderId="0" xfId="402" applyFont="1" applyFill="1" applyAlignment="1">
      <alignment horizontal="left"/>
      <protection/>
    </xf>
    <xf numFmtId="0" fontId="12" fillId="55" borderId="0" xfId="402" applyFont="1" applyFill="1" applyAlignment="1">
      <alignment horizontal="center"/>
      <protection/>
    </xf>
    <xf numFmtId="0" fontId="12" fillId="55" borderId="0" xfId="402" applyFont="1" applyFill="1">
      <alignment/>
      <protection/>
    </xf>
    <xf numFmtId="0" fontId="12" fillId="55" borderId="0" xfId="402" applyFont="1" applyFill="1" applyBorder="1" applyAlignment="1">
      <alignment horizontal="center"/>
      <protection/>
    </xf>
    <xf numFmtId="0" fontId="12" fillId="55" borderId="0" xfId="402" applyFont="1" applyFill="1" applyAlignment="1">
      <alignment horizontal="right"/>
      <protection/>
    </xf>
    <xf numFmtId="0" fontId="13" fillId="55" borderId="0" xfId="402" applyFont="1" applyFill="1" applyAlignment="1">
      <alignment horizontal="center"/>
      <protection/>
    </xf>
    <xf numFmtId="0" fontId="17" fillId="55" borderId="0" xfId="402" applyFont="1" applyFill="1">
      <alignment/>
      <protection/>
    </xf>
    <xf numFmtId="165" fontId="7" fillId="55" borderId="0" xfId="0" applyNumberFormat="1" applyFont="1" applyFill="1" applyAlignment="1" applyProtection="1">
      <alignment horizontal="right"/>
      <protection/>
    </xf>
    <xf numFmtId="0" fontId="29" fillId="0" borderId="0" xfId="176" applyFont="1">
      <alignment/>
      <protection/>
    </xf>
    <xf numFmtId="0" fontId="28" fillId="0" borderId="0" xfId="176" applyFont="1">
      <alignment/>
      <protection/>
    </xf>
    <xf numFmtId="0" fontId="28" fillId="0" borderId="0" xfId="280" applyFont="1">
      <alignment/>
      <protection/>
    </xf>
    <xf numFmtId="164" fontId="37" fillId="55" borderId="0" xfId="0" applyNumberFormat="1" applyFont="1" applyFill="1" applyAlignment="1" applyProtection="1">
      <alignment/>
      <protection/>
    </xf>
    <xf numFmtId="164" fontId="37" fillId="55" borderId="0" xfId="0" applyNumberFormat="1" applyFont="1" applyFill="1" applyAlignment="1" applyProtection="1">
      <alignment horizontal="left"/>
      <protection/>
    </xf>
    <xf numFmtId="5" fontId="147" fillId="55" borderId="0" xfId="0" applyNumberFormat="1" applyFont="1" applyFill="1" applyAlignment="1" applyProtection="1">
      <alignment/>
      <protection/>
    </xf>
    <xf numFmtId="164" fontId="37" fillId="0" borderId="0" xfId="0" applyNumberFormat="1" applyFont="1" applyFill="1" applyAlignment="1" applyProtection="1">
      <alignment/>
      <protection/>
    </xf>
    <xf numFmtId="164" fontId="37" fillId="55" borderId="0" xfId="0" applyNumberFormat="1" applyFont="1" applyFill="1" applyAlignment="1" applyProtection="1">
      <alignment horizontal="center"/>
      <protection/>
    </xf>
    <xf numFmtId="164" fontId="39" fillId="55" borderId="0" xfId="0" applyNumberFormat="1" applyFont="1" applyFill="1" applyAlignment="1" applyProtection="1">
      <alignment horizontal="center"/>
      <protection/>
    </xf>
    <xf numFmtId="5" fontId="37" fillId="55" borderId="0" xfId="0" applyNumberFormat="1" applyFont="1" applyFill="1" applyAlignment="1" applyProtection="1">
      <alignment/>
      <protection/>
    </xf>
    <xf numFmtId="5" fontId="37" fillId="0" borderId="0" xfId="0" applyNumberFormat="1" applyFont="1" applyFill="1" applyAlignment="1" applyProtection="1">
      <alignment/>
      <protection/>
    </xf>
    <xf numFmtId="0" fontId="28" fillId="0" borderId="0" xfId="176" applyFont="1" applyAlignment="1">
      <alignment horizontal="center"/>
      <protection/>
    </xf>
    <xf numFmtId="0" fontId="28" fillId="0" borderId="16" xfId="280" applyFont="1" applyBorder="1">
      <alignment/>
      <protection/>
    </xf>
    <xf numFmtId="0" fontId="28" fillId="0" borderId="16" xfId="176" applyFont="1" applyBorder="1" applyAlignment="1">
      <alignment horizontal="center"/>
      <protection/>
    </xf>
    <xf numFmtId="0" fontId="28" fillId="0" borderId="0" xfId="176" applyFont="1" applyBorder="1">
      <alignment/>
      <protection/>
    </xf>
    <xf numFmtId="0" fontId="28" fillId="0" borderId="0" xfId="280" applyFont="1" applyBorder="1">
      <alignment/>
      <protection/>
    </xf>
    <xf numFmtId="14" fontId="7" fillId="55" borderId="0" xfId="0" applyNumberFormat="1" applyFont="1" applyFill="1" applyAlignment="1" applyProtection="1">
      <alignment horizontal="right"/>
      <protection/>
    </xf>
    <xf numFmtId="0" fontId="12" fillId="55" borderId="0" xfId="166" applyFont="1" applyFill="1">
      <alignment/>
      <protection/>
    </xf>
    <xf numFmtId="164" fontId="12" fillId="55" borderId="0" xfId="0" applyFont="1" applyFill="1" applyAlignment="1">
      <alignment/>
    </xf>
    <xf numFmtId="164" fontId="31" fillId="0" borderId="0" xfId="0" applyFont="1" applyAlignment="1">
      <alignment/>
    </xf>
    <xf numFmtId="14" fontId="7" fillId="55" borderId="0" xfId="0" applyNumberFormat="1" applyFont="1" applyFill="1" applyAlignment="1" applyProtection="1">
      <alignment horizontal="center"/>
      <protection/>
    </xf>
    <xf numFmtId="164" fontId="41" fillId="55" borderId="0" xfId="0" applyFont="1" applyFill="1" applyAlignment="1">
      <alignment/>
    </xf>
    <xf numFmtId="164" fontId="42" fillId="0" borderId="0" xfId="0" applyFont="1" applyAlignment="1">
      <alignment/>
    </xf>
    <xf numFmtId="164" fontId="40" fillId="55" borderId="0" xfId="0" applyNumberFormat="1" applyFont="1" applyFill="1" applyAlignment="1" applyProtection="1">
      <alignment horizontal="right"/>
      <protection/>
    </xf>
    <xf numFmtId="0" fontId="14" fillId="55" borderId="2" xfId="176" applyFont="1" applyFill="1" applyBorder="1" applyAlignment="1">
      <alignment horizontal="center"/>
      <protection/>
    </xf>
    <xf numFmtId="0" fontId="12" fillId="55" borderId="0" xfId="177" applyFont="1" applyFill="1">
      <alignment/>
      <protection/>
    </xf>
    <xf numFmtId="0" fontId="17" fillId="55" borderId="0" xfId="177" applyFill="1">
      <alignment/>
      <protection/>
    </xf>
    <xf numFmtId="164" fontId="6" fillId="55" borderId="0" xfId="174" applyNumberFormat="1" applyFont="1" applyFill="1" applyProtection="1">
      <alignment/>
      <protection/>
    </xf>
    <xf numFmtId="164" fontId="31" fillId="55" borderId="0" xfId="174" applyFont="1" applyFill="1">
      <alignment/>
      <protection/>
    </xf>
    <xf numFmtId="164" fontId="9" fillId="55" borderId="0" xfId="174" applyFont="1" applyFill="1">
      <alignment/>
      <protection/>
    </xf>
    <xf numFmtId="164" fontId="4" fillId="55" borderId="0" xfId="174" applyNumberFormat="1" applyFont="1" applyFill="1" applyProtection="1">
      <alignment/>
      <protection/>
    </xf>
    <xf numFmtId="164" fontId="3" fillId="55" borderId="0" xfId="174" applyNumberFormat="1" applyFont="1" applyFill="1" applyProtection="1">
      <alignment/>
      <protection/>
    </xf>
    <xf numFmtId="164" fontId="22" fillId="55" borderId="0" xfId="174" applyFont="1" applyFill="1">
      <alignment/>
      <protection/>
    </xf>
    <xf numFmtId="164" fontId="0" fillId="55" borderId="0" xfId="174" applyFill="1">
      <alignment/>
      <protection/>
    </xf>
    <xf numFmtId="49" fontId="3" fillId="55" borderId="0" xfId="174" applyNumberFormat="1" applyFont="1" applyFill="1" applyAlignment="1" applyProtection="1">
      <alignment horizontal="center"/>
      <protection/>
    </xf>
    <xf numFmtId="164" fontId="4" fillId="55" borderId="0" xfId="0" applyNumberFormat="1" applyFont="1" applyFill="1" applyBorder="1" applyAlignment="1" applyProtection="1">
      <alignment horizontal="center"/>
      <protection/>
    </xf>
    <xf numFmtId="49" fontId="13" fillId="55" borderId="0" xfId="402" applyNumberFormat="1" applyFont="1" applyFill="1" applyBorder="1" applyAlignment="1">
      <alignment horizontal="center"/>
      <protection/>
    </xf>
    <xf numFmtId="0" fontId="17" fillId="55" borderId="0" xfId="403" applyFont="1" applyFill="1" applyAlignment="1">
      <alignment horizontal="center"/>
      <protection/>
    </xf>
    <xf numFmtId="0" fontId="30" fillId="55" borderId="0" xfId="402" applyFont="1" applyFill="1">
      <alignment/>
      <protection/>
    </xf>
    <xf numFmtId="0" fontId="28" fillId="55" borderId="0" xfId="402" applyFont="1" applyFill="1" applyAlignment="1">
      <alignment horizontal="center"/>
      <protection/>
    </xf>
    <xf numFmtId="17" fontId="28" fillId="55" borderId="0" xfId="402" applyNumberFormat="1" applyFont="1" applyFill="1" applyAlignment="1">
      <alignment horizontal="center"/>
      <protection/>
    </xf>
    <xf numFmtId="164" fontId="43" fillId="55" borderId="0" xfId="0" applyFont="1" applyFill="1" applyAlignment="1">
      <alignment/>
    </xf>
    <xf numFmtId="164" fontId="44" fillId="55" borderId="0" xfId="0" applyNumberFormat="1" applyFont="1" applyFill="1" applyAlignment="1" applyProtection="1">
      <alignment/>
      <protection/>
    </xf>
    <xf numFmtId="0" fontId="30" fillId="55" borderId="0" xfId="402" applyFont="1" applyFill="1" applyAlignment="1">
      <alignment horizontal="center"/>
      <protection/>
    </xf>
    <xf numFmtId="0" fontId="28" fillId="55" borderId="0" xfId="402" applyFont="1" applyFill="1">
      <alignment/>
      <protection/>
    </xf>
    <xf numFmtId="0" fontId="29" fillId="55" borderId="0" xfId="402" applyFont="1" applyFill="1">
      <alignment/>
      <protection/>
    </xf>
    <xf numFmtId="5" fontId="30" fillId="55" borderId="0" xfId="402" applyNumberFormat="1" applyFont="1" applyFill="1">
      <alignment/>
      <protection/>
    </xf>
    <xf numFmtId="49" fontId="45" fillId="55" borderId="0" xfId="402" applyNumberFormat="1" applyFont="1" applyFill="1" applyBorder="1" applyAlignment="1" applyProtection="1">
      <alignment horizontal="center"/>
      <protection/>
    </xf>
    <xf numFmtId="169" fontId="30" fillId="55" borderId="0" xfId="402" applyNumberFormat="1" applyFont="1" applyFill="1">
      <alignment/>
      <protection/>
    </xf>
    <xf numFmtId="5" fontId="30" fillId="55" borderId="0" xfId="402" applyNumberFormat="1" applyFont="1" applyFill="1" applyBorder="1">
      <alignment/>
      <protection/>
    </xf>
    <xf numFmtId="164" fontId="34" fillId="0" borderId="0" xfId="0" applyNumberFormat="1" applyFont="1" applyAlignment="1" applyProtection="1">
      <alignment/>
      <protection/>
    </xf>
    <xf numFmtId="164" fontId="29" fillId="0" borderId="0" xfId="0" applyFont="1" applyAlignment="1">
      <alignment/>
    </xf>
    <xf numFmtId="164" fontId="34" fillId="55" borderId="0" xfId="0" applyNumberFormat="1" applyFont="1" applyFill="1" applyAlignment="1" applyProtection="1">
      <alignment/>
      <protection/>
    </xf>
    <xf numFmtId="164" fontId="45" fillId="55" borderId="0" xfId="0" applyNumberFormat="1" applyFont="1" applyFill="1" applyAlignment="1" applyProtection="1">
      <alignment horizontal="center"/>
      <protection/>
    </xf>
    <xf numFmtId="5" fontId="34" fillId="55" borderId="0" xfId="0" applyNumberFormat="1" applyFont="1" applyFill="1" applyAlignment="1" applyProtection="1">
      <alignment/>
      <protection/>
    </xf>
    <xf numFmtId="5" fontId="45" fillId="55" borderId="0" xfId="0" applyNumberFormat="1" applyFont="1" applyFill="1" applyAlignment="1" applyProtection="1">
      <alignment/>
      <protection/>
    </xf>
    <xf numFmtId="164" fontId="45" fillId="55" borderId="0" xfId="0" applyNumberFormat="1" applyFont="1" applyFill="1" applyAlignment="1" applyProtection="1">
      <alignment/>
      <protection/>
    </xf>
    <xf numFmtId="164" fontId="148" fillId="55" borderId="0" xfId="0" applyNumberFormat="1" applyFont="1" applyFill="1" applyAlignment="1" applyProtection="1">
      <alignment/>
      <protection/>
    </xf>
    <xf numFmtId="5" fontId="30" fillId="55" borderId="0" xfId="0" applyNumberFormat="1" applyFont="1" applyFill="1" applyAlignment="1" applyProtection="1">
      <alignment/>
      <protection/>
    </xf>
    <xf numFmtId="164" fontId="149" fillId="55" borderId="0" xfId="0" applyNumberFormat="1" applyFont="1" applyFill="1" applyAlignment="1" applyProtection="1">
      <alignment/>
      <protection/>
    </xf>
    <xf numFmtId="164" fontId="30" fillId="0" borderId="0" xfId="0" applyFont="1" applyAlignment="1">
      <alignment/>
    </xf>
    <xf numFmtId="10" fontId="34" fillId="55" borderId="0" xfId="0" applyNumberFormat="1" applyFont="1" applyFill="1" applyAlignment="1" applyProtection="1">
      <alignment/>
      <protection/>
    </xf>
    <xf numFmtId="164" fontId="29" fillId="55" borderId="0" xfId="0" applyFont="1" applyFill="1" applyAlignment="1">
      <alignment horizontal="center"/>
    </xf>
    <xf numFmtId="164" fontId="30" fillId="55" borderId="0" xfId="0" applyNumberFormat="1" applyFont="1" applyFill="1" applyAlignment="1" applyProtection="1">
      <alignment/>
      <protection/>
    </xf>
    <xf numFmtId="174" fontId="34" fillId="55" borderId="0" xfId="0" applyNumberFormat="1" applyFont="1" applyFill="1" applyAlignment="1" applyProtection="1">
      <alignment horizontal="right"/>
      <protection/>
    </xf>
    <xf numFmtId="164" fontId="150" fillId="55" borderId="0" xfId="0" applyFont="1" applyFill="1" applyAlignment="1">
      <alignment/>
    </xf>
    <xf numFmtId="0" fontId="30" fillId="0" borderId="0" xfId="176" applyFont="1">
      <alignment/>
      <protection/>
    </xf>
    <xf numFmtId="0" fontId="30" fillId="55" borderId="0" xfId="176" applyFont="1" applyFill="1">
      <alignment/>
      <protection/>
    </xf>
    <xf numFmtId="0" fontId="29" fillId="55" borderId="0" xfId="176" applyFont="1" applyFill="1">
      <alignment/>
      <protection/>
    </xf>
    <xf numFmtId="168" fontId="29" fillId="55" borderId="0" xfId="176" applyNumberFormat="1" applyFont="1" applyFill="1">
      <alignment/>
      <protection/>
    </xf>
    <xf numFmtId="0" fontId="29" fillId="0" borderId="0" xfId="176" applyFont="1" applyAlignment="1">
      <alignment horizontal="center"/>
      <protection/>
    </xf>
    <xf numFmtId="3" fontId="30" fillId="55" borderId="0" xfId="176" applyNumberFormat="1" applyFont="1" applyFill="1">
      <alignment/>
      <protection/>
    </xf>
    <xf numFmtId="164" fontId="45" fillId="55" borderId="0" xfId="0" applyNumberFormat="1" applyFont="1" applyFill="1" applyBorder="1" applyAlignment="1" applyProtection="1">
      <alignment/>
      <protection/>
    </xf>
    <xf numFmtId="0" fontId="29" fillId="55" borderId="0" xfId="177" applyFont="1" applyFill="1">
      <alignment/>
      <protection/>
    </xf>
    <xf numFmtId="164" fontId="17" fillId="0" borderId="0" xfId="0" applyFont="1" applyAlignment="1">
      <alignment/>
    </xf>
    <xf numFmtId="164" fontId="4" fillId="55" borderId="0" xfId="0" applyNumberFormat="1" applyFont="1" applyFill="1" applyAlignment="1" applyProtection="1">
      <alignment horizontal="center"/>
      <protection/>
    </xf>
    <xf numFmtId="164" fontId="7" fillId="55" borderId="0" xfId="0" applyNumberFormat="1" applyFont="1" applyFill="1" applyAlignment="1" applyProtection="1">
      <alignment horizontal="center"/>
      <protection/>
    </xf>
    <xf numFmtId="49" fontId="148" fillId="55" borderId="0" xfId="0" applyNumberFormat="1" applyFont="1" applyFill="1" applyAlignment="1" applyProtection="1">
      <alignment horizontal="center"/>
      <protection/>
    </xf>
    <xf numFmtId="10" fontId="45" fillId="55" borderId="0" xfId="0" applyNumberFormat="1" applyFont="1" applyFill="1" applyBorder="1" applyAlignment="1" applyProtection="1">
      <alignment/>
      <protection/>
    </xf>
    <xf numFmtId="164" fontId="4" fillId="55" borderId="0" xfId="0" applyNumberFormat="1" applyFont="1" applyFill="1" applyAlignment="1" applyProtection="1">
      <alignment horizontal="center"/>
      <protection/>
    </xf>
    <xf numFmtId="164" fontId="4" fillId="55" borderId="0" xfId="0" applyNumberFormat="1" applyFont="1" applyFill="1" applyBorder="1" applyAlignment="1" applyProtection="1">
      <alignment horizontal="center"/>
      <protection/>
    </xf>
    <xf numFmtId="164" fontId="12" fillId="0" borderId="0" xfId="0" applyFont="1" applyAlignment="1">
      <alignment/>
    </xf>
    <xf numFmtId="14" fontId="13" fillId="55" borderId="0" xfId="0" applyNumberFormat="1" applyFont="1" applyFill="1" applyAlignment="1" applyProtection="1">
      <alignment horizontal="right"/>
      <protection/>
    </xf>
    <xf numFmtId="164" fontId="144" fillId="55" borderId="0" xfId="0" applyNumberFormat="1" applyFont="1" applyFill="1" applyAlignment="1" applyProtection="1">
      <alignment/>
      <protection/>
    </xf>
    <xf numFmtId="0" fontId="14" fillId="55" borderId="0" xfId="186" applyFont="1" applyFill="1" applyAlignment="1">
      <alignment horizontal="center"/>
      <protection/>
    </xf>
    <xf numFmtId="3" fontId="14" fillId="55" borderId="0" xfId="562" applyNumberFormat="1" applyFont="1" applyFill="1" applyBorder="1" applyAlignment="1" applyProtection="1" quotePrefix="1">
      <alignment horizontal="center" vertical="center"/>
      <protection locked="0"/>
    </xf>
    <xf numFmtId="0" fontId="14" fillId="55" borderId="0" xfId="434" applyNumberFormat="1" applyFont="1" applyFill="1" applyBorder="1" applyAlignment="1" applyProtection="1">
      <alignment horizontal="center" vertical="center"/>
      <protection locked="0"/>
    </xf>
    <xf numFmtId="164" fontId="4" fillId="55" borderId="0" xfId="0" applyNumberFormat="1" applyFont="1" applyFill="1" applyAlignment="1" applyProtection="1">
      <alignment horizontal="center"/>
      <protection/>
    </xf>
    <xf numFmtId="3" fontId="30" fillId="55" borderId="0" xfId="176" applyNumberFormat="1" applyFont="1" applyFill="1" applyBorder="1">
      <alignment/>
      <protection/>
    </xf>
    <xf numFmtId="3" fontId="28" fillId="55" borderId="0" xfId="176" applyNumberFormat="1" applyFont="1" applyFill="1">
      <alignment/>
      <protection/>
    </xf>
    <xf numFmtId="3" fontId="30" fillId="55" borderId="0" xfId="53" applyNumberFormat="1" applyFont="1" applyFill="1" applyBorder="1" applyAlignment="1">
      <alignment/>
    </xf>
    <xf numFmtId="14" fontId="13" fillId="55" borderId="0" xfId="0" applyNumberFormat="1" applyFont="1" applyFill="1" applyAlignment="1" applyProtection="1">
      <alignment horizontal="left"/>
      <protection/>
    </xf>
    <xf numFmtId="164" fontId="4" fillId="55" borderId="0" xfId="174" applyNumberFormat="1" applyFont="1" applyFill="1" applyAlignment="1" applyProtection="1">
      <alignment horizontal="center"/>
      <protection/>
    </xf>
    <xf numFmtId="14" fontId="13" fillId="55" borderId="0" xfId="174" applyNumberFormat="1" applyFont="1" applyFill="1" applyAlignment="1" applyProtection="1">
      <alignment horizontal="right"/>
      <protection/>
    </xf>
    <xf numFmtId="164" fontId="7" fillId="55" borderId="0" xfId="174" applyNumberFormat="1" applyFont="1" applyFill="1" applyAlignment="1" applyProtection="1">
      <alignment horizontal="right"/>
      <protection/>
    </xf>
    <xf numFmtId="14" fontId="4" fillId="55" borderId="0" xfId="174" applyNumberFormat="1" applyFont="1" applyFill="1" applyAlignment="1" applyProtection="1">
      <alignment horizontal="center"/>
      <protection/>
    </xf>
    <xf numFmtId="164" fontId="4" fillId="55" borderId="0" xfId="174" applyNumberFormat="1" applyFont="1" applyFill="1" applyAlignment="1" applyProtection="1">
      <alignment/>
      <protection/>
    </xf>
    <xf numFmtId="164" fontId="4" fillId="55" borderId="0" xfId="174" applyNumberFormat="1" applyFont="1" applyFill="1" applyBorder="1" applyAlignment="1" applyProtection="1">
      <alignment/>
      <protection/>
    </xf>
    <xf numFmtId="164" fontId="44" fillId="55" borderId="0" xfId="174" applyNumberFormat="1" applyFont="1" applyFill="1" applyAlignment="1" applyProtection="1">
      <alignment horizontal="center"/>
      <protection/>
    </xf>
    <xf numFmtId="164" fontId="44" fillId="55" borderId="0" xfId="174" applyNumberFormat="1" applyFont="1" applyFill="1" applyAlignment="1" applyProtection="1">
      <alignment/>
      <protection/>
    </xf>
    <xf numFmtId="164" fontId="29" fillId="55" borderId="0" xfId="174" applyFont="1" applyFill="1">
      <alignment/>
      <protection/>
    </xf>
    <xf numFmtId="164" fontId="30" fillId="55" borderId="0" xfId="174" applyFont="1" applyFill="1">
      <alignment/>
      <protection/>
    </xf>
    <xf numFmtId="10" fontId="28" fillId="55" borderId="0" xfId="407" applyNumberFormat="1" applyFont="1" applyFill="1" applyBorder="1" applyAlignment="1">
      <alignment horizontal="center"/>
    </xf>
    <xf numFmtId="164" fontId="0" fillId="55" borderId="0" xfId="174" applyFont="1" applyFill="1">
      <alignment/>
      <protection/>
    </xf>
    <xf numFmtId="164" fontId="4" fillId="55" borderId="0" xfId="0" applyNumberFormat="1" applyFont="1" applyFill="1" applyAlignment="1" applyProtection="1">
      <alignment horizontal="center"/>
      <protection/>
    </xf>
    <xf numFmtId="164" fontId="7" fillId="0" borderId="0" xfId="0" applyNumberFormat="1" applyFont="1" applyBorder="1" applyAlignment="1" applyProtection="1">
      <alignment horizontal="center"/>
      <protection/>
    </xf>
    <xf numFmtId="164" fontId="53" fillId="55" borderId="0" xfId="0" applyNumberFormat="1" applyFont="1" applyFill="1" applyAlignment="1" applyProtection="1">
      <alignment/>
      <protection/>
    </xf>
    <xf numFmtId="164" fontId="45" fillId="55" borderId="0" xfId="0" applyNumberFormat="1" applyFont="1" applyFill="1" applyAlignment="1" applyProtection="1">
      <alignment/>
      <protection/>
    </xf>
    <xf numFmtId="164" fontId="7" fillId="0" borderId="0" xfId="0" applyNumberFormat="1" applyFont="1" applyAlignment="1" applyProtection="1">
      <alignment/>
      <protection/>
    </xf>
    <xf numFmtId="4" fontId="0" fillId="55" borderId="0" xfId="0" applyNumberFormat="1" applyFill="1" applyAlignment="1">
      <alignment/>
    </xf>
    <xf numFmtId="167" fontId="30" fillId="55" borderId="0" xfId="402" applyNumberFormat="1" applyFont="1" applyFill="1">
      <alignment/>
      <protection/>
    </xf>
    <xf numFmtId="165" fontId="40" fillId="55" borderId="0" xfId="0" applyNumberFormat="1" applyFont="1" applyFill="1" applyAlignment="1" applyProtection="1">
      <alignment horizontal="right"/>
      <protection/>
    </xf>
    <xf numFmtId="164" fontId="55" fillId="0" borderId="0" xfId="0" applyFont="1" applyAlignment="1">
      <alignment/>
    </xf>
    <xf numFmtId="164" fontId="56" fillId="55" borderId="0" xfId="0" applyNumberFormat="1" applyFont="1" applyFill="1" applyAlignment="1" applyProtection="1">
      <alignment/>
      <protection/>
    </xf>
    <xf numFmtId="164" fontId="40" fillId="55" borderId="0" xfId="0" applyNumberFormat="1" applyFont="1" applyFill="1" applyBorder="1" applyAlignment="1" applyProtection="1">
      <alignment horizontal="center"/>
      <protection/>
    </xf>
    <xf numFmtId="0" fontId="50" fillId="0" borderId="0" xfId="176" applyFont="1">
      <alignment/>
      <protection/>
    </xf>
    <xf numFmtId="0" fontId="50" fillId="0" borderId="16" xfId="176" applyFont="1" applyBorder="1">
      <alignment/>
      <protection/>
    </xf>
    <xf numFmtId="0" fontId="35" fillId="0" borderId="0" xfId="176" applyFont="1">
      <alignment/>
      <protection/>
    </xf>
    <xf numFmtId="164" fontId="57" fillId="55" borderId="0" xfId="0" applyNumberFormat="1" applyFont="1" applyFill="1" applyAlignment="1" applyProtection="1">
      <alignment/>
      <protection/>
    </xf>
    <xf numFmtId="164" fontId="57" fillId="55" borderId="0" xfId="0" applyNumberFormat="1" applyFont="1" applyFill="1" applyAlignment="1" applyProtection="1">
      <alignment horizontal="left"/>
      <protection/>
    </xf>
    <xf numFmtId="164" fontId="56" fillId="55" borderId="0" xfId="0" applyNumberFormat="1" applyFont="1" applyFill="1" applyAlignment="1" applyProtection="1">
      <alignment horizontal="left"/>
      <protection/>
    </xf>
    <xf numFmtId="164" fontId="40" fillId="55" borderId="0" xfId="0" applyNumberFormat="1" applyFont="1" applyFill="1" applyAlignment="1" applyProtection="1">
      <alignment/>
      <protection/>
    </xf>
    <xf numFmtId="164" fontId="151" fillId="55" borderId="0" xfId="0" applyNumberFormat="1" applyFont="1" applyFill="1" applyAlignment="1" applyProtection="1">
      <alignment/>
      <protection/>
    </xf>
    <xf numFmtId="4" fontId="9" fillId="55" borderId="0" xfId="0" applyNumberFormat="1" applyFont="1" applyFill="1" applyAlignment="1">
      <alignment/>
    </xf>
    <xf numFmtId="4" fontId="3" fillId="55" borderId="0" xfId="0" applyNumberFormat="1" applyFont="1" applyFill="1" applyAlignment="1" applyProtection="1">
      <alignment/>
      <protection/>
    </xf>
    <xf numFmtId="4" fontId="4" fillId="55" borderId="0" xfId="0" applyNumberFormat="1" applyFont="1" applyFill="1" applyBorder="1" applyAlignment="1" applyProtection="1">
      <alignment horizontal="center"/>
      <protection/>
    </xf>
    <xf numFmtId="4" fontId="28" fillId="0" borderId="0" xfId="280" applyNumberFormat="1" applyFont="1">
      <alignment/>
      <protection/>
    </xf>
    <xf numFmtId="4" fontId="28" fillId="0" borderId="0" xfId="280" applyNumberFormat="1" applyFont="1" applyAlignment="1">
      <alignment horizontal="center"/>
      <protection/>
    </xf>
    <xf numFmtId="4" fontId="28" fillId="0" borderId="16" xfId="280" applyNumberFormat="1" applyFont="1" applyBorder="1" applyAlignment="1">
      <alignment horizontal="center"/>
      <protection/>
    </xf>
    <xf numFmtId="4" fontId="29" fillId="0" borderId="0" xfId="176" applyNumberFormat="1" applyFont="1">
      <alignment/>
      <protection/>
    </xf>
    <xf numFmtId="4" fontId="37" fillId="55" borderId="0" xfId="0" applyNumberFormat="1" applyFont="1" applyFill="1" applyAlignment="1" applyProtection="1">
      <alignment/>
      <protection/>
    </xf>
    <xf numFmtId="168" fontId="12" fillId="0" borderId="0" xfId="48" applyNumberFormat="1" applyFont="1" applyFill="1" applyBorder="1" applyAlignment="1">
      <alignment/>
    </xf>
    <xf numFmtId="43" fontId="17" fillId="55" borderId="0" xfId="44" applyFont="1" applyFill="1" applyAlignment="1">
      <alignment/>
    </xf>
    <xf numFmtId="164" fontId="4" fillId="55" borderId="0" xfId="0" applyNumberFormat="1" applyFont="1" applyFill="1" applyAlignment="1" applyProtection="1">
      <alignment horizontal="center"/>
      <protection/>
    </xf>
    <xf numFmtId="176" fontId="17" fillId="0" borderId="0" xfId="420" applyNumberFormat="1" applyFont="1" applyFill="1" applyBorder="1">
      <alignment vertical="center"/>
    </xf>
    <xf numFmtId="177" fontId="60" fillId="0" borderId="0" xfId="342" applyFont="1" applyFill="1" applyBorder="1" applyAlignment="1">
      <alignment/>
    </xf>
    <xf numFmtId="177" fontId="60" fillId="0" borderId="0" xfId="342" applyFont="1" applyFill="1" applyBorder="1" applyAlignment="1">
      <alignment horizontal="right"/>
    </xf>
    <xf numFmtId="0" fontId="60" fillId="0" borderId="0" xfId="342" applyNumberFormat="1" applyFont="1" applyFill="1" applyBorder="1" applyAlignment="1" applyProtection="1">
      <alignment horizontal="center"/>
      <protection locked="0"/>
    </xf>
    <xf numFmtId="0" fontId="60" fillId="0" borderId="0" xfId="342" applyNumberFormat="1" applyFont="1" applyFill="1" applyBorder="1" applyAlignment="1" applyProtection="1">
      <alignment/>
      <protection locked="0"/>
    </xf>
    <xf numFmtId="0" fontId="60" fillId="0" borderId="0" xfId="342" applyNumberFormat="1" applyFont="1" applyFill="1" applyBorder="1">
      <alignment/>
    </xf>
    <xf numFmtId="0" fontId="61" fillId="0" borderId="0" xfId="342" applyNumberFormat="1" applyFont="1" applyFill="1" applyBorder="1">
      <alignment/>
    </xf>
    <xf numFmtId="0" fontId="60" fillId="0" borderId="0" xfId="342" applyNumberFormat="1" applyFont="1" applyFill="1" applyBorder="1" applyProtection="1">
      <alignment/>
      <protection locked="0"/>
    </xf>
    <xf numFmtId="0" fontId="61" fillId="0" borderId="0" xfId="342" applyNumberFormat="1" applyFont="1" applyFill="1" applyBorder="1" applyAlignment="1">
      <alignment horizontal="center"/>
    </xf>
    <xf numFmtId="49" fontId="60" fillId="0" borderId="0" xfId="342" applyNumberFormat="1" applyFont="1" applyFill="1" applyBorder="1">
      <alignment/>
    </xf>
    <xf numFmtId="177" fontId="59" fillId="0" borderId="0" xfId="342" applyFill="1" applyBorder="1" applyAlignment="1">
      <alignment/>
    </xf>
    <xf numFmtId="0" fontId="12" fillId="0" borderId="0" xfId="342" applyNumberFormat="1" applyFont="1" applyFill="1" applyBorder="1">
      <alignment/>
    </xf>
    <xf numFmtId="3" fontId="60" fillId="0" borderId="0" xfId="342" applyNumberFormat="1" applyFont="1" applyFill="1" applyBorder="1" applyAlignment="1">
      <alignment/>
    </xf>
    <xf numFmtId="0" fontId="60" fillId="0" borderId="0" xfId="342" applyNumberFormat="1" applyFont="1" applyFill="1" applyBorder="1" applyAlignment="1">
      <alignment horizontal="center"/>
    </xf>
    <xf numFmtId="177" fontId="60" fillId="0" borderId="0" xfId="342" applyFont="1" applyFill="1" applyBorder="1" applyAlignment="1">
      <alignment horizontal="center"/>
    </xf>
    <xf numFmtId="0" fontId="62" fillId="0" borderId="0" xfId="342" applyNumberFormat="1" applyFont="1" applyFill="1" applyBorder="1" applyAlignment="1">
      <alignment/>
    </xf>
    <xf numFmtId="177" fontId="63" fillId="0" borderId="0" xfId="342" applyFont="1" applyFill="1" applyBorder="1" applyAlignment="1">
      <alignment/>
    </xf>
    <xf numFmtId="3" fontId="63" fillId="0" borderId="0" xfId="342" applyNumberFormat="1" applyFont="1" applyFill="1" applyBorder="1" applyAlignment="1">
      <alignment/>
    </xf>
    <xf numFmtId="49" fontId="63" fillId="0" borderId="0" xfId="342" applyNumberFormat="1" applyFont="1" applyFill="1" applyBorder="1" applyAlignment="1">
      <alignment horizontal="center"/>
    </xf>
    <xf numFmtId="177" fontId="63" fillId="0" borderId="0" xfId="342" applyFont="1" applyFill="1" applyBorder="1" applyAlignment="1">
      <alignment horizontal="center"/>
    </xf>
    <xf numFmtId="177" fontId="63" fillId="0" borderId="0" xfId="342" applyFont="1" applyFill="1" applyBorder="1" applyAlignment="1">
      <alignment horizontal="left"/>
    </xf>
    <xf numFmtId="10" fontId="63" fillId="0" borderId="0" xfId="342" applyNumberFormat="1" applyFont="1" applyFill="1" applyBorder="1" applyAlignment="1">
      <alignment/>
    </xf>
    <xf numFmtId="0" fontId="63" fillId="0" borderId="0" xfId="342" applyNumberFormat="1" applyFont="1" applyFill="1" applyBorder="1" applyAlignment="1">
      <alignment horizontal="right"/>
    </xf>
    <xf numFmtId="49" fontId="63" fillId="0" borderId="0" xfId="342" applyNumberFormat="1" applyFont="1" applyFill="1" applyBorder="1" applyAlignment="1">
      <alignment horizontal="left"/>
    </xf>
    <xf numFmtId="177" fontId="60" fillId="0" borderId="0" xfId="399" applyFont="1" applyFill="1" applyBorder="1" applyAlignment="1">
      <alignment/>
    </xf>
    <xf numFmtId="168" fontId="64" fillId="0" borderId="0" xfId="53" applyNumberFormat="1" applyFont="1" applyAlignment="1">
      <alignment/>
    </xf>
    <xf numFmtId="177" fontId="64" fillId="0" borderId="0" xfId="342" applyFont="1" applyAlignment="1">
      <alignment/>
    </xf>
    <xf numFmtId="0" fontId="64" fillId="0" borderId="0" xfId="342" applyNumberFormat="1" applyFont="1" applyFill="1" applyBorder="1" applyAlignment="1" applyProtection="1">
      <alignment/>
      <protection locked="0"/>
    </xf>
    <xf numFmtId="0" fontId="64" fillId="0" borderId="0" xfId="342" applyNumberFormat="1" applyFont="1" applyFill="1" applyBorder="1" applyAlignment="1" applyProtection="1">
      <alignment horizontal="center"/>
      <protection locked="0"/>
    </xf>
    <xf numFmtId="0" fontId="64" fillId="0" borderId="0" xfId="342" applyNumberFormat="1" applyFont="1" applyFill="1" applyAlignment="1">
      <alignment horizontal="right"/>
    </xf>
    <xf numFmtId="177" fontId="59" fillId="0" borderId="0" xfId="342" applyAlignment="1">
      <alignment/>
    </xf>
    <xf numFmtId="177" fontId="64" fillId="0" borderId="0" xfId="342" applyFont="1" applyFill="1" applyAlignment="1">
      <alignment/>
    </xf>
    <xf numFmtId="167" fontId="64" fillId="0" borderId="0" xfId="342" applyNumberFormat="1" applyFont="1" applyAlignment="1">
      <alignment/>
    </xf>
    <xf numFmtId="168" fontId="64" fillId="0" borderId="0" xfId="53" applyNumberFormat="1" applyFont="1" applyAlignment="1">
      <alignment horizontal="center"/>
    </xf>
    <xf numFmtId="168" fontId="60" fillId="0" borderId="0" xfId="53" applyNumberFormat="1" applyFont="1" applyAlignment="1">
      <alignment horizontal="center"/>
    </xf>
    <xf numFmtId="177" fontId="60" fillId="0" borderId="0" xfId="342" applyFont="1">
      <alignment/>
    </xf>
    <xf numFmtId="177" fontId="59" fillId="0" borderId="0" xfId="342">
      <alignment/>
    </xf>
    <xf numFmtId="177" fontId="60" fillId="0" borderId="0" xfId="342" applyFont="1" applyAlignment="1">
      <alignment/>
    </xf>
    <xf numFmtId="177" fontId="12" fillId="0" borderId="0" xfId="342" applyFont="1" applyAlignment="1">
      <alignment/>
    </xf>
    <xf numFmtId="0" fontId="12" fillId="0" borderId="0" xfId="400" applyFont="1">
      <alignment/>
      <protection/>
    </xf>
    <xf numFmtId="177" fontId="17" fillId="0" borderId="0" xfId="342" applyFont="1" applyFill="1" applyAlignment="1">
      <alignment vertical="top" wrapText="1"/>
    </xf>
    <xf numFmtId="0" fontId="65" fillId="0" borderId="0" xfId="342" applyNumberFormat="1" applyFont="1" applyFill="1" applyBorder="1" applyAlignment="1" applyProtection="1">
      <alignment horizontal="center"/>
      <protection locked="0"/>
    </xf>
    <xf numFmtId="177" fontId="65" fillId="0" borderId="0" xfId="342" applyFont="1" applyFill="1" applyBorder="1" applyAlignment="1">
      <alignment/>
    </xf>
    <xf numFmtId="0" fontId="65" fillId="0" borderId="0" xfId="342" applyNumberFormat="1" applyFont="1" applyFill="1" applyBorder="1">
      <alignment/>
    </xf>
    <xf numFmtId="49" fontId="65" fillId="0" borderId="0" xfId="342" applyNumberFormat="1" applyFont="1" applyFill="1" applyBorder="1">
      <alignment/>
    </xf>
    <xf numFmtId="177" fontId="64" fillId="0" borderId="0" xfId="342" applyFont="1" applyFill="1" applyBorder="1" applyAlignment="1">
      <alignment/>
    </xf>
    <xf numFmtId="0" fontId="64" fillId="0" borderId="0" xfId="342" applyNumberFormat="1" applyFont="1" applyFill="1" applyBorder="1">
      <alignment/>
    </xf>
    <xf numFmtId="0" fontId="12" fillId="0" borderId="0" xfId="397" applyNumberFormat="1" applyFont="1">
      <alignment/>
    </xf>
    <xf numFmtId="0" fontId="12" fillId="0" borderId="0" xfId="397" applyFont="1" applyAlignment="1">
      <alignment/>
    </xf>
    <xf numFmtId="3" fontId="12" fillId="0" borderId="0" xfId="397" applyNumberFormat="1" applyFont="1" applyAlignment="1">
      <alignment/>
    </xf>
    <xf numFmtId="42" fontId="12" fillId="0" borderId="17" xfId="397" applyNumberFormat="1" applyFont="1" applyBorder="1" applyAlignment="1" applyProtection="1">
      <alignment horizontal="right"/>
      <protection locked="0"/>
    </xf>
    <xf numFmtId="164" fontId="7" fillId="55" borderId="0" xfId="0" applyNumberFormat="1" applyFont="1" applyFill="1" applyBorder="1" applyAlignment="1" applyProtection="1">
      <alignment/>
      <protection locked="0"/>
    </xf>
    <xf numFmtId="0" fontId="12" fillId="0" borderId="0" xfId="352" applyFont="1">
      <alignment/>
      <protection/>
    </xf>
    <xf numFmtId="0" fontId="12" fillId="56" borderId="18" xfId="352" applyFont="1" applyFill="1" applyBorder="1">
      <alignment/>
      <protection/>
    </xf>
    <xf numFmtId="0" fontId="13" fillId="56" borderId="18" xfId="352" applyFont="1" applyFill="1" applyBorder="1">
      <alignment/>
      <protection/>
    </xf>
    <xf numFmtId="0" fontId="12" fillId="56" borderId="1" xfId="352" applyFont="1" applyFill="1" applyBorder="1">
      <alignment/>
      <protection/>
    </xf>
    <xf numFmtId="0" fontId="12" fillId="56" borderId="18" xfId="352" applyFont="1" applyFill="1" applyBorder="1">
      <alignment/>
      <protection/>
    </xf>
    <xf numFmtId="0" fontId="13" fillId="56" borderId="19" xfId="352" applyFont="1" applyFill="1" applyBorder="1">
      <alignment/>
      <protection/>
    </xf>
    <xf numFmtId="5" fontId="28" fillId="55" borderId="0" xfId="402" applyNumberFormat="1" applyFont="1" applyFill="1" applyBorder="1">
      <alignment/>
      <protection/>
    </xf>
    <xf numFmtId="170" fontId="17" fillId="55" borderId="0" xfId="0" applyNumberFormat="1" applyFont="1" applyFill="1" applyAlignment="1">
      <alignment horizontal="left" indent="2"/>
    </xf>
    <xf numFmtId="170" fontId="0" fillId="55" borderId="0" xfId="0" applyNumberFormat="1" applyFill="1" applyAlignment="1">
      <alignment/>
    </xf>
    <xf numFmtId="170" fontId="17" fillId="55" borderId="0" xfId="0" applyNumberFormat="1" applyFont="1" applyFill="1" applyAlignment="1">
      <alignment horizontal="left" indent="8"/>
    </xf>
    <xf numFmtId="170" fontId="17" fillId="55" borderId="0" xfId="0" applyNumberFormat="1" applyFont="1" applyFill="1" applyAlignment="1">
      <alignment/>
    </xf>
    <xf numFmtId="170" fontId="17" fillId="55" borderId="0" xfId="0" applyNumberFormat="1" applyFont="1" applyFill="1" applyAlignment="1">
      <alignment horizontal="left" indent="4"/>
    </xf>
    <xf numFmtId="170" fontId="17" fillId="55" borderId="0" xfId="0" applyNumberFormat="1" applyFont="1" applyFill="1" applyAlignment="1">
      <alignment horizontal="left" indent="6"/>
    </xf>
    <xf numFmtId="170" fontId="0" fillId="55" borderId="0" xfId="0" applyNumberFormat="1" applyFill="1" applyAlignment="1">
      <alignment horizontal="left" indent="8"/>
    </xf>
    <xf numFmtId="164" fontId="14" fillId="55" borderId="0" xfId="0" applyFont="1" applyFill="1" applyAlignment="1">
      <alignment horizontal="left"/>
    </xf>
    <xf numFmtId="167" fontId="28" fillId="55" borderId="0" xfId="402" applyNumberFormat="1" applyFont="1" applyFill="1" applyBorder="1">
      <alignment/>
      <protection/>
    </xf>
    <xf numFmtId="170" fontId="17" fillId="55" borderId="0" xfId="0" applyNumberFormat="1" applyFont="1" applyFill="1" applyAlignment="1">
      <alignment horizontal="left" indent="3"/>
    </xf>
    <xf numFmtId="44" fontId="17" fillId="55" borderId="0" xfId="0" applyNumberFormat="1" applyFont="1" applyFill="1" applyAlignment="1">
      <alignment horizontal="left"/>
    </xf>
    <xf numFmtId="170" fontId="14" fillId="55" borderId="0" xfId="0" applyNumberFormat="1" applyFont="1" applyFill="1" applyAlignment="1">
      <alignment horizontal="left"/>
    </xf>
    <xf numFmtId="0" fontId="13" fillId="55" borderId="0" xfId="402" applyFont="1" applyFill="1">
      <alignment/>
      <protection/>
    </xf>
    <xf numFmtId="167" fontId="28" fillId="55" borderId="0" xfId="77" applyNumberFormat="1" applyFont="1" applyFill="1" applyBorder="1" applyAlignment="1">
      <alignment/>
    </xf>
    <xf numFmtId="0" fontId="12" fillId="55" borderId="0" xfId="352" applyFont="1" applyFill="1">
      <alignment/>
      <protection/>
    </xf>
    <xf numFmtId="0" fontId="152" fillId="55" borderId="0" xfId="308" applyFont="1" applyFill="1">
      <alignment/>
      <protection/>
    </xf>
    <xf numFmtId="0" fontId="12" fillId="55" borderId="0" xfId="352" applyFont="1" applyFill="1" applyBorder="1">
      <alignment/>
      <protection/>
    </xf>
    <xf numFmtId="164" fontId="0" fillId="0" borderId="20" xfId="0" applyBorder="1" applyAlignment="1">
      <alignment/>
    </xf>
    <xf numFmtId="0" fontId="17" fillId="55" borderId="11" xfId="437" applyNumberFormat="1" applyFill="1" applyProtection="1" quotePrefix="1">
      <alignment horizontal="left" vertical="center" indent="1"/>
      <protection locked="0"/>
    </xf>
    <xf numFmtId="0" fontId="17" fillId="55" borderId="11" xfId="437" applyNumberFormat="1" applyFill="1" applyAlignment="1" applyProtection="1" quotePrefix="1">
      <alignment horizontal="center" vertical="center"/>
      <protection locked="0"/>
    </xf>
    <xf numFmtId="168" fontId="17" fillId="55" borderId="11" xfId="44" applyNumberFormat="1" applyFont="1" applyFill="1" applyBorder="1" applyAlignment="1" applyProtection="1" quotePrefix="1">
      <alignment horizontal="center" vertical="center"/>
      <protection locked="0"/>
    </xf>
    <xf numFmtId="0" fontId="123" fillId="55" borderId="0" xfId="358" applyFill="1">
      <alignment/>
      <protection/>
    </xf>
    <xf numFmtId="0" fontId="153" fillId="55" borderId="0" xfId="358" applyFont="1" applyFill="1">
      <alignment/>
      <protection/>
    </xf>
    <xf numFmtId="186" fontId="123" fillId="55" borderId="0" xfId="358" applyNumberFormat="1" applyFill="1">
      <alignment/>
      <protection/>
    </xf>
    <xf numFmtId="0" fontId="123" fillId="55" borderId="0" xfId="298" applyFill="1">
      <alignment/>
      <protection/>
    </xf>
    <xf numFmtId="168" fontId="123" fillId="55" borderId="0" xfId="44" applyNumberFormat="1" applyFont="1" applyFill="1" applyAlignment="1">
      <alignment/>
    </xf>
    <xf numFmtId="0" fontId="154" fillId="55" borderId="0" xfId="567" applyFont="1" applyFill="1" quotePrefix="1">
      <alignment/>
      <protection/>
    </xf>
    <xf numFmtId="0" fontId="19" fillId="55" borderId="0" xfId="567" applyFill="1">
      <alignment/>
      <protection/>
    </xf>
    <xf numFmtId="168" fontId="123" fillId="55" borderId="0" xfId="44" applyNumberFormat="1" applyFont="1" applyFill="1" applyAlignment="1">
      <alignment/>
    </xf>
    <xf numFmtId="0" fontId="123" fillId="55" borderId="0" xfId="322" applyFill="1">
      <alignment/>
      <protection/>
    </xf>
    <xf numFmtId="0" fontId="123" fillId="55" borderId="0" xfId="298" applyFill="1" applyAlignment="1">
      <alignment horizontal="center"/>
      <protection/>
    </xf>
    <xf numFmtId="168" fontId="17" fillId="55" borderId="11" xfId="44" applyNumberFormat="1" applyFont="1" applyFill="1" applyBorder="1" applyAlignment="1" applyProtection="1" quotePrefix="1">
      <alignment horizontal="left" vertical="center" indent="1"/>
      <protection locked="0"/>
    </xf>
    <xf numFmtId="168" fontId="17" fillId="55" borderId="11" xfId="44" applyNumberFormat="1" applyFont="1" applyFill="1" applyBorder="1" applyAlignment="1" applyProtection="1">
      <alignment horizontal="left" vertical="center" indent="1"/>
      <protection locked="0"/>
    </xf>
    <xf numFmtId="0" fontId="17" fillId="55" borderId="20" xfId="95" applyFill="1" applyBorder="1" applyAlignment="1">
      <alignment horizontal="left"/>
      <protection/>
    </xf>
    <xf numFmtId="0" fontId="17" fillId="55" borderId="20" xfId="96" applyFill="1" applyBorder="1" applyAlignment="1">
      <alignment horizontal="left"/>
      <protection/>
    </xf>
    <xf numFmtId="0" fontId="17" fillId="55" borderId="11" xfId="559" applyNumberFormat="1" applyFill="1" quotePrefix="1">
      <alignment horizontal="left" vertical="center" indent="1"/>
    </xf>
    <xf numFmtId="0" fontId="2" fillId="55" borderId="11" xfId="428" applyNumberFormat="1" applyFill="1" quotePrefix="1">
      <alignment horizontal="left" vertical="center" indent="1"/>
    </xf>
    <xf numFmtId="0" fontId="2" fillId="55" borderId="11" xfId="428" applyNumberFormat="1" applyFill="1">
      <alignment horizontal="left" vertical="center" indent="1"/>
    </xf>
    <xf numFmtId="168" fontId="123" fillId="55" borderId="21" xfId="298" applyNumberFormat="1" applyFill="1" applyBorder="1">
      <alignment/>
      <protection/>
    </xf>
    <xf numFmtId="168" fontId="123" fillId="55" borderId="22" xfId="298" applyNumberFormat="1" applyFill="1" applyBorder="1">
      <alignment/>
      <protection/>
    </xf>
    <xf numFmtId="164" fontId="7" fillId="55" borderId="0" xfId="0" applyNumberFormat="1" applyFont="1" applyFill="1" applyAlignment="1" applyProtection="1">
      <alignment horizontal="centerContinuous"/>
      <protection/>
    </xf>
    <xf numFmtId="164" fontId="0" fillId="55" borderId="0" xfId="0" applyFill="1" applyAlignment="1">
      <alignment horizontal="centerContinuous"/>
    </xf>
    <xf numFmtId="164" fontId="7" fillId="55" borderId="0" xfId="0" applyNumberFormat="1" applyFont="1" applyFill="1" applyBorder="1" applyAlignment="1" applyProtection="1">
      <alignment horizontal="centerContinuous"/>
      <protection/>
    </xf>
    <xf numFmtId="164" fontId="7" fillId="55" borderId="0" xfId="0" applyNumberFormat="1" applyFont="1" applyFill="1" applyAlignment="1" applyProtection="1">
      <alignment horizontal="center"/>
      <protection/>
    </xf>
    <xf numFmtId="164" fontId="0" fillId="0" borderId="0" xfId="0" applyFill="1" applyAlignment="1">
      <alignment/>
    </xf>
    <xf numFmtId="177" fontId="60" fillId="0" borderId="0" xfId="0" applyNumberFormat="1" applyFont="1" applyFill="1" applyBorder="1" applyAlignment="1" applyProtection="1">
      <alignment/>
      <protection/>
    </xf>
    <xf numFmtId="0" fontId="60" fillId="0" borderId="0" xfId="53" applyNumberFormat="1" applyFont="1" applyFill="1" applyAlignment="1">
      <alignment horizontal="center" vertical="top"/>
    </xf>
    <xf numFmtId="177" fontId="60" fillId="0" borderId="0" xfId="342" applyFont="1" applyFill="1" applyBorder="1" applyAlignment="1">
      <alignment horizontal="center" vertical="top"/>
    </xf>
    <xf numFmtId="0" fontId="60" fillId="0" borderId="0" xfId="53" applyNumberFormat="1" applyFont="1" applyFill="1" applyAlignment="1">
      <alignment horizontal="center"/>
    </xf>
    <xf numFmtId="0" fontId="60" fillId="0" borderId="0" xfId="0" applyNumberFormat="1" applyFont="1" applyAlignment="1">
      <alignment horizontal="center" vertical="top"/>
    </xf>
    <xf numFmtId="168" fontId="29" fillId="55" borderId="0" xfId="53" applyNumberFormat="1" applyFont="1" applyFill="1" applyAlignment="1">
      <alignment horizontal="center"/>
    </xf>
    <xf numFmtId="164" fontId="29" fillId="55" borderId="0" xfId="0" applyFont="1" applyFill="1" applyAlignment="1">
      <alignment/>
    </xf>
    <xf numFmtId="164" fontId="0" fillId="0" borderId="0" xfId="0" applyFill="1" applyBorder="1" applyAlignment="1">
      <alignment/>
    </xf>
    <xf numFmtId="164" fontId="13" fillId="55" borderId="0" xfId="0" applyFont="1" applyFill="1" applyAlignment="1">
      <alignment/>
    </xf>
    <xf numFmtId="0" fontId="140" fillId="55" borderId="23" xfId="298" applyFont="1" applyFill="1" applyBorder="1" applyAlignment="1">
      <alignment horizontal="center"/>
      <protection/>
    </xf>
    <xf numFmtId="0" fontId="140" fillId="55" borderId="21" xfId="298" applyFont="1" applyFill="1" applyBorder="1" applyAlignment="1">
      <alignment horizontal="center"/>
      <protection/>
    </xf>
    <xf numFmtId="164" fontId="0" fillId="55" borderId="22" xfId="0" applyFill="1" applyBorder="1" applyAlignment="1">
      <alignment/>
    </xf>
    <xf numFmtId="0" fontId="14" fillId="55" borderId="24" xfId="96" applyFont="1" applyFill="1" applyBorder="1" applyAlignment="1">
      <alignment horizontal="left"/>
      <protection/>
    </xf>
    <xf numFmtId="168" fontId="140" fillId="55" borderId="22" xfId="298" applyNumberFormat="1" applyFont="1" applyFill="1" applyBorder="1">
      <alignment/>
      <protection/>
    </xf>
    <xf numFmtId="0" fontId="14" fillId="55" borderId="25" xfId="96" applyFont="1" applyFill="1" applyBorder="1" applyAlignment="1">
      <alignment horizontal="left"/>
      <protection/>
    </xf>
    <xf numFmtId="164" fontId="0" fillId="55" borderId="23" xfId="0" applyFill="1" applyBorder="1" applyAlignment="1">
      <alignment/>
    </xf>
    <xf numFmtId="0" fontId="14" fillId="55" borderId="20" xfId="96" applyFont="1" applyFill="1" applyBorder="1" applyAlignment="1">
      <alignment horizontal="left"/>
      <protection/>
    </xf>
    <xf numFmtId="168" fontId="123" fillId="55" borderId="26" xfId="298" applyNumberFormat="1" applyFill="1" applyBorder="1">
      <alignment/>
      <protection/>
    </xf>
    <xf numFmtId="164" fontId="73" fillId="55" borderId="23" xfId="0" applyFont="1" applyFill="1" applyBorder="1" applyAlignment="1">
      <alignment horizontal="center"/>
    </xf>
    <xf numFmtId="0" fontId="14" fillId="55" borderId="27" xfId="96" applyFont="1" applyFill="1" applyBorder="1" applyAlignment="1">
      <alignment horizontal="left"/>
      <protection/>
    </xf>
    <xf numFmtId="168" fontId="123" fillId="55" borderId="28" xfId="298" applyNumberFormat="1" applyFill="1" applyBorder="1">
      <alignment/>
      <protection/>
    </xf>
    <xf numFmtId="168" fontId="140" fillId="55" borderId="28" xfId="298" applyNumberFormat="1" applyFont="1" applyFill="1" applyBorder="1">
      <alignment/>
      <protection/>
    </xf>
    <xf numFmtId="168" fontId="140" fillId="55" borderId="21" xfId="298" applyNumberFormat="1" applyFont="1" applyFill="1" applyBorder="1">
      <alignment/>
      <protection/>
    </xf>
    <xf numFmtId="0" fontId="8" fillId="55" borderId="20" xfId="428" applyNumberFormat="1" applyFont="1" applyFill="1" applyBorder="1">
      <alignment horizontal="left" vertical="center" indent="1"/>
    </xf>
    <xf numFmtId="168" fontId="140" fillId="55" borderId="26" xfId="298" applyNumberFormat="1" applyFont="1" applyFill="1" applyBorder="1">
      <alignment/>
      <protection/>
    </xf>
    <xf numFmtId="168" fontId="123" fillId="55" borderId="0" xfId="298" applyNumberFormat="1" applyFill="1" applyBorder="1">
      <alignment/>
      <protection/>
    </xf>
    <xf numFmtId="168" fontId="140" fillId="55" borderId="0" xfId="298" applyNumberFormat="1" applyFont="1" applyFill="1" applyBorder="1">
      <alignment/>
      <protection/>
    </xf>
    <xf numFmtId="43" fontId="30" fillId="55" borderId="29" xfId="44" applyFont="1" applyFill="1" applyBorder="1" applyAlignment="1" quotePrefix="1">
      <alignment/>
    </xf>
    <xf numFmtId="164" fontId="13" fillId="55" borderId="0" xfId="0" applyFont="1" applyFill="1" applyAlignment="1">
      <alignment horizontal="center"/>
    </xf>
    <xf numFmtId="164" fontId="32" fillId="55" borderId="0" xfId="0" applyFont="1" applyFill="1" applyAlignment="1">
      <alignment horizontal="center"/>
    </xf>
    <xf numFmtId="164" fontId="32" fillId="55" borderId="0" xfId="0" applyFont="1" applyFill="1" applyBorder="1" applyAlignment="1">
      <alignment/>
    </xf>
    <xf numFmtId="164" fontId="67" fillId="55" borderId="0" xfId="0" applyNumberFormat="1" applyFont="1" applyFill="1" applyAlignment="1" applyProtection="1">
      <alignment horizontal="center"/>
      <protection/>
    </xf>
    <xf numFmtId="14" fontId="32" fillId="55" borderId="0" xfId="0" applyNumberFormat="1" applyFont="1" applyFill="1" applyAlignment="1" applyProtection="1">
      <alignment horizontal="right"/>
      <protection/>
    </xf>
    <xf numFmtId="164" fontId="32" fillId="55" borderId="0" xfId="0" applyFont="1" applyFill="1" applyAlignment="1">
      <alignment/>
    </xf>
    <xf numFmtId="164" fontId="155" fillId="55" borderId="0" xfId="0" applyFont="1" applyFill="1" applyAlignment="1">
      <alignment/>
    </xf>
    <xf numFmtId="164" fontId="32" fillId="55" borderId="30" xfId="0" applyFont="1" applyFill="1" applyBorder="1" applyAlignment="1">
      <alignment/>
    </xf>
    <xf numFmtId="164" fontId="66" fillId="55" borderId="0" xfId="0" applyNumberFormat="1" applyFont="1" applyFill="1" applyAlignment="1" applyProtection="1">
      <alignment/>
      <protection/>
    </xf>
    <xf numFmtId="164" fontId="67" fillId="55" borderId="0" xfId="0" applyNumberFormat="1" applyFont="1" applyFill="1" applyAlignment="1" applyProtection="1">
      <alignment/>
      <protection/>
    </xf>
    <xf numFmtId="164" fontId="150" fillId="55" borderId="0" xfId="0" applyNumberFormat="1" applyFont="1" applyFill="1" applyAlignment="1" applyProtection="1">
      <alignment/>
      <protection/>
    </xf>
    <xf numFmtId="164" fontId="12" fillId="55" borderId="0" xfId="0" applyFont="1" applyFill="1" applyAlignment="1">
      <alignment/>
    </xf>
    <xf numFmtId="165" fontId="67" fillId="55" borderId="0" xfId="0" applyNumberFormat="1" applyFont="1" applyFill="1" applyAlignment="1" applyProtection="1">
      <alignment/>
      <protection/>
    </xf>
    <xf numFmtId="164" fontId="17" fillId="55" borderId="0" xfId="0" applyFont="1" applyFill="1" applyAlignment="1">
      <alignment/>
    </xf>
    <xf numFmtId="164" fontId="150" fillId="55" borderId="0" xfId="0" applyFont="1" applyFill="1" applyAlignment="1">
      <alignment/>
    </xf>
    <xf numFmtId="164" fontId="29" fillId="55" borderId="30" xfId="0" applyFont="1" applyFill="1" applyBorder="1" applyAlignment="1">
      <alignment/>
    </xf>
    <xf numFmtId="164" fontId="25" fillId="55" borderId="0" xfId="0" applyFont="1" applyFill="1" applyAlignment="1">
      <alignment/>
    </xf>
    <xf numFmtId="0" fontId="28" fillId="0" borderId="0" xfId="280" applyFont="1" applyAlignment="1">
      <alignment horizontal="center"/>
      <protection/>
    </xf>
    <xf numFmtId="0" fontId="28" fillId="0" borderId="16" xfId="280" applyFont="1" applyBorder="1" applyAlignment="1">
      <alignment horizontal="center"/>
      <protection/>
    </xf>
    <xf numFmtId="0" fontId="13" fillId="0" borderId="0" xfId="308" applyFont="1" applyFill="1" applyBorder="1">
      <alignment/>
      <protection/>
    </xf>
    <xf numFmtId="0" fontId="12" fillId="0" borderId="0" xfId="352" applyFont="1" applyFill="1" applyBorder="1">
      <alignment/>
      <protection/>
    </xf>
    <xf numFmtId="0" fontId="13" fillId="0" borderId="0" xfId="352" applyFont="1" applyFill="1" applyBorder="1">
      <alignment/>
      <protection/>
    </xf>
    <xf numFmtId="0" fontId="12" fillId="0" borderId="1" xfId="352" applyFont="1" applyFill="1" applyBorder="1">
      <alignment/>
      <protection/>
    </xf>
    <xf numFmtId="0" fontId="13" fillId="0" borderId="1" xfId="308" applyFont="1" applyFill="1" applyBorder="1">
      <alignment/>
      <protection/>
    </xf>
    <xf numFmtId="168" fontId="12" fillId="0" borderId="1" xfId="50" applyNumberFormat="1" applyFont="1" applyFill="1" applyBorder="1" applyAlignment="1">
      <alignment/>
    </xf>
    <xf numFmtId="168" fontId="12" fillId="0" borderId="0" xfId="50" applyNumberFormat="1" applyFont="1" applyFill="1" applyBorder="1" applyAlignment="1">
      <alignment/>
    </xf>
    <xf numFmtId="0" fontId="13" fillId="0" borderId="19" xfId="308" applyFont="1" applyFill="1" applyBorder="1">
      <alignment/>
      <protection/>
    </xf>
    <xf numFmtId="168" fontId="13" fillId="0" borderId="19" xfId="50" applyNumberFormat="1" applyFont="1" applyFill="1" applyBorder="1" applyAlignment="1">
      <alignment/>
    </xf>
    <xf numFmtId="0" fontId="13" fillId="0" borderId="19" xfId="352" applyFont="1" applyFill="1" applyBorder="1">
      <alignment/>
      <protection/>
    </xf>
    <xf numFmtId="0" fontId="13" fillId="0" borderId="0" xfId="176" applyFont="1" applyFill="1">
      <alignment/>
      <protection/>
    </xf>
    <xf numFmtId="3" fontId="13" fillId="0" borderId="0" xfId="176" applyNumberFormat="1" applyFont="1" applyFill="1">
      <alignment/>
      <protection/>
    </xf>
    <xf numFmtId="0" fontId="12" fillId="0" borderId="0" xfId="352" applyFont="1" applyFill="1">
      <alignment/>
      <protection/>
    </xf>
    <xf numFmtId="164" fontId="6" fillId="0" borderId="0" xfId="0" applyNumberFormat="1" applyFont="1" applyFill="1" applyAlignment="1" applyProtection="1">
      <alignment/>
      <protection/>
    </xf>
    <xf numFmtId="164" fontId="9" fillId="0" borderId="0" xfId="0" applyFont="1" applyFill="1" applyAlignment="1">
      <alignment/>
    </xf>
    <xf numFmtId="164" fontId="3" fillId="0" borderId="0" xfId="0" applyNumberFormat="1" applyFont="1" applyFill="1" applyAlignment="1" applyProtection="1">
      <alignment/>
      <protection/>
    </xf>
    <xf numFmtId="164" fontId="22" fillId="0" borderId="0" xfId="0" applyFont="1" applyFill="1" applyAlignment="1">
      <alignment/>
    </xf>
    <xf numFmtId="49" fontId="26" fillId="0" borderId="0" xfId="0" applyNumberFormat="1" applyFont="1" applyFill="1" applyAlignment="1" applyProtection="1">
      <alignment horizontal="center"/>
      <protection/>
    </xf>
    <xf numFmtId="164" fontId="4" fillId="0" borderId="0" xfId="0" applyNumberFormat="1" applyFont="1" applyFill="1" applyAlignment="1" applyProtection="1">
      <alignment horizontal="center"/>
      <protection/>
    </xf>
    <xf numFmtId="0" fontId="12" fillId="0" borderId="0" xfId="308" applyFont="1" applyFill="1" applyAlignment="1">
      <alignment horizontal="center"/>
      <protection/>
    </xf>
    <xf numFmtId="0" fontId="12" fillId="0" borderId="0" xfId="308" applyFont="1" applyFill="1">
      <alignment/>
      <protection/>
    </xf>
    <xf numFmtId="0" fontId="13" fillId="0" borderId="0" xfId="308" applyFont="1" applyFill="1" applyAlignment="1">
      <alignment horizontal="center"/>
      <protection/>
    </xf>
    <xf numFmtId="0" fontId="13" fillId="0" borderId="0" xfId="308" applyFont="1" applyFill="1">
      <alignment/>
      <protection/>
    </xf>
    <xf numFmtId="0" fontId="70" fillId="0" borderId="1" xfId="308" applyFont="1" applyFill="1" applyBorder="1" applyAlignment="1">
      <alignment horizontal="left"/>
      <protection/>
    </xf>
    <xf numFmtId="0" fontId="13" fillId="0" borderId="1" xfId="308" applyFont="1" applyFill="1" applyBorder="1" applyAlignment="1">
      <alignment horizontal="left"/>
      <protection/>
    </xf>
    <xf numFmtId="0" fontId="70" fillId="0" borderId="0" xfId="308" applyFont="1" applyFill="1" applyAlignment="1">
      <alignment horizontal="left"/>
      <protection/>
    </xf>
    <xf numFmtId="0" fontId="13" fillId="0" borderId="0" xfId="308" applyFont="1" applyFill="1" applyAlignment="1">
      <alignment horizontal="left"/>
      <protection/>
    </xf>
    <xf numFmtId="0" fontId="13" fillId="0" borderId="1" xfId="352" applyFont="1" applyFill="1" applyBorder="1">
      <alignment/>
      <protection/>
    </xf>
    <xf numFmtId="3" fontId="69" fillId="0" borderId="0" xfId="176" applyNumberFormat="1" applyFont="1" applyFill="1" applyBorder="1" applyAlignment="1">
      <alignment horizontal="left"/>
      <protection/>
    </xf>
    <xf numFmtId="0" fontId="12" fillId="0" borderId="18" xfId="352" applyFont="1" applyFill="1" applyBorder="1">
      <alignment/>
      <protection/>
    </xf>
    <xf numFmtId="3" fontId="69" fillId="0" borderId="18" xfId="176" applyNumberFormat="1" applyFont="1" applyFill="1" applyBorder="1" applyAlignment="1">
      <alignment horizontal="left"/>
      <protection/>
    </xf>
    <xf numFmtId="0" fontId="13" fillId="0" borderId="18" xfId="308" applyFont="1" applyFill="1" applyBorder="1">
      <alignment/>
      <protection/>
    </xf>
    <xf numFmtId="168" fontId="12" fillId="0" borderId="18" xfId="50" applyNumberFormat="1" applyFont="1" applyFill="1" applyBorder="1" applyAlignment="1">
      <alignment/>
    </xf>
    <xf numFmtId="0" fontId="12" fillId="0" borderId="0" xfId="308" applyFont="1" applyFill="1" applyBorder="1">
      <alignment/>
      <protection/>
    </xf>
    <xf numFmtId="43" fontId="12" fillId="0" borderId="0" xfId="48" applyNumberFormat="1" applyFont="1" applyFill="1" applyBorder="1" applyAlignment="1">
      <alignment/>
    </xf>
    <xf numFmtId="168" fontId="12" fillId="0" borderId="0" xfId="352" applyNumberFormat="1" applyFont="1" applyFill="1">
      <alignment/>
      <protection/>
    </xf>
    <xf numFmtId="0" fontId="30" fillId="0" borderId="0" xfId="176" applyFont="1" applyFill="1">
      <alignment/>
      <protection/>
    </xf>
    <xf numFmtId="0" fontId="30" fillId="0" borderId="0" xfId="176" applyFont="1" applyFill="1" applyAlignment="1">
      <alignment horizontal="right"/>
      <protection/>
    </xf>
    <xf numFmtId="0" fontId="28" fillId="0" borderId="0" xfId="176" applyFont="1" applyFill="1" applyAlignment="1">
      <alignment horizontal="left"/>
      <protection/>
    </xf>
    <xf numFmtId="164" fontId="4" fillId="0" borderId="0" xfId="0" applyNumberFormat="1" applyFont="1" applyFill="1" applyAlignment="1" applyProtection="1">
      <alignment/>
      <protection/>
    </xf>
    <xf numFmtId="164" fontId="4" fillId="0" borderId="0" xfId="0" applyNumberFormat="1" applyFont="1" applyFill="1" applyBorder="1" applyAlignment="1" applyProtection="1">
      <alignment/>
      <protection/>
    </xf>
    <xf numFmtId="0" fontId="30" fillId="0" borderId="0" xfId="176" applyFont="1" applyFill="1" applyAlignment="1">
      <alignment horizontal="left"/>
      <protection/>
    </xf>
    <xf numFmtId="3" fontId="30" fillId="0" borderId="0" xfId="176" applyNumberFormat="1" applyFont="1" applyFill="1">
      <alignment/>
      <protection/>
    </xf>
    <xf numFmtId="3" fontId="30" fillId="0" borderId="0" xfId="176" applyNumberFormat="1" applyFont="1" applyFill="1" applyAlignment="1">
      <alignment horizontal="center"/>
      <protection/>
    </xf>
    <xf numFmtId="3" fontId="30" fillId="0" borderId="0" xfId="176" applyNumberFormat="1" applyFont="1" applyFill="1" applyAlignment="1">
      <alignment horizontal="right"/>
      <protection/>
    </xf>
    <xf numFmtId="3" fontId="48" fillId="0" borderId="0" xfId="176" applyNumberFormat="1" applyFont="1" applyFill="1" applyBorder="1" applyAlignment="1">
      <alignment horizontal="left"/>
      <protection/>
    </xf>
    <xf numFmtId="3" fontId="49" fillId="0" borderId="0" xfId="176" applyNumberFormat="1" applyFont="1" applyFill="1" applyBorder="1" applyAlignment="1">
      <alignment horizontal="right"/>
      <protection/>
    </xf>
    <xf numFmtId="3" fontId="30" fillId="0" borderId="0" xfId="176" applyNumberFormat="1" applyFont="1" applyFill="1" applyAlignment="1">
      <alignment horizontal="left"/>
      <protection/>
    </xf>
    <xf numFmtId="3" fontId="28" fillId="0" borderId="0" xfId="176" applyNumberFormat="1" applyFont="1" applyFill="1" applyBorder="1" applyAlignment="1">
      <alignment horizontal="left"/>
      <protection/>
    </xf>
    <xf numFmtId="168" fontId="123" fillId="0" borderId="21" xfId="298" applyNumberFormat="1" applyFill="1" applyBorder="1">
      <alignment/>
      <protection/>
    </xf>
    <xf numFmtId="168" fontId="140" fillId="0" borderId="26" xfId="298" applyNumberFormat="1" applyFont="1" applyFill="1" applyBorder="1">
      <alignment/>
      <protection/>
    </xf>
    <xf numFmtId="168" fontId="123" fillId="0" borderId="0" xfId="44" applyNumberFormat="1" applyFont="1" applyFill="1" applyAlignment="1">
      <alignment/>
    </xf>
    <xf numFmtId="168" fontId="16" fillId="0" borderId="0" xfId="44" applyNumberFormat="1" applyFont="1" applyFill="1" applyAlignment="1">
      <alignment/>
    </xf>
    <xf numFmtId="168" fontId="156" fillId="0" borderId="0" xfId="44" applyNumberFormat="1" applyFont="1" applyFill="1" applyAlignment="1">
      <alignment/>
    </xf>
    <xf numFmtId="0" fontId="123" fillId="0" borderId="0" xfId="298" applyFill="1">
      <alignment/>
      <protection/>
    </xf>
    <xf numFmtId="164" fontId="25" fillId="0" borderId="0" xfId="0" applyFont="1" applyFill="1" applyAlignment="1">
      <alignment/>
    </xf>
    <xf numFmtId="168" fontId="123" fillId="0" borderId="0" xfId="44" applyNumberFormat="1" applyFont="1" applyFill="1" applyAlignment="1">
      <alignment/>
    </xf>
    <xf numFmtId="168" fontId="157" fillId="0" borderId="0" xfId="44" applyNumberFormat="1" applyFont="1" applyFill="1" applyAlignment="1">
      <alignment/>
    </xf>
    <xf numFmtId="168" fontId="17" fillId="0" borderId="11" xfId="44" applyNumberFormat="1" applyFont="1" applyFill="1" applyBorder="1" applyAlignment="1" applyProtection="1" quotePrefix="1">
      <alignment horizontal="left" vertical="center" indent="1"/>
      <protection locked="0"/>
    </xf>
    <xf numFmtId="168" fontId="17" fillId="0" borderId="11" xfId="44" applyNumberFormat="1" applyFont="1" applyFill="1" applyBorder="1" applyAlignment="1">
      <alignment horizontal="left" vertical="center" indent="1"/>
    </xf>
    <xf numFmtId="168" fontId="17" fillId="0" borderId="11" xfId="44" applyNumberFormat="1" applyFont="1" applyFill="1" applyBorder="1" applyAlignment="1" quotePrefix="1">
      <alignment horizontal="left" vertical="center" indent="1"/>
    </xf>
    <xf numFmtId="168" fontId="8" fillId="0" borderId="11" xfId="44" applyNumberFormat="1" applyFont="1" applyFill="1" applyBorder="1" applyAlignment="1" quotePrefix="1">
      <alignment horizontal="left" vertical="center" indent="1"/>
    </xf>
    <xf numFmtId="168" fontId="17" fillId="0" borderId="11" xfId="44" applyNumberFormat="1" applyFont="1" applyFill="1" applyBorder="1" applyAlignment="1" applyProtection="1" quotePrefix="1">
      <alignment horizontal="center" vertical="center"/>
      <protection locked="0"/>
    </xf>
    <xf numFmtId="168" fontId="17" fillId="0" borderId="11" xfId="44" applyNumberFormat="1" applyFont="1" applyFill="1" applyBorder="1" applyAlignment="1" quotePrefix="1">
      <alignment horizontal="center" vertical="center"/>
    </xf>
    <xf numFmtId="168" fontId="2" fillId="0" borderId="11" xfId="44" applyNumberFormat="1" applyFont="1" applyFill="1" applyBorder="1" applyAlignment="1">
      <alignment horizontal="center" vertical="center"/>
    </xf>
    <xf numFmtId="168" fontId="17" fillId="0" borderId="11" xfId="44" applyNumberFormat="1" applyFont="1" applyFill="1" applyBorder="1" applyAlignment="1" applyProtection="1" quotePrefix="1">
      <alignment horizontal="center" vertical="center"/>
      <protection locked="0"/>
    </xf>
    <xf numFmtId="168" fontId="17" fillId="0" borderId="11" xfId="44" applyNumberFormat="1" applyFont="1" applyFill="1" applyBorder="1" applyAlignment="1" quotePrefix="1">
      <alignment horizontal="center" vertical="center"/>
    </xf>
    <xf numFmtId="168" fontId="2" fillId="0" borderId="11" xfId="44" applyNumberFormat="1" applyFont="1" applyFill="1" applyBorder="1" applyAlignment="1">
      <alignment horizontal="center" vertical="center"/>
    </xf>
    <xf numFmtId="168" fontId="123" fillId="0" borderId="0" xfId="44" applyNumberFormat="1" applyFont="1" applyFill="1" applyBorder="1" applyAlignment="1">
      <alignment/>
    </xf>
    <xf numFmtId="164" fontId="7" fillId="55" borderId="0" xfId="0" applyNumberFormat="1" applyFont="1" applyFill="1" applyBorder="1" applyAlignment="1" applyProtection="1">
      <alignment horizontal="center"/>
      <protection locked="0"/>
    </xf>
    <xf numFmtId="164" fontId="7" fillId="0" borderId="0" xfId="0" applyNumberFormat="1" applyFont="1" applyAlignment="1" applyProtection="1">
      <alignment horizontal="center"/>
      <protection/>
    </xf>
    <xf numFmtId="164" fontId="4" fillId="55" borderId="0" xfId="0" applyNumberFormat="1" applyFont="1" applyFill="1" applyAlignment="1" applyProtection="1">
      <alignment horizontal="center"/>
      <protection/>
    </xf>
    <xf numFmtId="164" fontId="4" fillId="55" borderId="0" xfId="0" applyNumberFormat="1" applyFont="1" applyFill="1" applyBorder="1" applyAlignment="1" applyProtection="1">
      <alignment horizontal="center"/>
      <protection/>
    </xf>
    <xf numFmtId="164" fontId="13" fillId="55" borderId="0" xfId="0" applyFont="1" applyFill="1" applyAlignment="1">
      <alignment horizontal="center"/>
    </xf>
    <xf numFmtId="164" fontId="4" fillId="55" borderId="0" xfId="174" applyNumberFormat="1" applyFont="1" applyFill="1" applyAlignment="1" applyProtection="1">
      <alignment horizontal="center"/>
      <protection/>
    </xf>
    <xf numFmtId="168" fontId="2" fillId="0" borderId="11" xfId="547" applyNumberFormat="1" applyFill="1">
      <alignment horizontal="right" vertical="center"/>
    </xf>
    <xf numFmtId="168" fontId="2" fillId="0" borderId="11" xfId="418" applyNumberFormat="1" applyFill="1">
      <alignment vertical="center"/>
    </xf>
    <xf numFmtId="168" fontId="2" fillId="55" borderId="11" xfId="547" applyNumberFormat="1" applyFill="1">
      <alignment horizontal="right" vertical="center"/>
    </xf>
    <xf numFmtId="168" fontId="2" fillId="55" borderId="11" xfId="418" applyNumberFormat="1" applyFill="1">
      <alignment vertical="center"/>
    </xf>
    <xf numFmtId="0" fontId="14" fillId="55" borderId="0" xfId="176" applyFont="1" applyFill="1" applyBorder="1" applyAlignment="1">
      <alignment horizontal="center"/>
      <protection/>
    </xf>
    <xf numFmtId="41" fontId="30" fillId="55" borderId="0" xfId="402" applyNumberFormat="1" applyFont="1" applyFill="1">
      <alignment/>
      <protection/>
    </xf>
    <xf numFmtId="41" fontId="30" fillId="55" borderId="0" xfId="53" applyNumberFormat="1" applyFont="1" applyFill="1" applyAlignment="1">
      <alignment/>
    </xf>
    <xf numFmtId="41" fontId="30" fillId="55" borderId="2" xfId="53" applyNumberFormat="1" applyFont="1" applyFill="1" applyBorder="1" applyAlignment="1">
      <alignment/>
    </xf>
    <xf numFmtId="41" fontId="28" fillId="55" borderId="31" xfId="77" applyNumberFormat="1" applyFont="1" applyFill="1" applyBorder="1" applyAlignment="1">
      <alignment/>
    </xf>
    <xf numFmtId="168" fontId="45" fillId="55" borderId="0" xfId="44" applyNumberFormat="1" applyFont="1" applyFill="1" applyAlignment="1" applyProtection="1">
      <alignment/>
      <protection/>
    </xf>
    <xf numFmtId="168" fontId="8" fillId="0" borderId="11" xfId="547" applyNumberFormat="1" applyFont="1" applyFill="1">
      <alignment horizontal="right" vertical="center"/>
    </xf>
    <xf numFmtId="168" fontId="8" fillId="0" borderId="11" xfId="418" applyNumberFormat="1" applyFont="1" applyFill="1">
      <alignment vertical="center"/>
    </xf>
    <xf numFmtId="164" fontId="70" fillId="55" borderId="0" xfId="0" applyFont="1" applyFill="1" applyAlignment="1">
      <alignment/>
    </xf>
    <xf numFmtId="164" fontId="76" fillId="55" borderId="0" xfId="0" applyFont="1" applyFill="1" applyAlignment="1">
      <alignment/>
    </xf>
    <xf numFmtId="0" fontId="12" fillId="55" borderId="0" xfId="249" applyFont="1" applyFill="1">
      <alignment/>
      <protection/>
    </xf>
    <xf numFmtId="0" fontId="13" fillId="55" borderId="0" xfId="249" applyFont="1" applyFill="1" applyAlignment="1">
      <alignment horizontal="center"/>
      <protection/>
    </xf>
    <xf numFmtId="0" fontId="13" fillId="55" borderId="1" xfId="249" applyFont="1" applyFill="1" applyBorder="1" applyAlignment="1">
      <alignment horizontal="center"/>
      <protection/>
    </xf>
    <xf numFmtId="0" fontId="13" fillId="55" borderId="1" xfId="176" applyFont="1" applyFill="1" applyBorder="1" applyAlignment="1">
      <alignment horizontal="center"/>
      <protection/>
    </xf>
    <xf numFmtId="0" fontId="13" fillId="55" borderId="0" xfId="249" applyFont="1" applyFill="1">
      <alignment/>
      <protection/>
    </xf>
    <xf numFmtId="3" fontId="12" fillId="55" borderId="0" xfId="249" applyNumberFormat="1" applyFont="1" applyFill="1">
      <alignment/>
      <protection/>
    </xf>
    <xf numFmtId="168" fontId="12" fillId="55" borderId="0" xfId="53" applyNumberFormat="1" applyFont="1" applyFill="1" applyAlignment="1">
      <alignment/>
    </xf>
    <xf numFmtId="41" fontId="13" fillId="55" borderId="1" xfId="71" applyNumberFormat="1" applyFont="1" applyFill="1" applyBorder="1" applyAlignment="1">
      <alignment/>
    </xf>
    <xf numFmtId="41" fontId="12" fillId="55" borderId="0" xfId="249" applyNumberFormat="1" applyFont="1" applyFill="1">
      <alignment/>
      <protection/>
    </xf>
    <xf numFmtId="41" fontId="13" fillId="55" borderId="0" xfId="71" applyNumberFormat="1" applyFont="1" applyFill="1" applyAlignment="1">
      <alignment/>
    </xf>
    <xf numFmtId="41" fontId="12" fillId="55" borderId="0" xfId="176" applyNumberFormat="1" applyFont="1" applyFill="1">
      <alignment/>
      <protection/>
    </xf>
    <xf numFmtId="170" fontId="13" fillId="55" borderId="0" xfId="71" applyNumberFormat="1" applyFont="1" applyFill="1" applyBorder="1" applyAlignment="1">
      <alignment/>
    </xf>
    <xf numFmtId="170" fontId="13" fillId="55" borderId="0" xfId="71" applyNumberFormat="1" applyFont="1" applyFill="1" applyAlignment="1">
      <alignment/>
    </xf>
    <xf numFmtId="3" fontId="13" fillId="55" borderId="0" xfId="249" applyNumberFormat="1" applyFont="1" applyFill="1">
      <alignment/>
      <protection/>
    </xf>
    <xf numFmtId="41" fontId="13" fillId="55" borderId="0" xfId="249" applyNumberFormat="1" applyFont="1" applyFill="1">
      <alignment/>
      <protection/>
    </xf>
    <xf numFmtId="0" fontId="17" fillId="55" borderId="0" xfId="249" applyFont="1" applyFill="1">
      <alignment/>
      <protection/>
    </xf>
    <xf numFmtId="3" fontId="17" fillId="55" borderId="0" xfId="249" applyNumberFormat="1" applyFont="1" applyFill="1">
      <alignment/>
      <protection/>
    </xf>
    <xf numFmtId="164" fontId="4" fillId="55" borderId="0" xfId="0" applyNumberFormat="1" applyFont="1" applyFill="1" applyAlignment="1" applyProtection="1">
      <alignment horizontal="centerContinuous"/>
      <protection/>
    </xf>
    <xf numFmtId="164" fontId="17" fillId="55" borderId="0" xfId="0" applyFont="1" applyFill="1" applyAlignment="1">
      <alignment horizontal="centerContinuous"/>
    </xf>
    <xf numFmtId="164" fontId="3" fillId="55" borderId="0" xfId="0" applyNumberFormat="1" applyFont="1" applyFill="1" applyAlignment="1" applyProtection="1">
      <alignment horizontal="centerContinuous"/>
      <protection/>
    </xf>
    <xf numFmtId="49" fontId="3" fillId="55" borderId="0" xfId="0" applyNumberFormat="1" applyFont="1" applyFill="1" applyAlignment="1" applyProtection="1">
      <alignment horizontal="centerContinuous"/>
      <protection/>
    </xf>
    <xf numFmtId="0" fontId="17" fillId="55" borderId="0" xfId="176" applyFont="1" applyFill="1" applyAlignment="1">
      <alignment horizontal="centerContinuous"/>
      <protection/>
    </xf>
    <xf numFmtId="164" fontId="7" fillId="55" borderId="0" xfId="0" applyNumberFormat="1" applyFont="1" applyFill="1" applyBorder="1" applyAlignment="1" applyProtection="1">
      <alignment/>
      <protection/>
    </xf>
    <xf numFmtId="0" fontId="13" fillId="55" borderId="0" xfId="176" applyFont="1" applyFill="1" applyAlignment="1">
      <alignment horizontal="center"/>
      <protection/>
    </xf>
    <xf numFmtId="0" fontId="12" fillId="55" borderId="1" xfId="166" applyFont="1" applyFill="1" applyBorder="1">
      <alignment/>
      <protection/>
    </xf>
    <xf numFmtId="0" fontId="69" fillId="55" borderId="0" xfId="177" applyFont="1" applyFill="1">
      <alignment/>
      <protection/>
    </xf>
    <xf numFmtId="1" fontId="12" fillId="55" borderId="0" xfId="166" applyNumberFormat="1" applyFont="1" applyFill="1">
      <alignment/>
      <protection/>
    </xf>
    <xf numFmtId="14" fontId="12" fillId="55" borderId="0" xfId="166" applyNumberFormat="1" applyFont="1" applyFill="1">
      <alignment/>
      <protection/>
    </xf>
    <xf numFmtId="168" fontId="12" fillId="55" borderId="0" xfId="44" applyNumberFormat="1" applyFont="1" applyFill="1" applyAlignment="1">
      <alignment/>
    </xf>
    <xf numFmtId="4" fontId="12" fillId="55" borderId="0" xfId="177" applyNumberFormat="1" applyFont="1" applyFill="1">
      <alignment/>
      <protection/>
    </xf>
    <xf numFmtId="3" fontId="12" fillId="55" borderId="0" xfId="166" applyNumberFormat="1" applyFont="1" applyFill="1">
      <alignment/>
      <protection/>
    </xf>
    <xf numFmtId="0" fontId="12" fillId="55" borderId="0" xfId="166" applyFont="1" applyFill="1" applyAlignment="1">
      <alignment horizontal="left"/>
      <protection/>
    </xf>
    <xf numFmtId="1" fontId="13" fillId="55" borderId="0" xfId="166" applyNumberFormat="1" applyFont="1" applyFill="1">
      <alignment/>
      <protection/>
    </xf>
    <xf numFmtId="41" fontId="13" fillId="55" borderId="31" xfId="71" applyNumberFormat="1" applyFont="1" applyFill="1" applyBorder="1" applyAlignment="1">
      <alignment/>
    </xf>
    <xf numFmtId="41" fontId="12" fillId="55" borderId="0" xfId="71" applyNumberFormat="1" applyFont="1" applyFill="1" applyAlignment="1">
      <alignment/>
    </xf>
    <xf numFmtId="0" fontId="13" fillId="55" borderId="0" xfId="177" applyFont="1" applyFill="1">
      <alignment/>
      <protection/>
    </xf>
    <xf numFmtId="0" fontId="17" fillId="55" borderId="0" xfId="166" applyFont="1" applyFill="1">
      <alignment/>
      <protection/>
    </xf>
    <xf numFmtId="0" fontId="17" fillId="55" borderId="0" xfId="177" applyFont="1" applyFill="1">
      <alignment/>
      <protection/>
    </xf>
    <xf numFmtId="164" fontId="12" fillId="55" borderId="0" xfId="0" applyFont="1" applyFill="1" applyAlignment="1">
      <alignment horizontal="center"/>
    </xf>
    <xf numFmtId="0" fontId="12" fillId="55" borderId="0" xfId="0" applyNumberFormat="1" applyFont="1" applyFill="1" applyAlignment="1">
      <alignment/>
    </xf>
    <xf numFmtId="0" fontId="158" fillId="55" borderId="0" xfId="0" applyNumberFormat="1" applyFont="1" applyFill="1" applyBorder="1" applyAlignment="1">
      <alignment horizontal="center"/>
    </xf>
    <xf numFmtId="164" fontId="13" fillId="55" borderId="0" xfId="0" applyFont="1" applyFill="1" applyBorder="1" applyAlignment="1">
      <alignment horizontal="center"/>
    </xf>
    <xf numFmtId="164" fontId="17" fillId="55" borderId="0" xfId="0" applyFont="1" applyFill="1" applyBorder="1" applyAlignment="1">
      <alignment/>
    </xf>
    <xf numFmtId="164" fontId="13" fillId="55" borderId="2" xfId="0" applyFont="1" applyFill="1" applyBorder="1" applyAlignment="1">
      <alignment horizontal="center"/>
    </xf>
    <xf numFmtId="164" fontId="17" fillId="55" borderId="2" xfId="0" applyFont="1" applyFill="1" applyBorder="1" applyAlignment="1">
      <alignment horizontal="center"/>
    </xf>
    <xf numFmtId="164" fontId="13" fillId="55" borderId="2" xfId="0" applyFont="1" applyFill="1" applyBorder="1" applyAlignment="1">
      <alignment horizontal="left"/>
    </xf>
    <xf numFmtId="14" fontId="158" fillId="55" borderId="2" xfId="0" applyNumberFormat="1" applyFont="1" applyFill="1" applyBorder="1" applyAlignment="1">
      <alignment horizontal="center"/>
    </xf>
    <xf numFmtId="0" fontId="78" fillId="55" borderId="2" xfId="0" applyNumberFormat="1" applyFont="1" applyFill="1" applyBorder="1" applyAlignment="1">
      <alignment horizontal="center"/>
    </xf>
    <xf numFmtId="0" fontId="159" fillId="55" borderId="0" xfId="0" applyNumberFormat="1" applyFont="1" applyFill="1" applyBorder="1" applyAlignment="1">
      <alignment/>
    </xf>
    <xf numFmtId="168" fontId="159" fillId="55" borderId="0" xfId="44" applyNumberFormat="1" applyFont="1" applyFill="1" applyBorder="1" applyAlignment="1">
      <alignment/>
    </xf>
    <xf numFmtId="171" fontId="159" fillId="55" borderId="0" xfId="407" applyNumberFormat="1" applyFont="1" applyFill="1" applyBorder="1" applyAlignment="1">
      <alignment/>
    </xf>
    <xf numFmtId="168" fontId="159" fillId="55" borderId="0" xfId="0" applyNumberFormat="1" applyFont="1" applyFill="1" applyBorder="1" applyAlignment="1">
      <alignment/>
    </xf>
    <xf numFmtId="170" fontId="158" fillId="55" borderId="31" xfId="71" applyNumberFormat="1" applyFont="1" applyFill="1" applyBorder="1" applyAlignment="1">
      <alignment/>
    </xf>
    <xf numFmtId="41" fontId="158" fillId="55" borderId="31" xfId="71" applyNumberFormat="1" applyFont="1" applyFill="1" applyBorder="1" applyAlignment="1">
      <alignment/>
    </xf>
    <xf numFmtId="10" fontId="158" fillId="55" borderId="31" xfId="407" applyNumberFormat="1" applyFont="1" applyFill="1" applyBorder="1" applyAlignment="1">
      <alignment/>
    </xf>
    <xf numFmtId="168" fontId="17" fillId="55" borderId="0" xfId="44" applyNumberFormat="1" applyFont="1" applyFill="1" applyAlignment="1">
      <alignment/>
    </xf>
    <xf numFmtId="0" fontId="152" fillId="55" borderId="0" xfId="92" applyFont="1" applyFill="1">
      <alignment/>
      <protection/>
    </xf>
    <xf numFmtId="1" fontId="12" fillId="55" borderId="0" xfId="66" applyNumberFormat="1" applyFont="1" applyFill="1" applyAlignment="1">
      <alignment horizontal="center"/>
    </xf>
    <xf numFmtId="168" fontId="12" fillId="55" borderId="0" xfId="66" applyNumberFormat="1" applyFont="1" applyFill="1" applyAlignment="1">
      <alignment/>
    </xf>
    <xf numFmtId="168" fontId="12" fillId="55" borderId="0" xfId="66" applyNumberFormat="1" applyFont="1" applyFill="1" applyAlignment="1">
      <alignment horizontal="right"/>
    </xf>
    <xf numFmtId="0" fontId="160" fillId="55" borderId="0" xfId="92" applyFont="1" applyFill="1" applyAlignment="1">
      <alignment horizontal="center"/>
      <protection/>
    </xf>
    <xf numFmtId="1" fontId="13" fillId="55" borderId="0" xfId="66" applyNumberFormat="1" applyFont="1" applyFill="1" applyAlignment="1">
      <alignment horizontal="center"/>
    </xf>
    <xf numFmtId="168" fontId="13" fillId="55" borderId="0" xfId="66" applyNumberFormat="1" applyFont="1" applyFill="1" applyAlignment="1">
      <alignment horizontal="center"/>
    </xf>
    <xf numFmtId="1" fontId="81" fillId="55" borderId="0" xfId="66" applyNumberFormat="1" applyFont="1" applyFill="1" applyAlignment="1">
      <alignment horizontal="center"/>
    </xf>
    <xf numFmtId="168" fontId="81" fillId="55" borderId="0" xfId="66" applyNumberFormat="1" applyFont="1" applyFill="1" applyAlignment="1">
      <alignment horizontal="center"/>
    </xf>
    <xf numFmtId="0" fontId="81" fillId="55" borderId="0" xfId="92" applyFont="1" applyFill="1" applyAlignment="1">
      <alignment horizontal="center"/>
      <protection/>
    </xf>
    <xf numFmtId="1" fontId="12" fillId="55" borderId="0" xfId="66" applyNumberFormat="1" applyFont="1" applyFill="1" applyAlignment="1" quotePrefix="1">
      <alignment horizontal="center"/>
    </xf>
    <xf numFmtId="0" fontId="12" fillId="55" borderId="0" xfId="92" applyFont="1" applyFill="1" applyAlignment="1">
      <alignment horizontal="right"/>
      <protection/>
    </xf>
    <xf numFmtId="0" fontId="81" fillId="55" borderId="0" xfId="92" applyFont="1" applyFill="1" applyAlignment="1">
      <alignment horizontal="centerContinuous"/>
      <protection/>
    </xf>
    <xf numFmtId="168" fontId="12" fillId="55" borderId="0" xfId="66" applyNumberFormat="1" applyFont="1" applyFill="1" applyAlignment="1">
      <alignment horizontal="centerContinuous"/>
    </xf>
    <xf numFmtId="3" fontId="161" fillId="55" borderId="0" xfId="92" applyNumberFormat="1" applyFont="1" applyFill="1" applyAlignment="1">
      <alignment horizontal="right"/>
      <protection/>
    </xf>
    <xf numFmtId="168" fontId="13" fillId="55" borderId="0" xfId="66" applyNumberFormat="1" applyFont="1" applyFill="1" applyAlignment="1">
      <alignment horizontal="right"/>
    </xf>
    <xf numFmtId="1" fontId="12" fillId="55" borderId="0" xfId="66" applyNumberFormat="1" applyFont="1" applyFill="1" applyBorder="1" applyAlignment="1">
      <alignment horizontal="center"/>
    </xf>
    <xf numFmtId="3" fontId="161" fillId="55" borderId="0" xfId="92" applyNumberFormat="1" applyFont="1" applyFill="1" applyBorder="1" applyAlignment="1">
      <alignment horizontal="right"/>
      <protection/>
    </xf>
    <xf numFmtId="168" fontId="12" fillId="55" borderId="0" xfId="66" applyNumberFormat="1" applyFont="1" applyFill="1" applyBorder="1" applyAlignment="1">
      <alignment/>
    </xf>
    <xf numFmtId="3" fontId="161" fillId="55" borderId="2" xfId="92" applyNumberFormat="1" applyFont="1" applyFill="1" applyBorder="1" applyAlignment="1">
      <alignment horizontal="right"/>
      <protection/>
    </xf>
    <xf numFmtId="168" fontId="12" fillId="55" borderId="2" xfId="66" applyNumberFormat="1" applyFont="1" applyFill="1" applyBorder="1" applyAlignment="1">
      <alignment/>
    </xf>
    <xf numFmtId="1" fontId="13" fillId="55" borderId="17" xfId="66" applyNumberFormat="1" applyFont="1" applyFill="1" applyBorder="1" applyAlignment="1">
      <alignment horizontal="center"/>
    </xf>
    <xf numFmtId="168" fontId="13" fillId="55" borderId="17" xfId="66" applyNumberFormat="1" applyFont="1" applyFill="1" applyBorder="1" applyAlignment="1">
      <alignment/>
    </xf>
    <xf numFmtId="168" fontId="13" fillId="55" borderId="17" xfId="71" applyNumberFormat="1" applyFont="1" applyFill="1" applyBorder="1" applyAlignment="1">
      <alignment/>
    </xf>
    <xf numFmtId="0" fontId="162" fillId="55" borderId="0" xfId="92" applyFont="1" applyFill="1">
      <alignment/>
      <protection/>
    </xf>
    <xf numFmtId="168" fontId="17" fillId="55" borderId="0" xfId="66" applyNumberFormat="1" applyFont="1" applyFill="1" applyAlignment="1">
      <alignment horizontal="right"/>
    </xf>
    <xf numFmtId="164" fontId="13" fillId="55" borderId="2" xfId="0" applyFont="1" applyFill="1" applyBorder="1" applyAlignment="1">
      <alignment horizontal="center"/>
    </xf>
    <xf numFmtId="164" fontId="70" fillId="55" borderId="0" xfId="0" applyFont="1" applyFill="1" applyAlignment="1">
      <alignment horizontal="center"/>
    </xf>
    <xf numFmtId="164" fontId="77" fillId="55" borderId="0" xfId="0" applyFont="1" applyFill="1" applyAlignment="1">
      <alignment/>
    </xf>
    <xf numFmtId="164" fontId="12" fillId="55" borderId="0" xfId="0" applyFont="1" applyFill="1" applyAlignment="1" quotePrefix="1">
      <alignment horizontal="center"/>
    </xf>
    <xf numFmtId="170" fontId="12" fillId="55" borderId="0" xfId="71" applyNumberFormat="1" applyFont="1" applyFill="1" applyAlignment="1">
      <alignment/>
    </xf>
    <xf numFmtId="0" fontId="152" fillId="55" borderId="0" xfId="98" applyFont="1" applyFill="1" applyAlignment="1">
      <alignment horizontal="left" wrapText="1"/>
      <protection/>
    </xf>
    <xf numFmtId="10" fontId="13" fillId="55" borderId="32" xfId="407" applyNumberFormat="1" applyFont="1" applyFill="1" applyBorder="1" applyAlignment="1">
      <alignment horizontal="center"/>
    </xf>
    <xf numFmtId="37" fontId="13" fillId="55" borderId="0" xfId="71" applyNumberFormat="1" applyFont="1" applyFill="1" applyAlignment="1">
      <alignment/>
    </xf>
    <xf numFmtId="5" fontId="13" fillId="55" borderId="0" xfId="71" applyNumberFormat="1" applyFont="1" applyFill="1" applyAlignment="1">
      <alignment/>
    </xf>
    <xf numFmtId="164" fontId="6" fillId="0" borderId="0" xfId="0" applyNumberFormat="1" applyFont="1" applyBorder="1" applyAlignment="1" applyProtection="1">
      <alignment/>
      <protection/>
    </xf>
    <xf numFmtId="164" fontId="17" fillId="0" borderId="0" xfId="0" applyFont="1" applyBorder="1" applyAlignment="1">
      <alignment/>
    </xf>
    <xf numFmtId="164" fontId="82" fillId="0" borderId="0" xfId="0" applyNumberFormat="1" applyFont="1" applyAlignment="1" applyProtection="1">
      <alignment horizontal="center"/>
      <protection/>
    </xf>
    <xf numFmtId="164" fontId="6" fillId="0" borderId="0" xfId="0" applyNumberFormat="1" applyFont="1" applyAlignment="1" applyProtection="1">
      <alignment horizontal="center"/>
      <protection/>
    </xf>
    <xf numFmtId="164" fontId="7" fillId="0" borderId="33" xfId="0" applyNumberFormat="1" applyFont="1" applyBorder="1" applyAlignment="1" applyProtection="1">
      <alignment horizontal="center"/>
      <protection/>
    </xf>
    <xf numFmtId="37" fontId="7" fillId="0" borderId="0" xfId="0" applyNumberFormat="1" applyFont="1" applyAlignment="1" applyProtection="1">
      <alignment horizontal="center"/>
      <protection/>
    </xf>
    <xf numFmtId="10" fontId="7" fillId="0" borderId="0" xfId="407" applyNumberFormat="1" applyFont="1" applyAlignment="1" applyProtection="1">
      <alignment horizontal="center"/>
      <protection/>
    </xf>
    <xf numFmtId="164" fontId="17" fillId="0" borderId="0" xfId="0" applyFont="1" applyAlignment="1">
      <alignment horizontal="center"/>
    </xf>
    <xf numFmtId="39" fontId="7" fillId="0" borderId="0" xfId="0" applyNumberFormat="1" applyFont="1" applyAlignment="1" applyProtection="1">
      <alignment horizontal="center"/>
      <protection/>
    </xf>
    <xf numFmtId="10" fontId="7" fillId="0" borderId="0" xfId="407" applyNumberFormat="1" applyFont="1" applyBorder="1" applyAlignment="1" applyProtection="1">
      <alignment horizontal="center"/>
      <protection/>
    </xf>
    <xf numFmtId="10" fontId="17" fillId="0" borderId="0" xfId="407" applyNumberFormat="1" applyFont="1" applyAlignment="1">
      <alignment/>
    </xf>
    <xf numFmtId="5" fontId="7" fillId="0" borderId="0" xfId="0" applyNumberFormat="1" applyFont="1" applyAlignment="1" applyProtection="1">
      <alignment horizontal="center"/>
      <protection/>
    </xf>
    <xf numFmtId="164" fontId="17" fillId="55" borderId="0" xfId="174" applyFont="1" applyFill="1">
      <alignment/>
      <protection/>
    </xf>
    <xf numFmtId="164" fontId="13" fillId="55" borderId="0" xfId="174" applyFont="1" applyFill="1" applyAlignment="1">
      <alignment horizontal="center"/>
      <protection/>
    </xf>
    <xf numFmtId="164" fontId="12" fillId="55" borderId="0" xfId="174" applyFont="1" applyFill="1">
      <alignment/>
      <protection/>
    </xf>
    <xf numFmtId="164" fontId="13" fillId="55" borderId="0" xfId="174" applyFont="1" applyFill="1">
      <alignment/>
      <protection/>
    </xf>
    <xf numFmtId="164" fontId="13" fillId="55" borderId="2" xfId="0" applyFont="1" applyFill="1" applyBorder="1" applyAlignment="1">
      <alignment/>
    </xf>
    <xf numFmtId="164" fontId="70" fillId="55" borderId="0" xfId="174" applyFont="1" applyFill="1" applyAlignment="1">
      <alignment horizontal="center"/>
      <protection/>
    </xf>
    <xf numFmtId="164" fontId="13" fillId="55" borderId="2" xfId="174" applyFont="1" applyFill="1" applyBorder="1">
      <alignment/>
      <protection/>
    </xf>
    <xf numFmtId="164" fontId="13" fillId="55" borderId="2" xfId="174" applyFont="1" applyFill="1" applyBorder="1" applyAlignment="1">
      <alignment horizontal="center"/>
      <protection/>
    </xf>
    <xf numFmtId="164" fontId="12" fillId="55" borderId="0" xfId="174" applyFont="1" applyFill="1" applyAlignment="1">
      <alignment horizontal="center"/>
      <protection/>
    </xf>
    <xf numFmtId="164" fontId="70" fillId="55" borderId="0" xfId="174" applyFont="1" applyFill="1">
      <alignment/>
      <protection/>
    </xf>
    <xf numFmtId="164" fontId="77" fillId="55" borderId="0" xfId="174" applyFont="1" applyFill="1">
      <alignment/>
      <protection/>
    </xf>
    <xf numFmtId="164" fontId="12" fillId="55" borderId="0" xfId="0" applyFont="1" applyFill="1" applyAlignment="1" quotePrefix="1">
      <alignment horizontal="left"/>
    </xf>
    <xf numFmtId="168" fontId="12" fillId="55" borderId="0" xfId="70" applyNumberFormat="1" applyFont="1" applyFill="1" applyAlignment="1">
      <alignment/>
    </xf>
    <xf numFmtId="168" fontId="12" fillId="55" borderId="0" xfId="44" applyNumberFormat="1" applyFont="1" applyFill="1" applyBorder="1" applyAlignment="1">
      <alignment/>
    </xf>
    <xf numFmtId="168" fontId="13" fillId="55" borderId="0" xfId="44" applyNumberFormat="1" applyFont="1" applyFill="1" applyAlignment="1">
      <alignment/>
    </xf>
    <xf numFmtId="10" fontId="12" fillId="55" borderId="0" xfId="407" applyNumberFormat="1" applyFont="1" applyFill="1" applyBorder="1" applyAlignment="1">
      <alignment horizontal="center"/>
    </xf>
    <xf numFmtId="168" fontId="13" fillId="55" borderId="2" xfId="44" applyNumberFormat="1" applyFont="1" applyFill="1" applyBorder="1" applyAlignment="1">
      <alignment/>
    </xf>
    <xf numFmtId="167" fontId="13" fillId="55" borderId="0" xfId="174" applyNumberFormat="1" applyFont="1" applyFill="1">
      <alignment/>
      <protection/>
    </xf>
    <xf numFmtId="164" fontId="6" fillId="55" borderId="0" xfId="174" applyNumberFormat="1" applyFont="1" applyFill="1" applyAlignment="1" applyProtection="1">
      <alignment horizontal="left" indent="1"/>
      <protection/>
    </xf>
    <xf numFmtId="168" fontId="13" fillId="55" borderId="32" xfId="44" applyNumberFormat="1" applyFont="1" applyFill="1" applyBorder="1" applyAlignment="1">
      <alignment/>
    </xf>
    <xf numFmtId="10" fontId="13" fillId="55" borderId="0" xfId="407" applyNumberFormat="1" applyFont="1" applyFill="1" applyBorder="1" applyAlignment="1">
      <alignment horizontal="center"/>
    </xf>
    <xf numFmtId="164" fontId="76" fillId="55" borderId="0" xfId="174" applyFont="1" applyFill="1">
      <alignment/>
      <protection/>
    </xf>
    <xf numFmtId="164" fontId="77" fillId="55" borderId="0" xfId="0" applyFont="1" applyFill="1" applyAlignment="1">
      <alignment horizontal="center"/>
    </xf>
    <xf numFmtId="164" fontId="12" fillId="55" borderId="0" xfId="174" applyFont="1" applyFill="1" applyAlignment="1">
      <alignment/>
      <protection/>
    </xf>
    <xf numFmtId="164" fontId="78" fillId="55" borderId="0" xfId="0" applyFont="1" applyFill="1" applyAlignment="1">
      <alignment vertical="center"/>
    </xf>
    <xf numFmtId="164" fontId="14" fillId="55" borderId="0" xfId="0" applyFont="1" applyFill="1" applyAlignment="1">
      <alignment horizontal="right"/>
    </xf>
    <xf numFmtId="164" fontId="80" fillId="55" borderId="0" xfId="0" applyFont="1" applyFill="1" applyAlignment="1">
      <alignment vertical="center"/>
    </xf>
    <xf numFmtId="168" fontId="78" fillId="55" borderId="0" xfId="44" applyNumberFormat="1" applyFont="1" applyFill="1" applyAlignment="1">
      <alignment horizontal="right" vertical="center"/>
    </xf>
    <xf numFmtId="164" fontId="13" fillId="55" borderId="2" xfId="174" applyFont="1" applyFill="1" applyBorder="1">
      <alignment/>
      <protection/>
    </xf>
    <xf numFmtId="164" fontId="13" fillId="55" borderId="2" xfId="174" applyFont="1" applyFill="1" applyBorder="1" applyAlignment="1">
      <alignment horizontal="center"/>
      <protection/>
    </xf>
    <xf numFmtId="164" fontId="12" fillId="55" borderId="0" xfId="0" applyFont="1" applyFill="1" applyBorder="1" applyAlignment="1">
      <alignment/>
    </xf>
    <xf numFmtId="37" fontId="13" fillId="55" borderId="0" xfId="44" applyNumberFormat="1" applyFont="1" applyFill="1" applyAlignment="1">
      <alignment/>
    </xf>
    <xf numFmtId="164" fontId="12" fillId="55" borderId="0" xfId="0" applyFont="1" applyFill="1" applyAlignment="1">
      <alignment wrapText="1"/>
    </xf>
    <xf numFmtId="37" fontId="13" fillId="55" borderId="0" xfId="44" applyNumberFormat="1" applyFont="1" applyFill="1" applyBorder="1" applyAlignment="1">
      <alignment/>
    </xf>
    <xf numFmtId="164" fontId="12" fillId="55" borderId="0" xfId="0" applyFont="1" applyFill="1" applyAlignment="1">
      <alignment horizontal="left"/>
    </xf>
    <xf numFmtId="37" fontId="13" fillId="55" borderId="2" xfId="44" applyNumberFormat="1" applyFont="1" applyFill="1" applyBorder="1" applyAlignment="1">
      <alignment/>
    </xf>
    <xf numFmtId="164" fontId="12" fillId="55" borderId="0" xfId="174" applyFont="1" applyFill="1" applyAlignment="1">
      <alignment horizontal="left"/>
      <protection/>
    </xf>
    <xf numFmtId="49" fontId="6" fillId="55" borderId="0" xfId="0" applyNumberFormat="1" applyFont="1" applyFill="1" applyAlignment="1" applyProtection="1">
      <alignment horizontal="left"/>
      <protection/>
    </xf>
    <xf numFmtId="164" fontId="12" fillId="55" borderId="0" xfId="0" applyFont="1" applyFill="1" applyBorder="1" applyAlignment="1">
      <alignment horizontal="center"/>
    </xf>
    <xf numFmtId="164" fontId="12" fillId="55" borderId="0" xfId="174" applyFont="1" applyFill="1" applyBorder="1" applyAlignment="1">
      <alignment horizontal="center"/>
      <protection/>
    </xf>
    <xf numFmtId="164" fontId="13" fillId="55" borderId="2" xfId="0" applyFont="1" applyFill="1" applyBorder="1" applyAlignment="1">
      <alignment horizontal="center" wrapText="1"/>
    </xf>
    <xf numFmtId="164" fontId="13" fillId="55" borderId="0" xfId="0" applyFont="1" applyFill="1" applyBorder="1" applyAlignment="1">
      <alignment horizontal="center" wrapText="1"/>
    </xf>
    <xf numFmtId="164" fontId="13" fillId="55" borderId="0" xfId="174" applyFont="1" applyFill="1" applyBorder="1">
      <alignment/>
      <protection/>
    </xf>
    <xf numFmtId="164" fontId="12" fillId="55" borderId="0" xfId="0" applyFont="1" applyFill="1" applyBorder="1" applyAlignment="1">
      <alignment wrapText="1"/>
    </xf>
    <xf numFmtId="168" fontId="12" fillId="55" borderId="0" xfId="44" applyNumberFormat="1" applyFont="1" applyFill="1" applyBorder="1" applyAlignment="1">
      <alignment wrapText="1"/>
    </xf>
    <xf numFmtId="168" fontId="13" fillId="55" borderId="0" xfId="44" applyNumberFormat="1" applyFont="1" applyFill="1" applyBorder="1" applyAlignment="1">
      <alignment/>
    </xf>
    <xf numFmtId="5" fontId="12" fillId="55" borderId="0" xfId="71" applyNumberFormat="1" applyFont="1" applyFill="1" applyBorder="1" applyAlignment="1">
      <alignment/>
    </xf>
    <xf numFmtId="0" fontId="162" fillId="55" borderId="0" xfId="162" applyFont="1" applyFill="1" applyBorder="1">
      <alignment/>
      <protection/>
    </xf>
    <xf numFmtId="0" fontId="162" fillId="55" borderId="0" xfId="162" applyFont="1" applyFill="1">
      <alignment/>
      <protection/>
    </xf>
    <xf numFmtId="0" fontId="17" fillId="55" borderId="0" xfId="176" applyFont="1" applyFill="1" applyBorder="1">
      <alignment/>
      <protection/>
    </xf>
    <xf numFmtId="0" fontId="2" fillId="55" borderId="0" xfId="483" applyNumberFormat="1" applyFont="1" applyFill="1" applyBorder="1" applyProtection="1">
      <alignment horizontal="left" vertical="center" indent="1"/>
      <protection locked="0"/>
    </xf>
    <xf numFmtId="0" fontId="17" fillId="55" borderId="0" xfId="176" applyFont="1" applyFill="1" applyProtection="1">
      <alignment/>
      <protection locked="0"/>
    </xf>
    <xf numFmtId="0" fontId="17" fillId="55" borderId="0" xfId="186" applyFont="1" applyFill="1">
      <alignment/>
      <protection/>
    </xf>
    <xf numFmtId="3" fontId="17" fillId="55" borderId="0" xfId="186" applyNumberFormat="1" applyFont="1" applyFill="1">
      <alignment/>
      <protection/>
    </xf>
    <xf numFmtId="0" fontId="12" fillId="55" borderId="0" xfId="176" applyFont="1" applyFill="1" applyBorder="1">
      <alignment/>
      <protection/>
    </xf>
    <xf numFmtId="0" fontId="152" fillId="55" borderId="0" xfId="162" applyFont="1" applyFill="1" applyBorder="1">
      <alignment/>
      <protection/>
    </xf>
    <xf numFmtId="0" fontId="152" fillId="55" borderId="0" xfId="162" applyFont="1" applyFill="1">
      <alignment/>
      <protection/>
    </xf>
    <xf numFmtId="0" fontId="160" fillId="55" borderId="0" xfId="162" applyFont="1" applyFill="1" applyAlignment="1">
      <alignment horizontal="center"/>
      <protection/>
    </xf>
    <xf numFmtId="0" fontId="13" fillId="55" borderId="0" xfId="0" applyNumberFormat="1" applyFont="1" applyFill="1" applyBorder="1" applyAlignment="1">
      <alignment horizontal="center" wrapText="1"/>
    </xf>
    <xf numFmtId="10" fontId="13" fillId="55" borderId="0" xfId="0" applyNumberFormat="1" applyFont="1" applyFill="1" applyBorder="1" applyAlignment="1">
      <alignment horizontal="center"/>
    </xf>
    <xf numFmtId="3" fontId="152" fillId="55" borderId="0" xfId="93" applyNumberFormat="1" applyFont="1" applyFill="1">
      <alignment/>
      <protection/>
    </xf>
    <xf numFmtId="0" fontId="13" fillId="55" borderId="1" xfId="0" applyNumberFormat="1" applyFont="1" applyFill="1" applyBorder="1" applyAlignment="1">
      <alignment horizontal="center" wrapText="1"/>
    </xf>
    <xf numFmtId="10" fontId="13" fillId="55" borderId="1" xfId="0" applyNumberFormat="1" applyFont="1" applyFill="1" applyBorder="1" applyAlignment="1">
      <alignment horizontal="center"/>
    </xf>
    <xf numFmtId="1" fontId="13" fillId="55" borderId="0" xfId="0" applyNumberFormat="1" applyFont="1" applyFill="1" applyAlignment="1">
      <alignment horizontal="center"/>
    </xf>
    <xf numFmtId="0" fontId="13" fillId="55" borderId="0" xfId="0" applyNumberFormat="1" applyFont="1" applyFill="1" applyAlignment="1">
      <alignment horizontal="left"/>
    </xf>
    <xf numFmtId="10" fontId="12" fillId="55" borderId="0" xfId="0" applyNumberFormat="1" applyFont="1" applyFill="1" applyAlignment="1">
      <alignment/>
    </xf>
    <xf numFmtId="3" fontId="13" fillId="55" borderId="0" xfId="0" applyNumberFormat="1" applyFont="1" applyFill="1" applyAlignment="1">
      <alignment/>
    </xf>
    <xf numFmtId="0" fontId="13" fillId="55" borderId="0" xfId="0" applyNumberFormat="1" applyFont="1" applyFill="1" applyAlignment="1">
      <alignment/>
    </xf>
    <xf numFmtId="1" fontId="13" fillId="55" borderId="0" xfId="0" applyNumberFormat="1" applyFont="1" applyFill="1" applyAlignment="1">
      <alignment horizontal="left"/>
    </xf>
    <xf numFmtId="0" fontId="13" fillId="55" borderId="0" xfId="0" applyNumberFormat="1" applyFont="1" applyFill="1" applyAlignment="1">
      <alignment horizontal="right"/>
    </xf>
    <xf numFmtId="0" fontId="13" fillId="55" borderId="0" xfId="0" applyNumberFormat="1" applyFont="1" applyFill="1" applyAlignment="1">
      <alignment horizontal="center"/>
    </xf>
    <xf numFmtId="3" fontId="12" fillId="55" borderId="0" xfId="0" applyNumberFormat="1" applyFont="1" applyFill="1" applyAlignment="1">
      <alignment/>
    </xf>
    <xf numFmtId="10" fontId="13" fillId="55" borderId="32" xfId="0" applyNumberFormat="1" applyFont="1" applyFill="1" applyBorder="1" applyAlignment="1">
      <alignment/>
    </xf>
    <xf numFmtId="10" fontId="13" fillId="55" borderId="0" xfId="0" applyNumberFormat="1" applyFont="1" applyFill="1" applyBorder="1" applyAlignment="1">
      <alignment/>
    </xf>
    <xf numFmtId="1" fontId="13" fillId="55" borderId="1" xfId="0" applyNumberFormat="1" applyFont="1" applyFill="1" applyBorder="1" applyAlignment="1">
      <alignment horizontal="center"/>
    </xf>
    <xf numFmtId="1" fontId="13" fillId="55" borderId="0" xfId="0" applyNumberFormat="1" applyFont="1" applyFill="1" applyBorder="1" applyAlignment="1">
      <alignment horizontal="center"/>
    </xf>
    <xf numFmtId="0" fontId="13" fillId="55" borderId="1" xfId="0" applyNumberFormat="1" applyFont="1" applyFill="1" applyBorder="1" applyAlignment="1">
      <alignment horizontal="left"/>
    </xf>
    <xf numFmtId="10" fontId="77" fillId="55" borderId="0" xfId="0" applyNumberFormat="1" applyFont="1" applyFill="1" applyBorder="1" applyAlignment="1">
      <alignment/>
    </xf>
    <xf numFmtId="10" fontId="13" fillId="55" borderId="0" xfId="0" applyNumberFormat="1" applyFont="1" applyFill="1" applyAlignment="1">
      <alignment/>
    </xf>
    <xf numFmtId="0" fontId="17" fillId="55" borderId="0" xfId="0" applyNumberFormat="1" applyFont="1" applyFill="1" applyAlignment="1">
      <alignment/>
    </xf>
    <xf numFmtId="0" fontId="152" fillId="55" borderId="0" xfId="164" applyFont="1" applyFill="1">
      <alignment/>
      <protection/>
    </xf>
    <xf numFmtId="0" fontId="160" fillId="55" borderId="0" xfId="164" applyFont="1" applyFill="1" applyAlignment="1">
      <alignment horizontal="center"/>
      <protection/>
    </xf>
    <xf numFmtId="0" fontId="152" fillId="55" borderId="0" xfId="164" applyFont="1" applyFill="1" applyBorder="1" applyAlignment="1">
      <alignment horizontal="center"/>
      <protection/>
    </xf>
    <xf numFmtId="0" fontId="160" fillId="55" borderId="0" xfId="164" applyFont="1" applyFill="1">
      <alignment/>
      <protection/>
    </xf>
    <xf numFmtId="41" fontId="152" fillId="55" borderId="0" xfId="164" applyNumberFormat="1" applyFont="1" applyFill="1">
      <alignment/>
      <protection/>
    </xf>
    <xf numFmtId="41" fontId="160" fillId="55" borderId="17" xfId="164" applyNumberFormat="1" applyFont="1" applyFill="1" applyBorder="1">
      <alignment/>
      <protection/>
    </xf>
    <xf numFmtId="41" fontId="160" fillId="55" borderId="0" xfId="164" applyNumberFormat="1" applyFont="1" applyFill="1">
      <alignment/>
      <protection/>
    </xf>
    <xf numFmtId="41" fontId="13" fillId="55" borderId="0" xfId="78" applyNumberFormat="1" applyFont="1" applyFill="1" applyAlignment="1">
      <alignment/>
    </xf>
    <xf numFmtId="0" fontId="128" fillId="55" borderId="0" xfId="164" applyFont="1" applyFill="1" quotePrefix="1">
      <alignment/>
      <protection/>
    </xf>
    <xf numFmtId="0" fontId="128" fillId="55" borderId="0" xfId="164" applyFont="1" applyFill="1">
      <alignment/>
      <protection/>
    </xf>
    <xf numFmtId="0" fontId="12" fillId="55" borderId="0" xfId="381" applyFont="1" applyFill="1">
      <alignment/>
      <protection/>
    </xf>
    <xf numFmtId="0" fontId="12" fillId="55" borderId="0" xfId="381" applyFont="1" applyFill="1" applyAlignment="1">
      <alignment horizontal="center"/>
      <protection/>
    </xf>
    <xf numFmtId="0" fontId="13" fillId="55" borderId="0" xfId="381" applyFont="1" applyFill="1" applyAlignment="1">
      <alignment horizontal="center"/>
      <protection/>
    </xf>
    <xf numFmtId="0" fontId="13" fillId="55" borderId="2" xfId="381" applyFont="1" applyFill="1" applyBorder="1" applyAlignment="1">
      <alignment horizontal="center"/>
      <protection/>
    </xf>
    <xf numFmtId="0" fontId="13" fillId="55" borderId="0" xfId="381" applyFont="1" applyFill="1" applyBorder="1" applyAlignment="1">
      <alignment horizontal="center"/>
      <protection/>
    </xf>
    <xf numFmtId="168" fontId="12" fillId="55" borderId="0" xfId="65" applyNumberFormat="1" applyFont="1" applyFill="1" applyAlignment="1">
      <alignment/>
    </xf>
    <xf numFmtId="10" fontId="12" fillId="55" borderId="0" xfId="412" applyNumberFormat="1" applyFont="1" applyFill="1" applyAlignment="1">
      <alignment/>
    </xf>
    <xf numFmtId="173" fontId="12" fillId="55" borderId="0" xfId="381" applyNumberFormat="1" applyFont="1" applyFill="1">
      <alignment/>
      <protection/>
    </xf>
    <xf numFmtId="10" fontId="12" fillId="55" borderId="0" xfId="381" applyNumberFormat="1" applyFont="1" applyFill="1">
      <alignment/>
      <protection/>
    </xf>
    <xf numFmtId="171" fontId="12" fillId="55" borderId="0" xfId="412" applyNumberFormat="1" applyFont="1" applyFill="1" applyAlignment="1">
      <alignment/>
    </xf>
    <xf numFmtId="10" fontId="12" fillId="55" borderId="1" xfId="412" applyNumberFormat="1" applyFont="1" applyFill="1" applyBorder="1" applyAlignment="1">
      <alignment/>
    </xf>
    <xf numFmtId="172" fontId="12" fillId="55" borderId="0" xfId="412" applyNumberFormat="1" applyFont="1" applyFill="1" applyAlignment="1">
      <alignment/>
    </xf>
    <xf numFmtId="166" fontId="12" fillId="55" borderId="0" xfId="412" applyNumberFormat="1" applyFont="1" applyFill="1" applyAlignment="1">
      <alignment/>
    </xf>
    <xf numFmtId="168" fontId="17" fillId="55" borderId="0" xfId="65" applyNumberFormat="1" applyFont="1" applyFill="1" applyAlignment="1">
      <alignment/>
    </xf>
    <xf numFmtId="10" fontId="17" fillId="55" borderId="0" xfId="412" applyNumberFormat="1" applyFont="1" applyFill="1" applyAlignment="1">
      <alignment/>
    </xf>
    <xf numFmtId="5" fontId="12" fillId="55" borderId="0" xfId="71" applyNumberFormat="1" applyFont="1" applyFill="1" applyAlignment="1">
      <alignment/>
    </xf>
    <xf numFmtId="164" fontId="12" fillId="55" borderId="0" xfId="0" applyFont="1" applyFill="1" applyBorder="1" applyAlignment="1">
      <alignment horizontal="center" wrapText="1"/>
    </xf>
    <xf numFmtId="0" fontId="17" fillId="55" borderId="0" xfId="176" applyFont="1" applyFill="1" applyAlignment="1">
      <alignment horizontal="center"/>
      <protection/>
    </xf>
    <xf numFmtId="168" fontId="162" fillId="55" borderId="0" xfId="53" applyNumberFormat="1" applyFont="1" applyFill="1" applyBorder="1" applyAlignment="1">
      <alignment/>
    </xf>
    <xf numFmtId="168" fontId="162" fillId="55" borderId="0" xfId="53" applyNumberFormat="1" applyFont="1" applyFill="1" applyAlignment="1">
      <alignment/>
    </xf>
    <xf numFmtId="168" fontId="163" fillId="55" borderId="0" xfId="53" applyNumberFormat="1" applyFont="1" applyFill="1" applyAlignment="1">
      <alignment/>
    </xf>
    <xf numFmtId="168" fontId="163" fillId="55" borderId="0" xfId="53" applyNumberFormat="1" applyFont="1" applyFill="1" applyBorder="1" applyAlignment="1">
      <alignment/>
    </xf>
    <xf numFmtId="3" fontId="162" fillId="55" borderId="0" xfId="53" applyNumberFormat="1" applyFont="1" applyFill="1" applyAlignment="1">
      <alignment/>
    </xf>
    <xf numFmtId="10" fontId="164" fillId="55" borderId="0" xfId="407" applyNumberFormat="1" applyFont="1" applyFill="1" applyAlignment="1">
      <alignment/>
    </xf>
    <xf numFmtId="164" fontId="17" fillId="55" borderId="0" xfId="0" applyFont="1" applyFill="1" applyBorder="1" applyAlignment="1" applyProtection="1">
      <alignment/>
      <protection locked="0"/>
    </xf>
    <xf numFmtId="164" fontId="14" fillId="55" borderId="0" xfId="0" applyFont="1" applyFill="1" applyBorder="1" applyAlignment="1" applyProtection="1">
      <alignment/>
      <protection locked="0"/>
    </xf>
    <xf numFmtId="164" fontId="13" fillId="55" borderId="0" xfId="0" applyFont="1" applyFill="1" applyBorder="1" applyAlignment="1" applyProtection="1">
      <alignment horizontal="center"/>
      <protection locked="0"/>
    </xf>
    <xf numFmtId="164" fontId="13" fillId="55" borderId="17" xfId="0" applyFont="1" applyFill="1" applyBorder="1" applyAlignment="1" applyProtection="1">
      <alignment horizontal="left"/>
      <protection locked="0"/>
    </xf>
    <xf numFmtId="164" fontId="13" fillId="55" borderId="17" xfId="0" applyFont="1" applyFill="1" applyBorder="1" applyAlignment="1" applyProtection="1">
      <alignment horizontal="center"/>
      <protection locked="0"/>
    </xf>
    <xf numFmtId="164" fontId="13" fillId="55" borderId="17" xfId="0" applyFont="1" applyFill="1" applyBorder="1" applyAlignment="1" applyProtection="1">
      <alignment/>
      <protection locked="0"/>
    </xf>
    <xf numFmtId="164" fontId="12" fillId="55" borderId="0" xfId="0" applyFont="1" applyFill="1" applyBorder="1" applyAlignment="1" applyProtection="1">
      <alignment/>
      <protection locked="0"/>
    </xf>
    <xf numFmtId="164" fontId="165" fillId="55" borderId="0" xfId="87" applyNumberFormat="1" applyFont="1" applyFill="1" applyBorder="1" applyAlignment="1" applyProtection="1">
      <alignment/>
      <protection locked="0"/>
    </xf>
    <xf numFmtId="164" fontId="12" fillId="55" borderId="0" xfId="0" applyFont="1" applyFill="1" applyBorder="1" applyAlignment="1" applyProtection="1">
      <alignment vertical="center"/>
      <protection locked="0"/>
    </xf>
    <xf numFmtId="0" fontId="12" fillId="55" borderId="0" xfId="342" applyNumberFormat="1" applyFont="1" applyFill="1" applyBorder="1" applyAlignment="1">
      <alignment/>
    </xf>
    <xf numFmtId="0" fontId="12" fillId="0" borderId="0" xfId="342" applyNumberFormat="1" applyFont="1" applyFill="1" applyBorder="1" applyAlignment="1">
      <alignment/>
    </xf>
    <xf numFmtId="164" fontId="86" fillId="55" borderId="0" xfId="0" applyNumberFormat="1" applyFont="1" applyFill="1" applyAlignment="1" applyProtection="1">
      <alignment/>
      <protection/>
    </xf>
    <xf numFmtId="164" fontId="72" fillId="0" borderId="0" xfId="0" applyNumberFormat="1" applyFont="1" applyAlignment="1" applyProtection="1">
      <alignment/>
      <protection/>
    </xf>
    <xf numFmtId="164" fontId="72" fillId="55" borderId="0" xfId="0" applyNumberFormat="1" applyFont="1" applyFill="1" applyAlignment="1" applyProtection="1">
      <alignment/>
      <protection/>
    </xf>
    <xf numFmtId="164" fontId="4" fillId="55" borderId="0" xfId="0" applyNumberFormat="1" applyFont="1" applyFill="1" applyAlignment="1" applyProtection="1">
      <alignment horizontal="center"/>
      <protection/>
    </xf>
    <xf numFmtId="164" fontId="4" fillId="0" borderId="0" xfId="0" applyNumberFormat="1" applyFont="1" applyFill="1" applyAlignment="1" applyProtection="1">
      <alignment horizontal="center"/>
      <protection/>
    </xf>
    <xf numFmtId="164" fontId="25" fillId="55" borderId="0" xfId="0" applyNumberFormat="1" applyFont="1" applyFill="1" applyAlignment="1" applyProtection="1">
      <alignment horizontal="center"/>
      <protection/>
    </xf>
    <xf numFmtId="164" fontId="6" fillId="0" borderId="26" xfId="0" applyNumberFormat="1" applyFont="1" applyFill="1" applyBorder="1" applyAlignment="1" applyProtection="1">
      <alignment/>
      <protection/>
    </xf>
    <xf numFmtId="164" fontId="6" fillId="57" borderId="26" xfId="0" applyNumberFormat="1" applyFont="1" applyFill="1" applyBorder="1" applyAlignment="1" applyProtection="1">
      <alignment/>
      <protection/>
    </xf>
    <xf numFmtId="43" fontId="9" fillId="0" borderId="0" xfId="50" applyFont="1" applyFill="1" applyAlignment="1">
      <alignment/>
    </xf>
    <xf numFmtId="43" fontId="0" fillId="0" borderId="0" xfId="50" applyFont="1" applyFill="1" applyAlignment="1">
      <alignment/>
    </xf>
    <xf numFmtId="43" fontId="12" fillId="0" borderId="0" xfId="50" applyFont="1" applyFill="1" applyAlignment="1">
      <alignment/>
    </xf>
    <xf numFmtId="43" fontId="12" fillId="0" borderId="1" xfId="50" applyFont="1" applyFill="1" applyBorder="1" applyAlignment="1">
      <alignment/>
    </xf>
    <xf numFmtId="43" fontId="13" fillId="0" borderId="0" xfId="50" applyFont="1" applyFill="1" applyBorder="1" applyAlignment="1">
      <alignment horizontal="center" wrapText="1"/>
    </xf>
    <xf numFmtId="43" fontId="13" fillId="0" borderId="1" xfId="50" applyFont="1" applyFill="1" applyBorder="1" applyAlignment="1">
      <alignment horizontal="center" wrapText="1"/>
    </xf>
    <xf numFmtId="0" fontId="13" fillId="0" borderId="18" xfId="352" applyFont="1" applyFill="1" applyBorder="1">
      <alignment/>
      <protection/>
    </xf>
    <xf numFmtId="0" fontId="12" fillId="57" borderId="0" xfId="352" applyFont="1" applyFill="1" applyBorder="1">
      <alignment/>
      <protection/>
    </xf>
    <xf numFmtId="0" fontId="12" fillId="57" borderId="0" xfId="308" applyFont="1" applyFill="1" applyBorder="1" applyAlignment="1">
      <alignment horizontal="center"/>
      <protection/>
    </xf>
    <xf numFmtId="0" fontId="13" fillId="57" borderId="0" xfId="352" applyFont="1" applyFill="1" applyBorder="1">
      <alignment/>
      <protection/>
    </xf>
    <xf numFmtId="0" fontId="12" fillId="57" borderId="0" xfId="352" applyFont="1" applyFill="1">
      <alignment/>
      <protection/>
    </xf>
    <xf numFmtId="3" fontId="13" fillId="57" borderId="0" xfId="176" applyNumberFormat="1" applyFont="1" applyFill="1">
      <alignment/>
      <protection/>
    </xf>
    <xf numFmtId="0" fontId="13" fillId="0" borderId="18" xfId="308" applyFont="1" applyFill="1" applyBorder="1" applyAlignment="1">
      <alignment wrapText="1"/>
      <protection/>
    </xf>
    <xf numFmtId="3" fontId="13" fillId="57" borderId="0" xfId="176" applyNumberFormat="1" applyFont="1" applyFill="1" applyAlignment="1">
      <alignment wrapText="1"/>
      <protection/>
    </xf>
    <xf numFmtId="43" fontId="30" fillId="0" borderId="0" xfId="50" applyFont="1" applyFill="1" applyAlignment="1">
      <alignment/>
    </xf>
    <xf numFmtId="43" fontId="152" fillId="0" borderId="0" xfId="50" applyFont="1" applyFill="1" applyAlignment="1">
      <alignment/>
    </xf>
    <xf numFmtId="43" fontId="30" fillId="0" borderId="0" xfId="50" applyFont="1" applyFill="1" applyBorder="1" applyAlignment="1">
      <alignment/>
    </xf>
    <xf numFmtId="49" fontId="28" fillId="57" borderId="2" xfId="402" applyNumberFormat="1" applyFont="1" applyFill="1" applyBorder="1" applyAlignment="1">
      <alignment horizontal="center"/>
      <protection/>
    </xf>
    <xf numFmtId="0" fontId="28" fillId="55" borderId="2" xfId="402" applyFont="1" applyFill="1" applyBorder="1" applyAlignment="1">
      <alignment horizontal="center"/>
      <protection/>
    </xf>
    <xf numFmtId="49" fontId="28" fillId="55" borderId="2" xfId="402" applyNumberFormat="1" applyFont="1" applyFill="1" applyBorder="1" applyAlignment="1" applyProtection="1">
      <alignment horizontal="center"/>
      <protection/>
    </xf>
    <xf numFmtId="43" fontId="9" fillId="55" borderId="0" xfId="50" applyFont="1" applyFill="1" applyAlignment="1">
      <alignment/>
    </xf>
    <xf numFmtId="43" fontId="0" fillId="55" borderId="0" xfId="50" applyFont="1" applyFill="1" applyAlignment="1">
      <alignment/>
    </xf>
    <xf numFmtId="43" fontId="153" fillId="55" borderId="0" xfId="50" applyFont="1" applyFill="1" applyAlignment="1">
      <alignment/>
    </xf>
    <xf numFmtId="43" fontId="123" fillId="55" borderId="0" xfId="50" applyFont="1" applyFill="1" applyAlignment="1">
      <alignment/>
    </xf>
    <xf numFmtId="168" fontId="123" fillId="57" borderId="22" xfId="298" applyNumberFormat="1" applyFill="1" applyBorder="1">
      <alignment/>
      <protection/>
    </xf>
    <xf numFmtId="168" fontId="123" fillId="57" borderId="21" xfId="298" applyNumberFormat="1" applyFill="1" applyBorder="1">
      <alignment/>
      <protection/>
    </xf>
    <xf numFmtId="168" fontId="123" fillId="57" borderId="26" xfId="298" applyNumberFormat="1" applyFill="1" applyBorder="1">
      <alignment/>
      <protection/>
    </xf>
    <xf numFmtId="0" fontId="14" fillId="55" borderId="34" xfId="96" applyFont="1" applyFill="1" applyBorder="1" applyAlignment="1">
      <alignment horizontal="left"/>
      <protection/>
    </xf>
    <xf numFmtId="168" fontId="123" fillId="57" borderId="35" xfId="298" applyNumberFormat="1" applyFill="1" applyBorder="1">
      <alignment/>
      <protection/>
    </xf>
    <xf numFmtId="168" fontId="123" fillId="55" borderId="35" xfId="298" applyNumberFormat="1" applyFill="1" applyBorder="1">
      <alignment/>
      <protection/>
    </xf>
    <xf numFmtId="168" fontId="123" fillId="57" borderId="28" xfId="298" applyNumberFormat="1" applyFill="1" applyBorder="1">
      <alignment/>
      <protection/>
    </xf>
    <xf numFmtId="0" fontId="123" fillId="0" borderId="26" xfId="298" applyFill="1" applyBorder="1">
      <alignment/>
      <protection/>
    </xf>
    <xf numFmtId="0" fontId="140" fillId="0" borderId="36" xfId="298" applyFont="1" applyFill="1" applyBorder="1" applyAlignment="1">
      <alignment horizontal="center"/>
      <protection/>
    </xf>
    <xf numFmtId="0" fontId="140" fillId="0" borderId="26" xfId="298" applyFont="1" applyFill="1" applyBorder="1" applyAlignment="1">
      <alignment horizontal="center"/>
      <protection/>
    </xf>
    <xf numFmtId="0" fontId="17" fillId="55" borderId="34" xfId="437" applyNumberFormat="1" applyFill="1" applyBorder="1" applyProtection="1" quotePrefix="1">
      <alignment horizontal="left" vertical="center" indent="1"/>
      <protection locked="0"/>
    </xf>
    <xf numFmtId="0" fontId="123" fillId="0" borderId="35" xfId="298" applyFill="1" applyBorder="1">
      <alignment/>
      <protection/>
    </xf>
    <xf numFmtId="164" fontId="0" fillId="55" borderId="35" xfId="0" applyFill="1" applyBorder="1" applyAlignment="1">
      <alignment/>
    </xf>
    <xf numFmtId="0" fontId="17" fillId="57" borderId="11" xfId="556" applyNumberFormat="1" applyFill="1" applyProtection="1" quotePrefix="1">
      <alignment horizontal="left" vertical="center" indent="1"/>
      <protection locked="0"/>
    </xf>
    <xf numFmtId="0" fontId="17" fillId="57" borderId="11" xfId="559" applyNumberFormat="1" applyFill="1" applyProtection="1" quotePrefix="1">
      <alignment horizontal="left" vertical="center" indent="1"/>
      <protection locked="0"/>
    </xf>
    <xf numFmtId="0" fontId="17" fillId="57" borderId="11" xfId="559" applyNumberFormat="1" applyFill="1" quotePrefix="1">
      <alignment horizontal="left" vertical="center" indent="1"/>
    </xf>
    <xf numFmtId="168" fontId="2" fillId="57" borderId="11" xfId="549" applyNumberFormat="1" applyFill="1" applyProtection="1" quotePrefix="1">
      <alignment horizontal="right" vertical="center"/>
      <protection locked="0"/>
    </xf>
    <xf numFmtId="168" fontId="2" fillId="57" borderId="11" xfId="549" applyNumberFormat="1" applyFill="1" applyProtection="1">
      <alignment horizontal="right" vertical="center"/>
      <protection locked="0"/>
    </xf>
    <xf numFmtId="168" fontId="2" fillId="57" borderId="11" xfId="549" applyNumberFormat="1" applyFill="1">
      <alignment horizontal="right" vertical="center"/>
    </xf>
    <xf numFmtId="168" fontId="128" fillId="57" borderId="11" xfId="549" applyNumberFormat="1" applyFont="1" applyFill="1">
      <alignment horizontal="right" vertical="center"/>
    </xf>
    <xf numFmtId="168" fontId="13" fillId="57" borderId="0" xfId="50" applyNumberFormat="1" applyFont="1" applyFill="1" applyAlignment="1">
      <alignment/>
    </xf>
    <xf numFmtId="168" fontId="13" fillId="57" borderId="0" xfId="50" applyNumberFormat="1" applyFont="1" applyFill="1" applyBorder="1" applyAlignment="1">
      <alignment/>
    </xf>
    <xf numFmtId="168" fontId="13" fillId="57" borderId="1" xfId="50" applyNumberFormat="1" applyFont="1" applyFill="1" applyBorder="1" applyAlignment="1">
      <alignment/>
    </xf>
    <xf numFmtId="41" fontId="12" fillId="57" borderId="0" xfId="79" applyNumberFormat="1" applyFont="1" applyFill="1" applyAlignment="1">
      <alignment/>
    </xf>
    <xf numFmtId="41" fontId="12" fillId="55" borderId="0" xfId="165" applyNumberFormat="1" applyFont="1" applyFill="1">
      <alignment/>
      <protection/>
    </xf>
    <xf numFmtId="41" fontId="84" fillId="57" borderId="0" xfId="79" applyNumberFormat="1" applyFont="1" applyFill="1" applyAlignment="1">
      <alignment/>
    </xf>
    <xf numFmtId="41" fontId="13" fillId="55" borderId="0" xfId="165" applyNumberFormat="1" applyFont="1" applyFill="1">
      <alignment/>
      <protection/>
    </xf>
    <xf numFmtId="164" fontId="12" fillId="57" borderId="0" xfId="0" applyFont="1" applyFill="1" applyBorder="1" applyAlignment="1">
      <alignment wrapText="1"/>
    </xf>
    <xf numFmtId="164" fontId="13" fillId="57" borderId="0" xfId="0" applyFont="1" applyFill="1" applyAlignment="1">
      <alignment horizontal="center"/>
    </xf>
    <xf numFmtId="164" fontId="12" fillId="57" borderId="0" xfId="0" applyFont="1" applyFill="1" applyBorder="1" applyAlignment="1">
      <alignment horizontal="center" wrapText="1"/>
    </xf>
    <xf numFmtId="168" fontId="12" fillId="57" borderId="0" xfId="44" applyNumberFormat="1" applyFont="1" applyFill="1" applyBorder="1" applyAlignment="1">
      <alignment/>
    </xf>
    <xf numFmtId="168" fontId="12" fillId="57" borderId="0" xfId="44" applyNumberFormat="1" applyFont="1" applyFill="1" applyBorder="1" applyAlignment="1">
      <alignment wrapText="1"/>
    </xf>
    <xf numFmtId="168" fontId="12" fillId="57" borderId="2" xfId="44" applyNumberFormat="1" applyFont="1" applyFill="1" applyBorder="1" applyAlignment="1">
      <alignment wrapText="1"/>
    </xf>
    <xf numFmtId="164" fontId="4" fillId="57" borderId="0" xfId="0" applyNumberFormat="1" applyFont="1" applyFill="1" applyAlignment="1" applyProtection="1">
      <alignment horizontal="centerContinuous"/>
      <protection/>
    </xf>
    <xf numFmtId="0" fontId="13" fillId="57" borderId="0" xfId="249" applyFont="1" applyFill="1">
      <alignment/>
      <protection/>
    </xf>
    <xf numFmtId="0" fontId="12" fillId="57" borderId="0" xfId="249" applyFont="1" applyFill="1">
      <alignment/>
      <protection/>
    </xf>
    <xf numFmtId="0" fontId="13" fillId="57" borderId="0" xfId="249" applyFont="1" applyFill="1" applyBorder="1" applyAlignment="1">
      <alignment horizontal="center"/>
      <protection/>
    </xf>
    <xf numFmtId="175" fontId="12" fillId="57" borderId="0" xfId="249" applyNumberFormat="1" applyFont="1" applyFill="1">
      <alignment/>
      <protection/>
    </xf>
    <xf numFmtId="43" fontId="12" fillId="57" borderId="0" xfId="249" applyNumberFormat="1" applyFont="1" applyFill="1">
      <alignment/>
      <protection/>
    </xf>
    <xf numFmtId="175" fontId="13" fillId="57" borderId="0" xfId="249" applyNumberFormat="1" applyFont="1" applyFill="1">
      <alignment/>
      <protection/>
    </xf>
    <xf numFmtId="3" fontId="12" fillId="57" borderId="0" xfId="249" applyNumberFormat="1" applyFont="1" applyFill="1">
      <alignment/>
      <protection/>
    </xf>
    <xf numFmtId="168" fontId="12" fillId="57" borderId="0" xfId="53" applyNumberFormat="1" applyFont="1" applyFill="1" applyAlignment="1">
      <alignment/>
    </xf>
    <xf numFmtId="0" fontId="12" fillId="57" borderId="0" xfId="176" applyFont="1" applyFill="1">
      <alignment/>
      <protection/>
    </xf>
    <xf numFmtId="3" fontId="13" fillId="57" borderId="0" xfId="249" applyNumberFormat="1" applyFont="1" applyFill="1">
      <alignment/>
      <protection/>
    </xf>
    <xf numFmtId="168" fontId="17" fillId="57" borderId="0" xfId="53" applyNumberFormat="1" applyFont="1" applyFill="1" applyAlignment="1">
      <alignment/>
    </xf>
    <xf numFmtId="0" fontId="12" fillId="57" borderId="0" xfId="249" applyFont="1" applyFill="1" applyAlignment="1">
      <alignment horizontal="center"/>
      <protection/>
    </xf>
    <xf numFmtId="168" fontId="12" fillId="57" borderId="0" xfId="44" applyNumberFormat="1" applyFont="1" applyFill="1" applyAlignment="1">
      <alignment/>
    </xf>
    <xf numFmtId="0" fontId="159" fillId="57" borderId="0" xfId="0" applyNumberFormat="1" applyFont="1" applyFill="1" applyBorder="1" applyAlignment="1">
      <alignment/>
    </xf>
    <xf numFmtId="14" fontId="158" fillId="57" borderId="2" xfId="0" applyNumberFormat="1" applyFont="1" applyFill="1" applyBorder="1" applyAlignment="1">
      <alignment horizontal="center"/>
    </xf>
    <xf numFmtId="3" fontId="161" fillId="57" borderId="0" xfId="92" applyNumberFormat="1" applyFont="1" applyFill="1" applyAlignment="1">
      <alignment horizontal="right"/>
      <protection/>
    </xf>
    <xf numFmtId="168" fontId="12" fillId="57" borderId="0" xfId="66" applyNumberFormat="1" applyFont="1" applyFill="1" applyAlignment="1">
      <alignment horizontal="right"/>
    </xf>
    <xf numFmtId="168" fontId="13" fillId="57" borderId="2" xfId="66" applyNumberFormat="1" applyFont="1" applyFill="1" applyBorder="1" applyAlignment="1">
      <alignment horizontal="right"/>
    </xf>
    <xf numFmtId="14" fontId="17" fillId="57" borderId="0" xfId="176" applyNumberFormat="1" applyFont="1" applyFill="1">
      <alignment/>
      <protection/>
    </xf>
    <xf numFmtId="0" fontId="17" fillId="57" borderId="0" xfId="176" applyFont="1" applyFill="1">
      <alignment/>
      <protection/>
    </xf>
    <xf numFmtId="168" fontId="162" fillId="57" borderId="0" xfId="53" applyNumberFormat="1" applyFont="1" applyFill="1" applyBorder="1" applyAlignment="1">
      <alignment/>
    </xf>
    <xf numFmtId="168" fontId="162" fillId="57" borderId="0" xfId="53" applyNumberFormat="1" applyFont="1" applyFill="1" applyAlignment="1">
      <alignment/>
    </xf>
    <xf numFmtId="168" fontId="162" fillId="57" borderId="2" xfId="53" applyNumberFormat="1" applyFont="1" applyFill="1" applyBorder="1" applyAlignment="1">
      <alignment/>
    </xf>
    <xf numFmtId="164" fontId="82" fillId="57" borderId="0" xfId="0" applyNumberFormat="1" applyFont="1" applyFill="1" applyAlignment="1" applyProtection="1">
      <alignment horizontal="center"/>
      <protection/>
    </xf>
    <xf numFmtId="164" fontId="12" fillId="57" borderId="0" xfId="174" applyFont="1" applyFill="1">
      <alignment/>
      <protection/>
    </xf>
    <xf numFmtId="168" fontId="12" fillId="57" borderId="2" xfId="44" applyNumberFormat="1" applyFont="1" applyFill="1" applyBorder="1" applyAlignment="1">
      <alignment/>
    </xf>
    <xf numFmtId="164" fontId="6" fillId="57" borderId="0" xfId="174" applyNumberFormat="1" applyFont="1" applyFill="1" applyAlignment="1" applyProtection="1">
      <alignment horizontal="left" indent="1"/>
      <protection/>
    </xf>
    <xf numFmtId="168" fontId="12" fillId="57" borderId="0" xfId="70" applyNumberFormat="1" applyFont="1" applyFill="1" applyAlignment="1">
      <alignment/>
    </xf>
    <xf numFmtId="168" fontId="164" fillId="57" borderId="0" xfId="70" applyNumberFormat="1" applyFont="1" applyFill="1" applyBorder="1" applyAlignment="1">
      <alignment/>
    </xf>
    <xf numFmtId="168" fontId="12" fillId="57" borderId="2" xfId="70" applyNumberFormat="1" applyFont="1" applyFill="1" applyBorder="1" applyAlignment="1">
      <alignment/>
    </xf>
    <xf numFmtId="164" fontId="14" fillId="57" borderId="0" xfId="0" applyFont="1" applyFill="1" applyAlignment="1">
      <alignment/>
    </xf>
    <xf numFmtId="164" fontId="17" fillId="57" borderId="0" xfId="0" applyFont="1" applyFill="1" applyAlignment="1">
      <alignment/>
    </xf>
    <xf numFmtId="37" fontId="13" fillId="57" borderId="0" xfId="71" applyNumberFormat="1" applyFont="1" applyFill="1" applyAlignment="1">
      <alignment/>
    </xf>
    <xf numFmtId="168" fontId="12" fillId="57" borderId="0" xfId="50" applyNumberFormat="1" applyFont="1" applyFill="1" applyBorder="1" applyAlignment="1">
      <alignment/>
    </xf>
    <xf numFmtId="168" fontId="12" fillId="57" borderId="0" xfId="50" applyNumberFormat="1" applyFont="1" applyFill="1" applyBorder="1" applyAlignment="1">
      <alignment horizontal="left"/>
    </xf>
    <xf numFmtId="168" fontId="13" fillId="0" borderId="18" xfId="50" applyNumberFormat="1" applyFont="1" applyFill="1" applyBorder="1" applyAlignment="1">
      <alignment/>
    </xf>
    <xf numFmtId="168" fontId="13" fillId="0" borderId="1" xfId="50" applyNumberFormat="1" applyFont="1" applyFill="1" applyBorder="1" applyAlignment="1">
      <alignment horizontal="center" wrapText="1"/>
    </xf>
    <xf numFmtId="168" fontId="28" fillId="0" borderId="0" xfId="50" applyNumberFormat="1" applyFont="1" applyFill="1" applyAlignment="1">
      <alignment/>
    </xf>
    <xf numFmtId="168" fontId="30" fillId="0" borderId="0" xfId="50" applyNumberFormat="1" applyFont="1" applyFill="1" applyAlignment="1">
      <alignment/>
    </xf>
    <xf numFmtId="0" fontId="12" fillId="55" borderId="0" xfId="381" applyFont="1" applyFill="1" applyAlignment="1">
      <alignment horizontal="left"/>
      <protection/>
    </xf>
    <xf numFmtId="189" fontId="0" fillId="55" borderId="23" xfId="0" applyNumberFormat="1" applyFill="1" applyBorder="1" applyAlignment="1">
      <alignment/>
    </xf>
    <xf numFmtId="41" fontId="36" fillId="55" borderId="0" xfId="71" applyNumberFormat="1" applyFont="1" applyFill="1" applyBorder="1" applyAlignment="1">
      <alignment/>
    </xf>
    <xf numFmtId="168" fontId="0" fillId="55" borderId="0" xfId="44" applyNumberFormat="1" applyFont="1" applyFill="1" applyAlignment="1">
      <alignment/>
    </xf>
    <xf numFmtId="169" fontId="30" fillId="55" borderId="0" xfId="0" applyNumberFormat="1" applyFont="1" applyFill="1" applyAlignment="1">
      <alignment/>
    </xf>
    <xf numFmtId="169" fontId="45" fillId="55" borderId="0" xfId="0" applyNumberFormat="1" applyFont="1" applyFill="1" applyAlignment="1" applyProtection="1">
      <alignment horizontal="right"/>
      <protection/>
    </xf>
    <xf numFmtId="169" fontId="30" fillId="55" borderId="0" xfId="50" applyNumberFormat="1" applyFont="1" applyFill="1" applyAlignment="1">
      <alignment/>
    </xf>
    <xf numFmtId="169" fontId="30" fillId="55" borderId="0" xfId="0" applyNumberFormat="1" applyFont="1" applyFill="1" applyBorder="1" applyAlignment="1">
      <alignment/>
    </xf>
    <xf numFmtId="169" fontId="29" fillId="55" borderId="0" xfId="0" applyNumberFormat="1" applyFont="1" applyFill="1" applyAlignment="1">
      <alignment/>
    </xf>
    <xf numFmtId="169" fontId="37" fillId="55" borderId="0" xfId="0" applyNumberFormat="1" applyFont="1" applyFill="1" applyAlignment="1" applyProtection="1">
      <alignment/>
      <protection/>
    </xf>
    <xf numFmtId="169" fontId="75" fillId="55" borderId="0" xfId="0" applyNumberFormat="1" applyFont="1" applyFill="1" applyAlignment="1">
      <alignment/>
    </xf>
    <xf numFmtId="169" fontId="29" fillId="55" borderId="0" xfId="50" applyNumberFormat="1" applyFont="1" applyFill="1" applyAlignment="1">
      <alignment/>
    </xf>
    <xf numFmtId="169" fontId="29" fillId="55" borderId="0" xfId="0" applyNumberFormat="1" applyFont="1" applyFill="1" applyBorder="1" applyAlignment="1">
      <alignment/>
    </xf>
    <xf numFmtId="169" fontId="44" fillId="55" borderId="0" xfId="0" applyNumberFormat="1" applyFont="1" applyFill="1" applyAlignment="1" applyProtection="1">
      <alignment/>
      <protection/>
    </xf>
    <xf numFmtId="169" fontId="87" fillId="55" borderId="0" xfId="0" applyNumberFormat="1" applyFont="1" applyFill="1" applyAlignment="1" applyProtection="1">
      <alignment horizontal="center"/>
      <protection/>
    </xf>
    <xf numFmtId="169" fontId="29" fillId="55" borderId="0" xfId="0" applyNumberFormat="1" applyFont="1" applyFill="1" applyAlignment="1">
      <alignment horizontal="center"/>
    </xf>
    <xf numFmtId="168" fontId="0" fillId="0" borderId="0" xfId="44" applyNumberFormat="1" applyFont="1" applyFill="1" applyAlignment="1">
      <alignment/>
    </xf>
    <xf numFmtId="168" fontId="0" fillId="55" borderId="0" xfId="44" applyNumberFormat="1" applyFont="1" applyFill="1" applyBorder="1" applyAlignment="1">
      <alignment/>
    </xf>
    <xf numFmtId="168" fontId="0" fillId="0" borderId="0" xfId="44" applyNumberFormat="1" applyFont="1" applyFill="1" applyBorder="1" applyAlignment="1">
      <alignment/>
    </xf>
    <xf numFmtId="169" fontId="44" fillId="55" borderId="0" xfId="0" applyNumberFormat="1" applyFont="1" applyFill="1" applyAlignment="1" applyProtection="1">
      <alignment horizontal="center"/>
      <protection/>
    </xf>
    <xf numFmtId="164" fontId="4" fillId="55" borderId="0" xfId="0" applyNumberFormat="1" applyFont="1" applyFill="1" applyAlignment="1" applyProtection="1">
      <alignment horizontal="center"/>
      <protection/>
    </xf>
    <xf numFmtId="164" fontId="4" fillId="55" borderId="0" xfId="0" applyNumberFormat="1" applyFont="1" applyFill="1" applyBorder="1" applyAlignment="1" applyProtection="1">
      <alignment horizontal="center"/>
      <protection/>
    </xf>
    <xf numFmtId="3" fontId="0" fillId="55" borderId="0" xfId="0" applyNumberFormat="1" applyFill="1" applyAlignment="1">
      <alignment/>
    </xf>
    <xf numFmtId="169" fontId="34" fillId="55" borderId="0" xfId="0" applyNumberFormat="1" applyFont="1" applyFill="1" applyAlignment="1" applyProtection="1">
      <alignment horizontal="center"/>
      <protection/>
    </xf>
    <xf numFmtId="169" fontId="37" fillId="55" borderId="0" xfId="0" applyNumberFormat="1" applyFont="1" applyFill="1" applyAlignment="1" applyProtection="1">
      <alignment horizontal="center"/>
      <protection/>
    </xf>
    <xf numFmtId="169" fontId="43" fillId="55" borderId="0" xfId="0" applyNumberFormat="1" applyFont="1" applyFill="1" applyAlignment="1">
      <alignment horizontal="center"/>
    </xf>
    <xf numFmtId="168" fontId="32" fillId="0" borderId="0" xfId="50" applyNumberFormat="1" applyFont="1" applyAlignment="1">
      <alignment/>
    </xf>
    <xf numFmtId="0" fontId="28" fillId="55" borderId="0" xfId="176" applyFont="1" applyFill="1" applyBorder="1" applyAlignment="1" quotePrefix="1">
      <alignment horizontal="center"/>
      <protection/>
    </xf>
    <xf numFmtId="168" fontId="12" fillId="57" borderId="0" xfId="50" applyNumberFormat="1" applyFont="1" applyFill="1" applyAlignment="1">
      <alignment/>
    </xf>
    <xf numFmtId="41" fontId="13" fillId="55" borderId="32" xfId="166" applyNumberFormat="1" applyFont="1" applyFill="1" applyBorder="1">
      <alignment/>
      <protection/>
    </xf>
    <xf numFmtId="164" fontId="14" fillId="55" borderId="0" xfId="0" applyFont="1" applyFill="1" applyAlignment="1" quotePrefix="1">
      <alignment horizontal="center"/>
    </xf>
    <xf numFmtId="0" fontId="17" fillId="0" borderId="0" xfId="342" applyNumberFormat="1" applyFont="1" applyFill="1" applyBorder="1" applyAlignment="1" applyProtection="1">
      <alignment/>
      <protection locked="0"/>
    </xf>
    <xf numFmtId="0" fontId="160" fillId="0" borderId="0" xfId="165" applyNumberFormat="1" applyFont="1" applyFill="1" applyAlignment="1">
      <alignment horizontal="center"/>
      <protection/>
    </xf>
    <xf numFmtId="0" fontId="13" fillId="0" borderId="0" xfId="342" applyNumberFormat="1" applyFont="1" applyFill="1" applyBorder="1" applyAlignment="1" applyProtection="1">
      <alignment horizontal="center"/>
      <protection locked="0"/>
    </xf>
    <xf numFmtId="0" fontId="13" fillId="0" borderId="0" xfId="398" applyNumberFormat="1" applyFont="1" applyFill="1" applyBorder="1" applyAlignment="1" applyProtection="1">
      <alignment horizontal="center"/>
      <protection locked="0"/>
    </xf>
    <xf numFmtId="177" fontId="12" fillId="0" borderId="0" xfId="342" applyFont="1" applyFill="1" applyBorder="1" applyAlignment="1">
      <alignment/>
    </xf>
    <xf numFmtId="164" fontId="7" fillId="0" borderId="0" xfId="0" applyNumberFormat="1" applyFont="1" applyAlignment="1" applyProtection="1">
      <alignment horizontal="center"/>
      <protection/>
    </xf>
    <xf numFmtId="164" fontId="4" fillId="55" borderId="0" xfId="0" applyNumberFormat="1" applyFont="1" applyFill="1" applyAlignment="1" applyProtection="1">
      <alignment horizontal="center"/>
      <protection/>
    </xf>
    <xf numFmtId="164" fontId="7" fillId="55" borderId="0" xfId="0" applyNumberFormat="1" applyFont="1" applyFill="1" applyAlignment="1" applyProtection="1">
      <alignment horizontal="center"/>
      <protection/>
    </xf>
    <xf numFmtId="0" fontId="13" fillId="0" borderId="0" xfId="342" applyNumberFormat="1" applyFont="1" applyFill="1" applyBorder="1" applyAlignment="1" applyProtection="1">
      <alignment horizontal="center"/>
      <protection locked="0"/>
    </xf>
    <xf numFmtId="3" fontId="13" fillId="0" borderId="0" xfId="342" applyNumberFormat="1" applyFont="1" applyFill="1" applyBorder="1" applyAlignment="1">
      <alignment horizontal="center"/>
    </xf>
    <xf numFmtId="164" fontId="10" fillId="55" borderId="0" xfId="0" applyFont="1" applyFill="1" applyAlignment="1">
      <alignment/>
    </xf>
    <xf numFmtId="0" fontId="26" fillId="55" borderId="0" xfId="177" applyFont="1" applyFill="1">
      <alignment/>
      <protection/>
    </xf>
    <xf numFmtId="0" fontId="26" fillId="55" borderId="0" xfId="166" applyFont="1" applyFill="1">
      <alignment/>
      <protection/>
    </xf>
    <xf numFmtId="0" fontId="26" fillId="55" borderId="0" xfId="176" applyFont="1" applyFill="1">
      <alignment/>
      <protection/>
    </xf>
    <xf numFmtId="177" fontId="30" fillId="0" borderId="0" xfId="342" applyFont="1" applyFill="1" applyBorder="1" applyAlignment="1">
      <alignment/>
    </xf>
    <xf numFmtId="177" fontId="29" fillId="0" borderId="0" xfId="342" applyFont="1" applyFill="1" applyBorder="1" applyAlignment="1">
      <alignment/>
    </xf>
    <xf numFmtId="177" fontId="30" fillId="0" borderId="0" xfId="342" applyFont="1" applyFill="1" applyBorder="1" applyAlignment="1">
      <alignment horizontal="right"/>
    </xf>
    <xf numFmtId="164" fontId="86" fillId="55" borderId="0" xfId="0" applyNumberFormat="1" applyFont="1" applyFill="1" applyAlignment="1" applyProtection="1">
      <alignment/>
      <protection/>
    </xf>
    <xf numFmtId="177" fontId="29" fillId="0" borderId="0" xfId="342" applyFont="1" applyFill="1" applyBorder="1" applyAlignment="1">
      <alignment horizontal="center"/>
    </xf>
    <xf numFmtId="0" fontId="13" fillId="0" borderId="0" xfId="176" applyFont="1">
      <alignment/>
      <protection/>
    </xf>
    <xf numFmtId="0" fontId="88" fillId="0" borderId="0" xfId="176" applyFont="1">
      <alignment/>
      <protection/>
    </xf>
    <xf numFmtId="0" fontId="17" fillId="0" borderId="0" xfId="176" applyFont="1">
      <alignment/>
      <protection/>
    </xf>
    <xf numFmtId="0" fontId="17" fillId="0" borderId="0" xfId="176" applyFont="1" applyAlignment="1">
      <alignment horizontal="center"/>
      <protection/>
    </xf>
    <xf numFmtId="4" fontId="17" fillId="0" borderId="0" xfId="176" applyNumberFormat="1" applyFont="1">
      <alignment/>
      <protection/>
    </xf>
    <xf numFmtId="0" fontId="89" fillId="57" borderId="0" xfId="176" applyFont="1" applyFill="1" applyBorder="1" applyAlignment="1">
      <alignment horizontal="left"/>
      <protection/>
    </xf>
    <xf numFmtId="0" fontId="89" fillId="0" borderId="0" xfId="176" applyFont="1" applyBorder="1" applyAlignment="1">
      <alignment horizontal="left"/>
      <protection/>
    </xf>
    <xf numFmtId="0" fontId="17" fillId="0" borderId="0" xfId="280" applyFont="1" applyAlignment="1">
      <alignment horizontal="center"/>
      <protection/>
    </xf>
    <xf numFmtId="0" fontId="17" fillId="57" borderId="0" xfId="280" applyFont="1" applyFill="1">
      <alignment/>
      <protection/>
    </xf>
    <xf numFmtId="0" fontId="17" fillId="0" borderId="0" xfId="280" applyFont="1">
      <alignment/>
      <protection/>
    </xf>
    <xf numFmtId="168" fontId="17" fillId="57" borderId="0" xfId="50" applyNumberFormat="1" applyFont="1" applyFill="1" applyBorder="1" applyAlignment="1">
      <alignment/>
    </xf>
    <xf numFmtId="0" fontId="17" fillId="0" borderId="0" xfId="280" applyFont="1" applyBorder="1">
      <alignment/>
      <protection/>
    </xf>
    <xf numFmtId="168" fontId="90" fillId="57" borderId="0" xfId="50" applyNumberFormat="1" applyFont="1" applyFill="1" applyBorder="1" applyAlignment="1">
      <alignment/>
    </xf>
    <xf numFmtId="0" fontId="91" fillId="57" borderId="0" xfId="176" applyFont="1" applyFill="1" applyBorder="1" applyAlignment="1">
      <alignment horizontal="left"/>
      <protection/>
    </xf>
    <xf numFmtId="0" fontId="17" fillId="0" borderId="0" xfId="249" applyFont="1">
      <alignment/>
      <protection/>
    </xf>
    <xf numFmtId="0" fontId="14" fillId="0" borderId="0" xfId="280" applyFont="1">
      <alignment/>
      <protection/>
    </xf>
    <xf numFmtId="168" fontId="14" fillId="0" borderId="0" xfId="50" applyNumberFormat="1" applyFont="1" applyBorder="1" applyAlignment="1">
      <alignment/>
    </xf>
    <xf numFmtId="168" fontId="17" fillId="0" borderId="0" xfId="50" applyNumberFormat="1" applyFont="1" applyBorder="1" applyAlignment="1">
      <alignment/>
    </xf>
    <xf numFmtId="168" fontId="14" fillId="0" borderId="0" xfId="50" applyNumberFormat="1" applyFont="1" applyAlignment="1">
      <alignment/>
    </xf>
    <xf numFmtId="0" fontId="17" fillId="57" borderId="0" xfId="280" applyFont="1" applyFill="1" applyBorder="1">
      <alignment/>
      <protection/>
    </xf>
    <xf numFmtId="0" fontId="91" fillId="0" borderId="0" xfId="176" applyFont="1" applyBorder="1" applyAlignment="1">
      <alignment horizontal="left"/>
      <protection/>
    </xf>
    <xf numFmtId="0" fontId="17" fillId="0" borderId="0" xfId="280" applyFont="1" applyFill="1" applyBorder="1">
      <alignment/>
      <protection/>
    </xf>
    <xf numFmtId="0" fontId="17" fillId="0" borderId="0" xfId="249" applyFont="1" applyFill="1">
      <alignment/>
      <protection/>
    </xf>
    <xf numFmtId="3" fontId="12" fillId="0" borderId="0" xfId="176" applyNumberFormat="1" applyFont="1" applyFill="1">
      <alignment/>
      <protection/>
    </xf>
    <xf numFmtId="3" fontId="12" fillId="0" borderId="0" xfId="176" applyNumberFormat="1" applyFont="1" applyFill="1" applyAlignment="1">
      <alignment horizontal="center"/>
      <protection/>
    </xf>
    <xf numFmtId="3" fontId="69" fillId="0" borderId="0" xfId="176" applyNumberFormat="1" applyFont="1" applyFill="1" applyBorder="1" applyAlignment="1">
      <alignment horizontal="right"/>
      <protection/>
    </xf>
    <xf numFmtId="3" fontId="12" fillId="0" borderId="0" xfId="176" applyNumberFormat="1" applyFont="1" applyFill="1" applyAlignment="1">
      <alignment horizontal="left"/>
      <protection/>
    </xf>
    <xf numFmtId="168" fontId="12" fillId="0" borderId="0" xfId="50" applyNumberFormat="1" applyFont="1" applyFill="1" applyAlignment="1">
      <alignment/>
    </xf>
    <xf numFmtId="3" fontId="12" fillId="55" borderId="0" xfId="53" applyNumberFormat="1" applyFont="1" applyFill="1" applyBorder="1" applyAlignment="1">
      <alignment/>
    </xf>
    <xf numFmtId="3" fontId="12" fillId="55" borderId="0" xfId="176" applyNumberFormat="1" applyFont="1" applyFill="1" applyBorder="1">
      <alignment/>
      <protection/>
    </xf>
    <xf numFmtId="3" fontId="12" fillId="55" borderId="0" xfId="176" applyNumberFormat="1" applyFont="1" applyFill="1">
      <alignment/>
      <protection/>
    </xf>
    <xf numFmtId="168" fontId="12" fillId="0" borderId="2" xfId="50" applyNumberFormat="1" applyFont="1" applyFill="1" applyBorder="1" applyAlignment="1">
      <alignment/>
    </xf>
    <xf numFmtId="3" fontId="12" fillId="55" borderId="2" xfId="53" applyNumberFormat="1" applyFont="1" applyFill="1" applyBorder="1" applyAlignment="1">
      <alignment/>
    </xf>
    <xf numFmtId="3" fontId="12" fillId="55" borderId="2" xfId="176" applyNumberFormat="1" applyFont="1" applyFill="1" applyBorder="1">
      <alignment/>
      <protection/>
    </xf>
    <xf numFmtId="3" fontId="12" fillId="0" borderId="0" xfId="176" applyNumberFormat="1" applyFont="1" applyFill="1" applyAlignment="1">
      <alignment horizontal="right"/>
      <protection/>
    </xf>
    <xf numFmtId="3" fontId="13" fillId="0" borderId="0" xfId="176" applyNumberFormat="1" applyFont="1" applyFill="1" applyBorder="1" applyAlignment="1">
      <alignment horizontal="left"/>
      <protection/>
    </xf>
    <xf numFmtId="168" fontId="13" fillId="0" borderId="0" xfId="50" applyNumberFormat="1" applyFont="1" applyFill="1" applyAlignment="1">
      <alignment/>
    </xf>
    <xf numFmtId="3" fontId="13" fillId="55" borderId="0" xfId="176" applyNumberFormat="1" applyFont="1" applyFill="1">
      <alignment/>
      <protection/>
    </xf>
    <xf numFmtId="3" fontId="25" fillId="0" borderId="0" xfId="176" applyNumberFormat="1" applyFont="1" applyFill="1" applyBorder="1" applyAlignment="1">
      <alignment horizontal="left"/>
      <protection/>
    </xf>
    <xf numFmtId="3" fontId="13" fillId="0" borderId="0" xfId="176" applyNumberFormat="1" applyFont="1" applyFill="1" applyAlignment="1">
      <alignment horizontal="center"/>
      <protection/>
    </xf>
    <xf numFmtId="3" fontId="13" fillId="0" borderId="0" xfId="176" applyNumberFormat="1" applyFont="1" applyFill="1" applyAlignment="1">
      <alignment horizontal="left"/>
      <protection/>
    </xf>
    <xf numFmtId="168" fontId="13" fillId="0" borderId="0" xfId="50" applyNumberFormat="1" applyFont="1" applyFill="1" applyBorder="1" applyAlignment="1">
      <alignment/>
    </xf>
    <xf numFmtId="3" fontId="13" fillId="55" borderId="0" xfId="53" applyNumberFormat="1" applyFont="1" applyFill="1" applyBorder="1" applyAlignment="1">
      <alignment/>
    </xf>
    <xf numFmtId="3" fontId="13" fillId="55" borderId="0" xfId="176" applyNumberFormat="1" applyFont="1" applyFill="1" applyBorder="1">
      <alignment/>
      <protection/>
    </xf>
    <xf numFmtId="3" fontId="25" fillId="0" borderId="0" xfId="176" applyNumberFormat="1" applyFont="1" applyFill="1">
      <alignment/>
      <protection/>
    </xf>
    <xf numFmtId="0" fontId="12" fillId="0" borderId="0" xfId="176" applyFont="1" applyFill="1">
      <alignment/>
      <protection/>
    </xf>
    <xf numFmtId="0" fontId="12" fillId="0" borderId="0" xfId="176" applyFont="1" applyFill="1" applyAlignment="1">
      <alignment horizontal="right"/>
      <protection/>
    </xf>
    <xf numFmtId="0" fontId="12" fillId="0" borderId="0" xfId="176" applyFont="1" applyFill="1" applyAlignment="1">
      <alignment horizontal="left"/>
      <protection/>
    </xf>
    <xf numFmtId="43" fontId="13" fillId="0" borderId="0" xfId="50" applyFont="1" applyFill="1" applyAlignment="1">
      <alignment horizontal="center"/>
    </xf>
    <xf numFmtId="0" fontId="13" fillId="0" borderId="0" xfId="176" applyFont="1" applyAlignment="1">
      <alignment horizontal="center"/>
      <protection/>
    </xf>
    <xf numFmtId="0" fontId="12" fillId="0" borderId="0" xfId="176" applyFont="1">
      <alignment/>
      <protection/>
    </xf>
    <xf numFmtId="0" fontId="69" fillId="0" borderId="0" xfId="176" applyFont="1" applyFill="1" applyAlignment="1">
      <alignment horizontal="center"/>
      <protection/>
    </xf>
    <xf numFmtId="43" fontId="13" fillId="0" borderId="1" xfId="50" applyFont="1" applyFill="1" applyBorder="1" applyAlignment="1">
      <alignment horizontal="center"/>
    </xf>
    <xf numFmtId="0" fontId="13" fillId="0" borderId="1" xfId="176" applyFont="1" applyBorder="1" applyAlignment="1">
      <alignment horizontal="center"/>
      <protection/>
    </xf>
    <xf numFmtId="0" fontId="13" fillId="55" borderId="0" xfId="176" applyFont="1" applyFill="1">
      <alignment/>
      <protection/>
    </xf>
    <xf numFmtId="164" fontId="14" fillId="55" borderId="0" xfId="0" applyFont="1" applyFill="1" applyAlignment="1">
      <alignment/>
    </xf>
    <xf numFmtId="169" fontId="7" fillId="55" borderId="0" xfId="0" applyNumberFormat="1" applyFont="1" applyFill="1" applyAlignment="1" applyProtection="1">
      <alignment horizontal="left"/>
      <protection/>
    </xf>
    <xf numFmtId="41" fontId="14" fillId="55" borderId="0" xfId="71" applyNumberFormat="1" applyFont="1" applyFill="1" applyAlignment="1">
      <alignment/>
    </xf>
    <xf numFmtId="41" fontId="17" fillId="55" borderId="0" xfId="0" applyNumberFormat="1" applyFont="1" applyFill="1" applyAlignment="1">
      <alignment/>
    </xf>
    <xf numFmtId="41" fontId="17" fillId="55" borderId="0" xfId="50" applyNumberFormat="1" applyFont="1" applyFill="1" applyAlignment="1">
      <alignment/>
    </xf>
    <xf numFmtId="41" fontId="14" fillId="55" borderId="17" xfId="71" applyNumberFormat="1" applyFont="1" applyFill="1" applyBorder="1" applyAlignment="1">
      <alignment/>
    </xf>
    <xf numFmtId="41" fontId="17" fillId="55" borderId="2" xfId="71" applyNumberFormat="1" applyFont="1" applyFill="1" applyBorder="1" applyAlignment="1">
      <alignment/>
    </xf>
    <xf numFmtId="41" fontId="17" fillId="55" borderId="0" xfId="71" applyNumberFormat="1" applyFont="1" applyFill="1" applyAlignment="1">
      <alignment/>
    </xf>
    <xf numFmtId="41" fontId="17" fillId="57" borderId="2" xfId="71" applyNumberFormat="1" applyFont="1" applyFill="1" applyBorder="1" applyAlignment="1">
      <alignment/>
    </xf>
    <xf numFmtId="41" fontId="17" fillId="55" borderId="1" xfId="71" applyNumberFormat="1" applyFont="1" applyFill="1" applyBorder="1" applyAlignment="1">
      <alignment/>
    </xf>
    <xf numFmtId="49" fontId="13" fillId="57" borderId="2" xfId="402" applyNumberFormat="1" applyFont="1" applyFill="1" applyBorder="1" applyAlignment="1">
      <alignment horizontal="center"/>
      <protection/>
    </xf>
    <xf numFmtId="0" fontId="160" fillId="55" borderId="0" xfId="358" applyFont="1" applyFill="1">
      <alignment/>
      <protection/>
    </xf>
    <xf numFmtId="0" fontId="152" fillId="55" borderId="0" xfId="358" applyFont="1" applyFill="1">
      <alignment/>
      <protection/>
    </xf>
    <xf numFmtId="43" fontId="152" fillId="55" borderId="0" xfId="50" applyFont="1" applyFill="1" applyAlignment="1">
      <alignment/>
    </xf>
    <xf numFmtId="0" fontId="162" fillId="55" borderId="0" xfId="358" applyFont="1" applyFill="1">
      <alignment/>
      <protection/>
    </xf>
    <xf numFmtId="14" fontId="160" fillId="57" borderId="0" xfId="50" applyNumberFormat="1" applyFont="1" applyFill="1" applyAlignment="1">
      <alignment horizontal="center"/>
    </xf>
    <xf numFmtId="14" fontId="152" fillId="55" borderId="0" xfId="50" applyNumberFormat="1" applyFont="1" applyFill="1" applyAlignment="1">
      <alignment horizontal="center"/>
    </xf>
    <xf numFmtId="14" fontId="13" fillId="57" borderId="0" xfId="50" applyNumberFormat="1" applyFont="1" applyFill="1" applyAlignment="1">
      <alignment horizontal="center"/>
    </xf>
    <xf numFmtId="185" fontId="6" fillId="55" borderId="0" xfId="358" applyNumberFormat="1" applyFont="1" applyFill="1">
      <alignment/>
      <protection/>
    </xf>
    <xf numFmtId="43" fontId="7" fillId="55" borderId="0" xfId="50" applyFont="1" applyFill="1" applyBorder="1" applyAlignment="1">
      <alignment horizontal="center"/>
    </xf>
    <xf numFmtId="43" fontId="6" fillId="55" borderId="0" xfId="50" applyFont="1" applyFill="1" applyAlignment="1">
      <alignment/>
    </xf>
    <xf numFmtId="185" fontId="6" fillId="55" borderId="0" xfId="358" applyNumberFormat="1" applyFont="1" applyFill="1" applyAlignment="1">
      <alignment horizontal="center"/>
      <protection/>
    </xf>
    <xf numFmtId="43" fontId="7" fillId="55" borderId="2" xfId="50" applyFont="1" applyFill="1" applyBorder="1" applyAlignment="1">
      <alignment horizontal="center"/>
    </xf>
    <xf numFmtId="43" fontId="6" fillId="55" borderId="0" xfId="50" applyFont="1" applyFill="1" applyAlignment="1">
      <alignment horizontal="centerContinuous"/>
    </xf>
    <xf numFmtId="168" fontId="12" fillId="55" borderId="0" xfId="50" applyNumberFormat="1" applyFont="1" applyFill="1" applyAlignment="1">
      <alignment/>
    </xf>
    <xf numFmtId="0" fontId="166" fillId="55" borderId="0" xfId="358" applyFont="1" applyFill="1">
      <alignment/>
      <protection/>
    </xf>
    <xf numFmtId="168" fontId="12" fillId="57" borderId="2" xfId="50" applyNumberFormat="1" applyFont="1" applyFill="1" applyBorder="1" applyAlignment="1">
      <alignment/>
    </xf>
    <xf numFmtId="168" fontId="12" fillId="55" borderId="2" xfId="50" applyNumberFormat="1" applyFont="1" applyFill="1" applyBorder="1" applyAlignment="1">
      <alignment/>
    </xf>
    <xf numFmtId="168" fontId="12" fillId="55" borderId="0" xfId="50" applyNumberFormat="1" applyFont="1" applyFill="1" applyBorder="1" applyAlignment="1">
      <alignment/>
    </xf>
    <xf numFmtId="186" fontId="152" fillId="55" borderId="0" xfId="358" applyNumberFormat="1" applyFont="1" applyFill="1">
      <alignment/>
      <protection/>
    </xf>
    <xf numFmtId="186" fontId="162" fillId="55" borderId="0" xfId="358" applyNumberFormat="1" applyFont="1" applyFill="1">
      <alignment/>
      <protection/>
    </xf>
    <xf numFmtId="185" fontId="7" fillId="55" borderId="0" xfId="358" applyNumberFormat="1" applyFont="1" applyFill="1" applyAlignment="1">
      <alignment horizontal="center" vertical="center" textRotation="90"/>
      <protection/>
    </xf>
    <xf numFmtId="168" fontId="13" fillId="55" borderId="0" xfId="50" applyNumberFormat="1" applyFont="1" applyFill="1" applyAlignment="1">
      <alignment horizontal="center" vertical="center" textRotation="90"/>
    </xf>
    <xf numFmtId="168" fontId="12" fillId="55" borderId="17" xfId="50" applyNumberFormat="1" applyFont="1" applyFill="1" applyBorder="1" applyAlignment="1">
      <alignment/>
    </xf>
    <xf numFmtId="164" fontId="8" fillId="55" borderId="0" xfId="0" applyNumberFormat="1" applyFont="1" applyFill="1" applyAlignment="1" applyProtection="1">
      <alignment horizontal="center"/>
      <protection/>
    </xf>
    <xf numFmtId="169" fontId="17" fillId="55" borderId="0" xfId="0" applyNumberFormat="1" applyFont="1" applyFill="1" applyAlignment="1">
      <alignment horizontal="center"/>
    </xf>
    <xf numFmtId="169" fontId="17" fillId="55" borderId="0" xfId="0" applyNumberFormat="1" applyFont="1" applyFill="1" applyAlignment="1">
      <alignment/>
    </xf>
    <xf numFmtId="169" fontId="17" fillId="55" borderId="0" xfId="0" applyNumberFormat="1" applyFont="1" applyFill="1" applyBorder="1" applyAlignment="1">
      <alignment/>
    </xf>
    <xf numFmtId="164" fontId="94" fillId="55" borderId="0" xfId="0" applyNumberFormat="1" applyFont="1" applyFill="1" applyAlignment="1" applyProtection="1">
      <alignment horizontal="center"/>
      <protection/>
    </xf>
    <xf numFmtId="169" fontId="17" fillId="55" borderId="0" xfId="0" applyNumberFormat="1" applyFont="1" applyFill="1" applyAlignment="1">
      <alignment/>
    </xf>
    <xf numFmtId="169" fontId="145" fillId="55" borderId="0" xfId="0" applyNumberFormat="1" applyFont="1" applyFill="1" applyAlignment="1">
      <alignment/>
    </xf>
    <xf numFmtId="169" fontId="14" fillId="55" borderId="0" xfId="0" applyNumberFormat="1" applyFont="1" applyFill="1" applyBorder="1" applyAlignment="1">
      <alignment/>
    </xf>
    <xf numFmtId="169" fontId="17" fillId="55" borderId="0" xfId="0" applyNumberFormat="1" applyFont="1" applyFill="1" applyBorder="1" applyAlignment="1">
      <alignment/>
    </xf>
    <xf numFmtId="169" fontId="14" fillId="55" borderId="0" xfId="0" applyNumberFormat="1" applyFont="1" applyFill="1" applyAlignment="1">
      <alignment horizontal="center"/>
    </xf>
    <xf numFmtId="169" fontId="76" fillId="55" borderId="0" xfId="0" applyNumberFormat="1" applyFont="1" applyFill="1" applyAlignment="1">
      <alignment/>
    </xf>
    <xf numFmtId="169" fontId="14" fillId="55" borderId="0" xfId="0" applyNumberFormat="1" applyFont="1" applyFill="1" applyBorder="1" applyAlignment="1">
      <alignment horizontal="center"/>
    </xf>
    <xf numFmtId="169" fontId="17" fillId="55" borderId="2" xfId="0" applyNumberFormat="1" applyFont="1" applyFill="1" applyBorder="1" applyAlignment="1">
      <alignment horizontal="center"/>
    </xf>
    <xf numFmtId="169" fontId="17" fillId="55" borderId="0" xfId="0" applyNumberFormat="1" applyFont="1" applyFill="1" applyAlignment="1">
      <alignment horizontal="left"/>
    </xf>
    <xf numFmtId="169" fontId="17" fillId="55" borderId="0" xfId="0" applyNumberFormat="1" applyFont="1" applyFill="1" applyAlignment="1">
      <alignment horizontal="left" indent="1"/>
    </xf>
    <xf numFmtId="10" fontId="17" fillId="55" borderId="0" xfId="407" applyNumberFormat="1" applyFont="1" applyFill="1" applyAlignment="1">
      <alignment/>
    </xf>
    <xf numFmtId="168" fontId="17" fillId="55" borderId="0" xfId="44" applyNumberFormat="1" applyFont="1" applyFill="1" applyAlignment="1">
      <alignment/>
    </xf>
    <xf numFmtId="169" fontId="17" fillId="55" borderId="31" xfId="0" applyNumberFormat="1" applyFont="1" applyFill="1" applyBorder="1" applyAlignment="1">
      <alignment/>
    </xf>
    <xf numFmtId="169" fontId="89" fillId="55" borderId="0" xfId="0" applyNumberFormat="1" applyFont="1" applyFill="1" applyAlignment="1">
      <alignment horizontal="center"/>
    </xf>
    <xf numFmtId="169" fontId="89" fillId="55" borderId="0" xfId="0" applyNumberFormat="1" applyFont="1" applyFill="1" applyAlignment="1">
      <alignment horizontal="left" indent="1"/>
    </xf>
    <xf numFmtId="169" fontId="89" fillId="55" borderId="0" xfId="0" applyNumberFormat="1" applyFont="1" applyFill="1" applyAlignment="1">
      <alignment/>
    </xf>
    <xf numFmtId="164" fontId="95" fillId="55" borderId="0" xfId="0" applyNumberFormat="1" applyFont="1" applyFill="1" applyAlignment="1" applyProtection="1">
      <alignment/>
      <protection/>
    </xf>
    <xf numFmtId="169" fontId="96" fillId="55" borderId="0" xfId="0" applyNumberFormat="1" applyFont="1" applyFill="1" applyBorder="1" applyAlignment="1">
      <alignment/>
    </xf>
    <xf numFmtId="169" fontId="89" fillId="55" borderId="0" xfId="0" applyNumberFormat="1" applyFont="1" applyFill="1" applyBorder="1" applyAlignment="1">
      <alignment/>
    </xf>
    <xf numFmtId="169" fontId="96" fillId="55" borderId="0" xfId="0" applyNumberFormat="1" applyFont="1" applyFill="1" applyBorder="1" applyAlignment="1">
      <alignment horizontal="center"/>
    </xf>
    <xf numFmtId="169" fontId="17" fillId="55" borderId="0" xfId="0" applyNumberFormat="1" applyFont="1" applyFill="1" applyBorder="1" applyAlignment="1">
      <alignment horizontal="center"/>
    </xf>
    <xf numFmtId="169" fontId="145" fillId="55" borderId="0" xfId="0" applyNumberFormat="1" applyFont="1" applyFill="1" applyBorder="1" applyAlignment="1">
      <alignment/>
    </xf>
    <xf numFmtId="169" fontId="76" fillId="55" borderId="0" xfId="0" applyNumberFormat="1" applyFont="1" applyFill="1" applyAlignment="1">
      <alignment horizontal="left"/>
    </xf>
    <xf numFmtId="169" fontId="8" fillId="55" borderId="0" xfId="0" applyNumberFormat="1" applyFont="1" applyFill="1" applyAlignment="1" applyProtection="1">
      <alignment horizontal="center"/>
      <protection/>
    </xf>
    <xf numFmtId="169" fontId="94" fillId="55" borderId="0" xfId="0" applyNumberFormat="1" applyFont="1" applyFill="1" applyAlignment="1" applyProtection="1">
      <alignment horizontal="center"/>
      <protection/>
    </xf>
    <xf numFmtId="169" fontId="76" fillId="55" borderId="0" xfId="0" applyNumberFormat="1" applyFont="1" applyFill="1" applyAlignment="1">
      <alignment horizontal="center"/>
    </xf>
    <xf numFmtId="169" fontId="76" fillId="55" borderId="0" xfId="0" applyNumberFormat="1" applyFont="1" applyFill="1" applyBorder="1" applyAlignment="1">
      <alignment/>
    </xf>
    <xf numFmtId="169" fontId="76" fillId="55" borderId="0" xfId="0" applyNumberFormat="1" applyFont="1" applyFill="1" applyBorder="1" applyAlignment="1">
      <alignment horizontal="center"/>
    </xf>
    <xf numFmtId="169" fontId="76" fillId="55" borderId="0" xfId="0" applyNumberFormat="1" applyFont="1" applyFill="1" applyBorder="1" applyAlignment="1">
      <alignment/>
    </xf>
    <xf numFmtId="169" fontId="145" fillId="55" borderId="0" xfId="0" applyNumberFormat="1" applyFont="1" applyFill="1" applyAlignment="1">
      <alignment/>
    </xf>
    <xf numFmtId="169" fontId="17" fillId="55" borderId="0" xfId="71" applyNumberFormat="1" applyFont="1" applyFill="1" applyBorder="1" applyAlignment="1">
      <alignment/>
    </xf>
    <xf numFmtId="169" fontId="17" fillId="55" borderId="2" xfId="71" applyNumberFormat="1" applyFont="1" applyFill="1" applyBorder="1" applyAlignment="1">
      <alignment/>
    </xf>
    <xf numFmtId="169" fontId="17" fillId="55" borderId="0" xfId="0" applyNumberFormat="1" applyFont="1" applyFill="1" applyAlignment="1">
      <alignment horizontal="left" indent="2"/>
    </xf>
    <xf numFmtId="169" fontId="17" fillId="55" borderId="17" xfId="71" applyNumberFormat="1" applyFont="1" applyFill="1" applyBorder="1" applyAlignment="1">
      <alignment/>
    </xf>
    <xf numFmtId="169" fontId="17" fillId="55" borderId="31" xfId="71" applyNumberFormat="1" applyFont="1" applyFill="1" applyBorder="1" applyAlignment="1">
      <alignment/>
    </xf>
    <xf numFmtId="169" fontId="89" fillId="55" borderId="0" xfId="0" applyNumberFormat="1" applyFont="1" applyFill="1" applyAlignment="1">
      <alignment/>
    </xf>
    <xf numFmtId="169" fontId="17" fillId="55" borderId="0" xfId="0" applyNumberFormat="1" applyFont="1" applyFill="1" applyAlignment="1">
      <alignment horizontal="right"/>
    </xf>
    <xf numFmtId="169" fontId="89" fillId="55" borderId="0" xfId="71" applyNumberFormat="1" applyFont="1" applyFill="1" applyBorder="1" applyAlignment="1">
      <alignment/>
    </xf>
    <xf numFmtId="169" fontId="90" fillId="55" borderId="0" xfId="0" applyNumberFormat="1" applyFont="1" applyFill="1" applyAlignment="1">
      <alignment horizontal="center"/>
    </xf>
    <xf numFmtId="1" fontId="14" fillId="57" borderId="20" xfId="0" applyNumberFormat="1" applyFont="1" applyFill="1" applyBorder="1" applyAlignment="1">
      <alignment/>
    </xf>
    <xf numFmtId="1" fontId="14" fillId="57" borderId="26" xfId="0" applyNumberFormat="1" applyFont="1" applyFill="1" applyBorder="1" applyAlignment="1">
      <alignment/>
    </xf>
    <xf numFmtId="169" fontId="89" fillId="55" borderId="0" xfId="0" applyNumberFormat="1" applyFont="1" applyFill="1" applyBorder="1" applyAlignment="1">
      <alignment/>
    </xf>
    <xf numFmtId="169" fontId="17" fillId="55" borderId="37" xfId="0" applyNumberFormat="1" applyFont="1" applyFill="1" applyBorder="1" applyAlignment="1">
      <alignment/>
    </xf>
    <xf numFmtId="169" fontId="17" fillId="57" borderId="0" xfId="0" applyNumberFormat="1" applyFont="1" applyFill="1" applyAlignment="1">
      <alignment/>
    </xf>
    <xf numFmtId="169" fontId="14" fillId="55" borderId="0" xfId="0" applyNumberFormat="1" applyFont="1" applyFill="1" applyAlignment="1">
      <alignment/>
    </xf>
    <xf numFmtId="164" fontId="163" fillId="0" borderId="0" xfId="0" applyFont="1" applyAlignment="1">
      <alignment/>
    </xf>
    <xf numFmtId="190" fontId="163" fillId="0" borderId="0" xfId="0" applyNumberFormat="1" applyFont="1" applyAlignment="1">
      <alignment/>
    </xf>
    <xf numFmtId="191" fontId="17" fillId="55" borderId="0" xfId="0" applyNumberFormat="1" applyFont="1" applyFill="1" applyAlignment="1">
      <alignment/>
    </xf>
    <xf numFmtId="164" fontId="82" fillId="55" borderId="0" xfId="0" applyNumberFormat="1" applyFont="1" applyFill="1" applyAlignment="1" applyProtection="1">
      <alignment horizontal="center"/>
      <protection/>
    </xf>
    <xf numFmtId="164" fontId="82" fillId="55" borderId="0" xfId="0" applyNumberFormat="1" applyFont="1" applyFill="1" applyAlignment="1" applyProtection="1">
      <alignment/>
      <protection/>
    </xf>
    <xf numFmtId="49" fontId="7" fillId="55" borderId="0" xfId="0" applyNumberFormat="1" applyFont="1" applyFill="1" applyAlignment="1" applyProtection="1">
      <alignment horizontal="center"/>
      <protection/>
    </xf>
    <xf numFmtId="5" fontId="6" fillId="55" borderId="0" xfId="0" applyNumberFormat="1" applyFont="1" applyFill="1" applyAlignment="1" applyProtection="1">
      <alignment/>
      <protection/>
    </xf>
    <xf numFmtId="3" fontId="6" fillId="55" borderId="0" xfId="0" applyNumberFormat="1" applyFont="1" applyFill="1" applyAlignment="1" applyProtection="1">
      <alignment/>
      <protection/>
    </xf>
    <xf numFmtId="3" fontId="6" fillId="55" borderId="16" xfId="0" applyNumberFormat="1" applyFont="1" applyFill="1" applyBorder="1" applyAlignment="1" applyProtection="1">
      <alignment/>
      <protection/>
    </xf>
    <xf numFmtId="3" fontId="6" fillId="55" borderId="0" xfId="0" applyNumberFormat="1" applyFont="1" applyFill="1" applyBorder="1" applyAlignment="1" applyProtection="1">
      <alignment/>
      <protection/>
    </xf>
    <xf numFmtId="5" fontId="7" fillId="55" borderId="0" xfId="0" applyNumberFormat="1" applyFont="1" applyFill="1" applyAlignment="1" applyProtection="1">
      <alignment/>
      <protection/>
    </xf>
    <xf numFmtId="168" fontId="7" fillId="55" borderId="0" xfId="44" applyNumberFormat="1" applyFont="1" applyFill="1" applyAlignment="1" applyProtection="1">
      <alignment/>
      <protection/>
    </xf>
    <xf numFmtId="5" fontId="7" fillId="55" borderId="0" xfId="0" applyNumberFormat="1" applyFont="1" applyFill="1" applyAlignment="1" applyProtection="1">
      <alignment horizontal="center"/>
      <protection/>
    </xf>
    <xf numFmtId="168" fontId="7" fillId="55" borderId="0" xfId="44" applyNumberFormat="1" applyFont="1" applyFill="1" applyAlignment="1" applyProtection="1">
      <alignment horizontal="right"/>
      <protection/>
    </xf>
    <xf numFmtId="168" fontId="7" fillId="55" borderId="38" xfId="44" applyNumberFormat="1" applyFont="1" applyFill="1" applyBorder="1" applyAlignment="1" applyProtection="1">
      <alignment/>
      <protection/>
    </xf>
    <xf numFmtId="5" fontId="7" fillId="55" borderId="0" xfId="0" applyNumberFormat="1" applyFont="1" applyFill="1" applyBorder="1" applyAlignment="1" applyProtection="1">
      <alignment/>
      <protection/>
    </xf>
    <xf numFmtId="164" fontId="6" fillId="55" borderId="0" xfId="0" applyNumberFormat="1" applyFont="1" applyFill="1" applyAlignment="1" applyProtection="1">
      <alignment horizontal="left"/>
      <protection/>
    </xf>
    <xf numFmtId="169" fontId="12" fillId="55" borderId="0" xfId="0" applyNumberFormat="1" applyFont="1" applyFill="1" applyAlignment="1" applyProtection="1">
      <alignment/>
      <protection/>
    </xf>
    <xf numFmtId="164" fontId="7" fillId="0" borderId="0" xfId="0" applyNumberFormat="1" applyFont="1" applyFill="1" applyAlignment="1" applyProtection="1">
      <alignment horizontal="center"/>
      <protection/>
    </xf>
    <xf numFmtId="164" fontId="6" fillId="0" borderId="0" xfId="0" applyNumberFormat="1" applyFont="1" applyFill="1" applyAlignment="1" applyProtection="1">
      <alignment horizontal="center"/>
      <protection/>
    </xf>
    <xf numFmtId="164" fontId="12" fillId="0" borderId="0" xfId="0" applyFont="1" applyFill="1" applyAlignment="1">
      <alignment/>
    </xf>
    <xf numFmtId="164" fontId="6" fillId="0" borderId="0" xfId="0" applyNumberFormat="1" applyFont="1" applyFill="1" applyAlignment="1" applyProtection="1">
      <alignment horizontal="left"/>
      <protection/>
    </xf>
    <xf numFmtId="169" fontId="12" fillId="0" borderId="0" xfId="0" applyNumberFormat="1" applyFont="1" applyFill="1" applyAlignment="1" applyProtection="1">
      <alignment/>
      <protection/>
    </xf>
    <xf numFmtId="164" fontId="6" fillId="58" borderId="0" xfId="0" applyNumberFormat="1" applyFont="1" applyFill="1" applyAlignment="1" applyProtection="1">
      <alignment/>
      <protection/>
    </xf>
    <xf numFmtId="164" fontId="12" fillId="58" borderId="0" xfId="0" applyFont="1" applyFill="1" applyAlignment="1">
      <alignment/>
    </xf>
    <xf numFmtId="164" fontId="164" fillId="55" borderId="0" xfId="0" applyNumberFormat="1" applyFont="1" applyFill="1" applyAlignment="1" applyProtection="1">
      <alignment/>
      <protection/>
    </xf>
    <xf numFmtId="41" fontId="6" fillId="55" borderId="0" xfId="0" applyNumberFormat="1" applyFont="1" applyFill="1" applyAlignment="1" applyProtection="1">
      <alignment/>
      <protection/>
    </xf>
    <xf numFmtId="164" fontId="13" fillId="55" borderId="0" xfId="0" applyNumberFormat="1" applyFont="1" applyFill="1" applyAlignment="1" applyProtection="1">
      <alignment horizontal="center"/>
      <protection/>
    </xf>
    <xf numFmtId="164" fontId="12" fillId="55" borderId="0" xfId="0" applyNumberFormat="1" applyFont="1" applyFill="1" applyAlignment="1" applyProtection="1">
      <alignment horizontal="center"/>
      <protection/>
    </xf>
    <xf numFmtId="164" fontId="12" fillId="55" borderId="0" xfId="0" applyNumberFormat="1" applyFont="1" applyFill="1" applyAlignment="1" applyProtection="1">
      <alignment/>
      <protection/>
    </xf>
    <xf numFmtId="5" fontId="13" fillId="55" borderId="0" xfId="0" applyNumberFormat="1" applyFont="1" applyFill="1" applyAlignment="1" applyProtection="1">
      <alignment/>
      <protection/>
    </xf>
    <xf numFmtId="168" fontId="13" fillId="55" borderId="39" xfId="44" applyNumberFormat="1" applyFont="1" applyFill="1" applyBorder="1" applyAlignment="1" applyProtection="1">
      <alignment/>
      <protection/>
    </xf>
    <xf numFmtId="0" fontId="12" fillId="55" borderId="0" xfId="0" applyNumberFormat="1" applyFont="1" applyFill="1" applyAlignment="1" applyProtection="1">
      <alignment/>
      <protection/>
    </xf>
    <xf numFmtId="49" fontId="6" fillId="55" borderId="0" xfId="0" applyNumberFormat="1" applyFont="1" applyFill="1" applyAlignment="1" applyProtection="1">
      <alignment horizontal="center"/>
      <protection/>
    </xf>
    <xf numFmtId="49" fontId="82" fillId="55" borderId="0" xfId="0" applyNumberFormat="1" applyFont="1" applyFill="1" applyAlignment="1" applyProtection="1">
      <alignment horizontal="center"/>
      <protection/>
    </xf>
    <xf numFmtId="49" fontId="82" fillId="55" borderId="0" xfId="0" applyNumberFormat="1" applyFont="1" applyFill="1" applyAlignment="1" applyProtection="1">
      <alignment horizontal="left"/>
      <protection/>
    </xf>
    <xf numFmtId="164" fontId="97" fillId="55" borderId="0" xfId="0" applyNumberFormat="1" applyFont="1" applyFill="1" applyAlignment="1" applyProtection="1">
      <alignment/>
      <protection/>
    </xf>
    <xf numFmtId="3" fontId="12" fillId="55" borderId="0" xfId="44" applyNumberFormat="1" applyFont="1" applyFill="1" applyAlignment="1" applyProtection="1">
      <alignment/>
      <protection/>
    </xf>
    <xf numFmtId="3" fontId="164" fillId="55" borderId="0" xfId="44" applyNumberFormat="1" applyFont="1" applyFill="1" applyAlignment="1" applyProtection="1">
      <alignment/>
      <protection/>
    </xf>
    <xf numFmtId="3" fontId="164" fillId="55" borderId="0" xfId="44" applyNumberFormat="1" applyFont="1" applyFill="1" applyAlignment="1">
      <alignment/>
    </xf>
    <xf numFmtId="168" fontId="12" fillId="55" borderId="0" xfId="44" applyNumberFormat="1" applyFont="1" applyFill="1" applyAlignment="1" applyProtection="1">
      <alignment/>
      <protection/>
    </xf>
    <xf numFmtId="164" fontId="12" fillId="0" borderId="0" xfId="0" applyFont="1" applyFill="1" applyBorder="1" applyAlignment="1">
      <alignment/>
    </xf>
    <xf numFmtId="3" fontId="12" fillId="55" borderId="0" xfId="44" applyNumberFormat="1" applyFont="1" applyFill="1" applyAlignment="1">
      <alignment/>
    </xf>
    <xf numFmtId="49" fontId="12" fillId="55" borderId="0" xfId="0" applyNumberFormat="1" applyFont="1" applyFill="1" applyAlignment="1" applyProtection="1">
      <alignment horizontal="left"/>
      <protection/>
    </xf>
    <xf numFmtId="5" fontId="6" fillId="55" borderId="0" xfId="0" applyNumberFormat="1" applyFont="1" applyFill="1" applyBorder="1" applyAlignment="1" applyProtection="1">
      <alignment/>
      <protection/>
    </xf>
    <xf numFmtId="10" fontId="7" fillId="55" borderId="0" xfId="0" applyNumberFormat="1" applyFont="1" applyFill="1" applyAlignment="1" applyProtection="1">
      <alignment/>
      <protection/>
    </xf>
    <xf numFmtId="164" fontId="7" fillId="55" borderId="0" xfId="0" applyNumberFormat="1" applyFont="1" applyFill="1" applyAlignment="1" applyProtection="1">
      <alignment horizontal="left" indent="1"/>
      <protection/>
    </xf>
    <xf numFmtId="164" fontId="7" fillId="55" borderId="0" xfId="0" applyNumberFormat="1" applyFont="1" applyFill="1" applyAlignment="1" applyProtection="1">
      <alignment horizontal="left"/>
      <protection/>
    </xf>
    <xf numFmtId="3" fontId="6" fillId="0" borderId="0" xfId="0" applyNumberFormat="1" applyFont="1" applyFill="1" applyAlignment="1" applyProtection="1">
      <alignment/>
      <protection/>
    </xf>
    <xf numFmtId="0" fontId="12" fillId="0" borderId="0" xfId="280" applyFont="1">
      <alignment/>
      <protection/>
    </xf>
    <xf numFmtId="5" fontId="6" fillId="0" borderId="0" xfId="0" applyNumberFormat="1" applyFont="1" applyFill="1" applyAlignment="1" applyProtection="1">
      <alignment/>
      <protection/>
    </xf>
    <xf numFmtId="3" fontId="6" fillId="0" borderId="16" xfId="0" applyNumberFormat="1" applyFont="1" applyFill="1" applyBorder="1" applyAlignment="1" applyProtection="1">
      <alignment/>
      <protection/>
    </xf>
    <xf numFmtId="169" fontId="6" fillId="55" borderId="0" xfId="0" applyNumberFormat="1" applyFont="1" applyFill="1" applyAlignment="1" applyProtection="1">
      <alignment/>
      <protection/>
    </xf>
    <xf numFmtId="169" fontId="7" fillId="55" borderId="0" xfId="0" applyNumberFormat="1" applyFont="1" applyFill="1" applyAlignment="1" applyProtection="1">
      <alignment/>
      <protection/>
    </xf>
    <xf numFmtId="169" fontId="164" fillId="55" borderId="0" xfId="0" applyNumberFormat="1" applyFont="1" applyFill="1" applyAlignment="1" applyProtection="1">
      <alignment/>
      <protection/>
    </xf>
    <xf numFmtId="169" fontId="164" fillId="0" borderId="0" xfId="0" applyNumberFormat="1" applyFont="1" applyFill="1" applyAlignment="1">
      <alignment/>
    </xf>
    <xf numFmtId="169" fontId="12" fillId="55" borderId="0" xfId="0" applyNumberFormat="1" applyFont="1" applyFill="1" applyAlignment="1">
      <alignment/>
    </xf>
    <xf numFmtId="168" fontId="6" fillId="55" borderId="0" xfId="44" applyNumberFormat="1" applyFont="1" applyFill="1" applyAlignment="1" applyProtection="1">
      <alignment/>
      <protection/>
    </xf>
    <xf numFmtId="10" fontId="7" fillId="0" borderId="0" xfId="0" applyNumberFormat="1" applyFont="1" applyFill="1" applyAlignment="1" applyProtection="1">
      <alignment horizontal="center"/>
      <protection/>
    </xf>
    <xf numFmtId="168" fontId="7" fillId="55" borderId="39" xfId="44" applyNumberFormat="1" applyFont="1" applyFill="1" applyBorder="1" applyAlignment="1" applyProtection="1">
      <alignment/>
      <protection/>
    </xf>
    <xf numFmtId="164" fontId="145" fillId="55" borderId="0" xfId="0" applyFont="1" applyFill="1" applyAlignment="1">
      <alignment/>
    </xf>
    <xf numFmtId="164" fontId="17" fillId="55" borderId="0" xfId="0" applyFont="1" applyFill="1" applyAlignment="1">
      <alignment horizontal="center"/>
    </xf>
    <xf numFmtId="164" fontId="14" fillId="55" borderId="0" xfId="0" applyFont="1" applyFill="1" applyAlignment="1">
      <alignment horizontal="center"/>
    </xf>
    <xf numFmtId="164" fontId="14" fillId="55" borderId="0" xfId="0" applyFont="1" applyFill="1" applyAlignment="1">
      <alignment/>
    </xf>
    <xf numFmtId="164" fontId="76" fillId="55" borderId="0" xfId="0" applyFont="1" applyFill="1" applyAlignment="1">
      <alignment horizontal="center"/>
    </xf>
    <xf numFmtId="164" fontId="76" fillId="55" borderId="0" xfId="0" applyFont="1" applyFill="1" applyAlignment="1">
      <alignment/>
    </xf>
    <xf numFmtId="164" fontId="98" fillId="55" borderId="0" xfId="0" applyNumberFormat="1" applyFont="1" applyFill="1" applyAlignment="1" applyProtection="1">
      <alignment horizontal="center"/>
      <protection/>
    </xf>
    <xf numFmtId="164" fontId="17" fillId="55" borderId="0" xfId="0" applyFont="1" applyFill="1" applyAlignment="1" quotePrefix="1">
      <alignment horizontal="center"/>
    </xf>
    <xf numFmtId="164" fontId="17" fillId="55" borderId="0" xfId="0" applyFont="1" applyFill="1" applyBorder="1" applyAlignment="1">
      <alignment/>
    </xf>
    <xf numFmtId="164" fontId="17" fillId="55" borderId="40" xfId="0" applyFont="1" applyFill="1" applyBorder="1" applyAlignment="1">
      <alignment/>
    </xf>
    <xf numFmtId="164" fontId="145" fillId="55" borderId="30" xfId="0" applyFont="1" applyFill="1" applyBorder="1" applyAlignment="1">
      <alignment/>
    </xf>
    <xf numFmtId="164" fontId="17" fillId="55" borderId="30" xfId="0" applyFont="1" applyFill="1" applyBorder="1" applyAlignment="1">
      <alignment horizontal="center"/>
    </xf>
    <xf numFmtId="164" fontId="17" fillId="55" borderId="30" xfId="0" applyFont="1" applyFill="1" applyBorder="1" applyAlignment="1">
      <alignment/>
    </xf>
    <xf numFmtId="41" fontId="17" fillId="55" borderId="40" xfId="71" applyNumberFormat="1" applyFont="1" applyFill="1" applyBorder="1" applyAlignment="1">
      <alignment/>
    </xf>
    <xf numFmtId="41" fontId="17" fillId="55" borderId="30" xfId="71" applyNumberFormat="1" applyFont="1" applyFill="1" applyBorder="1" applyAlignment="1">
      <alignment/>
    </xf>
    <xf numFmtId="41" fontId="17" fillId="55" borderId="41" xfId="71" applyNumberFormat="1" applyFont="1" applyFill="1" applyBorder="1" applyAlignment="1">
      <alignment/>
    </xf>
    <xf numFmtId="164" fontId="17" fillId="55" borderId="42" xfId="0" applyFont="1" applyFill="1" applyBorder="1" applyAlignment="1">
      <alignment/>
    </xf>
    <xf numFmtId="164" fontId="145" fillId="55" borderId="0" xfId="0" applyFont="1" applyFill="1" applyBorder="1" applyAlignment="1">
      <alignment/>
    </xf>
    <xf numFmtId="164" fontId="17" fillId="55" borderId="0" xfId="0" applyFont="1" applyFill="1" applyBorder="1" applyAlignment="1">
      <alignment horizontal="center"/>
    </xf>
    <xf numFmtId="41" fontId="17" fillId="55" borderId="42" xfId="71" applyNumberFormat="1" applyFont="1" applyFill="1" applyBorder="1" applyAlignment="1">
      <alignment/>
    </xf>
    <xf numFmtId="41" fontId="17" fillId="55" borderId="0" xfId="71" applyNumberFormat="1" applyFont="1" applyFill="1" applyBorder="1" applyAlignment="1">
      <alignment/>
    </xf>
    <xf numFmtId="41" fontId="17" fillId="55" borderId="43" xfId="71" applyNumberFormat="1" applyFont="1" applyFill="1" applyBorder="1" applyAlignment="1">
      <alignment/>
    </xf>
    <xf numFmtId="164" fontId="90" fillId="55" borderId="0" xfId="0" applyFont="1" applyFill="1" applyAlignment="1">
      <alignment/>
    </xf>
    <xf numFmtId="164" fontId="167" fillId="55" borderId="0" xfId="0" applyFont="1" applyFill="1" applyBorder="1" applyAlignment="1">
      <alignment/>
    </xf>
    <xf numFmtId="164" fontId="90" fillId="55" borderId="0" xfId="0" applyFont="1" applyFill="1" applyBorder="1" applyAlignment="1">
      <alignment/>
    </xf>
    <xf numFmtId="41" fontId="90" fillId="55" borderId="42" xfId="71" applyNumberFormat="1" applyFont="1" applyFill="1" applyBorder="1" applyAlignment="1">
      <alignment/>
    </xf>
    <xf numFmtId="41" fontId="90" fillId="55" borderId="0" xfId="71" applyNumberFormat="1" applyFont="1" applyFill="1" applyBorder="1" applyAlignment="1">
      <alignment/>
    </xf>
    <xf numFmtId="41" fontId="90" fillId="55" borderId="43" xfId="71" applyNumberFormat="1" applyFont="1" applyFill="1" applyBorder="1" applyAlignment="1">
      <alignment/>
    </xf>
    <xf numFmtId="164" fontId="17" fillId="55" borderId="25" xfId="0" applyFont="1" applyFill="1" applyBorder="1" applyAlignment="1">
      <alignment/>
    </xf>
    <xf numFmtId="164" fontId="145" fillId="55" borderId="2" xfId="0" applyFont="1" applyFill="1" applyBorder="1" applyAlignment="1">
      <alignment/>
    </xf>
    <xf numFmtId="164" fontId="17" fillId="55" borderId="2" xfId="0" applyFont="1" applyFill="1" applyBorder="1" applyAlignment="1">
      <alignment horizontal="center"/>
    </xf>
    <xf numFmtId="164" fontId="17" fillId="55" borderId="2" xfId="0" applyFont="1" applyFill="1" applyBorder="1" applyAlignment="1">
      <alignment/>
    </xf>
    <xf numFmtId="41" fontId="17" fillId="55" borderId="25" xfId="71" applyNumberFormat="1" applyFont="1" applyFill="1" applyBorder="1" applyAlignment="1">
      <alignment/>
    </xf>
    <xf numFmtId="41" fontId="17" fillId="55" borderId="2" xfId="71" applyNumberFormat="1" applyFont="1" applyFill="1" applyBorder="1" applyAlignment="1">
      <alignment/>
    </xf>
    <xf numFmtId="41" fontId="17" fillId="55" borderId="44" xfId="71" applyNumberFormat="1" applyFont="1" applyFill="1" applyBorder="1" applyAlignment="1">
      <alignment/>
    </xf>
    <xf numFmtId="41" fontId="17" fillId="55" borderId="0" xfId="0" applyNumberFormat="1" applyFont="1" applyFill="1" applyAlignment="1">
      <alignment/>
    </xf>
    <xf numFmtId="41" fontId="17" fillId="55" borderId="0" xfId="71" applyNumberFormat="1" applyFont="1" applyFill="1" applyAlignment="1">
      <alignment/>
    </xf>
    <xf numFmtId="164" fontId="17" fillId="55" borderId="40" xfId="0" applyFont="1" applyFill="1" applyBorder="1" applyAlignment="1">
      <alignment/>
    </xf>
    <xf numFmtId="164" fontId="145" fillId="55" borderId="30" xfId="0" applyFont="1" applyFill="1" applyBorder="1" applyAlignment="1">
      <alignment/>
    </xf>
    <xf numFmtId="164" fontId="17" fillId="55" borderId="30" xfId="0" applyFont="1" applyFill="1" applyBorder="1" applyAlignment="1">
      <alignment horizontal="center"/>
    </xf>
    <xf numFmtId="164" fontId="17" fillId="55" borderId="30" xfId="0" applyFont="1" applyFill="1" applyBorder="1" applyAlignment="1">
      <alignment/>
    </xf>
    <xf numFmtId="41" fontId="17" fillId="55" borderId="40" xfId="71" applyNumberFormat="1" applyFont="1" applyFill="1" applyBorder="1" applyAlignment="1">
      <alignment/>
    </xf>
    <xf numFmtId="41" fontId="17" fillId="55" borderId="30" xfId="71" applyNumberFormat="1" applyFont="1" applyFill="1" applyBorder="1" applyAlignment="1">
      <alignment/>
    </xf>
    <xf numFmtId="41" fontId="17" fillId="55" borderId="41" xfId="71" applyNumberFormat="1" applyFont="1" applyFill="1" applyBorder="1" applyAlignment="1">
      <alignment/>
    </xf>
    <xf numFmtId="41" fontId="100" fillId="55" borderId="42" xfId="71" applyNumberFormat="1" applyFont="1" applyFill="1" applyBorder="1" applyAlignment="1">
      <alignment/>
    </xf>
    <xf numFmtId="41" fontId="100" fillId="55" borderId="0" xfId="71" applyNumberFormat="1" applyFont="1" applyFill="1" applyBorder="1" applyAlignment="1">
      <alignment/>
    </xf>
    <xf numFmtId="41" fontId="100" fillId="55" borderId="43" xfId="71" applyNumberFormat="1" applyFont="1" applyFill="1" applyBorder="1" applyAlignment="1">
      <alignment/>
    </xf>
    <xf numFmtId="164" fontId="168" fillId="55" borderId="0" xfId="0" applyFont="1" applyFill="1" applyBorder="1" applyAlignment="1">
      <alignment horizontal="center"/>
    </xf>
    <xf numFmtId="164" fontId="17" fillId="0" borderId="42" xfId="0" applyFont="1" applyFill="1" applyBorder="1" applyAlignment="1">
      <alignment/>
    </xf>
    <xf numFmtId="164" fontId="90" fillId="55" borderId="42" xfId="0" applyFont="1" applyFill="1" applyBorder="1" applyAlignment="1">
      <alignment/>
    </xf>
    <xf numFmtId="41" fontId="17" fillId="55" borderId="42" xfId="0" applyNumberFormat="1" applyFont="1" applyFill="1" applyBorder="1" applyAlignment="1">
      <alignment/>
    </xf>
    <xf numFmtId="41" fontId="17" fillId="55" borderId="0" xfId="0" applyNumberFormat="1" applyFont="1" applyFill="1" applyBorder="1" applyAlignment="1">
      <alignment/>
    </xf>
    <xf numFmtId="164" fontId="14" fillId="55" borderId="0" xfId="0" applyFont="1" applyFill="1" applyBorder="1" applyAlignment="1">
      <alignment/>
    </xf>
    <xf numFmtId="164" fontId="14" fillId="55" borderId="0" xfId="0" applyFont="1" applyFill="1" applyBorder="1" applyAlignment="1">
      <alignment horizontal="center"/>
    </xf>
    <xf numFmtId="164" fontId="14" fillId="55" borderId="25" xfId="0" applyFont="1" applyFill="1" applyBorder="1" applyAlignment="1">
      <alignment/>
    </xf>
    <xf numFmtId="164" fontId="168" fillId="55" borderId="2" xfId="0" applyFont="1" applyFill="1" applyBorder="1" applyAlignment="1">
      <alignment/>
    </xf>
    <xf numFmtId="164" fontId="14" fillId="55" borderId="2" xfId="0" applyFont="1" applyFill="1" applyBorder="1" applyAlignment="1">
      <alignment horizontal="center"/>
    </xf>
    <xf numFmtId="164" fontId="14" fillId="55" borderId="2" xfId="0" applyFont="1" applyFill="1" applyBorder="1" applyAlignment="1">
      <alignment/>
    </xf>
    <xf numFmtId="41" fontId="17" fillId="55" borderId="43" xfId="0" applyNumberFormat="1" applyFont="1" applyFill="1" applyBorder="1" applyAlignment="1">
      <alignment/>
    </xf>
    <xf numFmtId="41" fontId="14" fillId="55" borderId="25" xfId="71" applyNumberFormat="1" applyFont="1" applyFill="1" applyBorder="1" applyAlignment="1">
      <alignment/>
    </xf>
    <xf numFmtId="41" fontId="14" fillId="55" borderId="2" xfId="71" applyNumberFormat="1" applyFont="1" applyFill="1" applyBorder="1" applyAlignment="1">
      <alignment/>
    </xf>
    <xf numFmtId="41" fontId="14" fillId="55" borderId="44" xfId="71" applyNumberFormat="1" applyFont="1" applyFill="1" applyBorder="1" applyAlignment="1">
      <alignment/>
    </xf>
    <xf numFmtId="170" fontId="17" fillId="55" borderId="0" xfId="71" applyNumberFormat="1" applyFont="1" applyFill="1" applyBorder="1" applyAlignment="1">
      <alignment/>
    </xf>
    <xf numFmtId="170" fontId="17" fillId="55" borderId="0" xfId="71" applyNumberFormat="1" applyFont="1" applyFill="1" applyAlignment="1">
      <alignment/>
    </xf>
    <xf numFmtId="164" fontId="145" fillId="55" borderId="0" xfId="0" applyFont="1" applyFill="1" applyAlignment="1">
      <alignment/>
    </xf>
    <xf numFmtId="168" fontId="17" fillId="55" borderId="0" xfId="53" applyNumberFormat="1" applyFont="1" applyFill="1" applyAlignment="1">
      <alignment horizontal="center"/>
    </xf>
    <xf numFmtId="168" fontId="17" fillId="55" borderId="2" xfId="53" applyNumberFormat="1" applyFont="1" applyFill="1" applyBorder="1" applyAlignment="1">
      <alignment horizontal="center"/>
    </xf>
    <xf numFmtId="164" fontId="17" fillId="55" borderId="2" xfId="0" applyFont="1" applyFill="1" applyBorder="1" applyAlignment="1">
      <alignment/>
    </xf>
    <xf numFmtId="43" fontId="14" fillId="55" borderId="0" xfId="53" applyFont="1" applyFill="1" applyAlignment="1">
      <alignment/>
    </xf>
    <xf numFmtId="49" fontId="17" fillId="55" borderId="0" xfId="53" applyNumberFormat="1" applyFont="1" applyFill="1" applyAlignment="1">
      <alignment/>
    </xf>
    <xf numFmtId="10" fontId="17" fillId="55" borderId="0" xfId="407" applyNumberFormat="1" applyFont="1" applyFill="1" applyAlignment="1">
      <alignment horizontal="right"/>
    </xf>
    <xf numFmtId="10" fontId="17" fillId="55" borderId="0" xfId="407" applyNumberFormat="1" applyFont="1" applyFill="1" applyAlignment="1">
      <alignment/>
    </xf>
    <xf numFmtId="43" fontId="17" fillId="55" borderId="0" xfId="53" applyFont="1" applyFill="1" applyAlignment="1">
      <alignment horizontal="right"/>
    </xf>
    <xf numFmtId="49" fontId="17" fillId="55" borderId="0" xfId="0" applyNumberFormat="1" applyFont="1" applyFill="1" applyAlignment="1">
      <alignment/>
    </xf>
    <xf numFmtId="2" fontId="17" fillId="55" borderId="0" xfId="0" applyNumberFormat="1" applyFont="1" applyFill="1" applyAlignment="1">
      <alignment/>
    </xf>
    <xf numFmtId="1" fontId="17" fillId="55" borderId="0" xfId="0" applyNumberFormat="1" applyFont="1" applyFill="1" applyAlignment="1">
      <alignment horizontal="center"/>
    </xf>
    <xf numFmtId="164" fontId="82" fillId="0" borderId="0" xfId="0" applyNumberFormat="1" applyFont="1" applyAlignment="1" applyProtection="1">
      <alignment/>
      <protection/>
    </xf>
    <xf numFmtId="41" fontId="12" fillId="0" borderId="0" xfId="71" applyNumberFormat="1" applyFont="1" applyFill="1" applyAlignment="1" applyProtection="1">
      <alignment/>
      <protection/>
    </xf>
    <xf numFmtId="41" fontId="12" fillId="0" borderId="0" xfId="71" applyNumberFormat="1" applyFont="1" applyAlignment="1" applyProtection="1">
      <alignment/>
      <protection/>
    </xf>
    <xf numFmtId="10" fontId="6" fillId="0" borderId="0" xfId="0" applyNumberFormat="1" applyFont="1" applyAlignment="1" applyProtection="1">
      <alignment/>
      <protection/>
    </xf>
    <xf numFmtId="41" fontId="6" fillId="0" borderId="0" xfId="71" applyNumberFormat="1" applyFont="1" applyAlignment="1" applyProtection="1">
      <alignment/>
      <protection/>
    </xf>
    <xf numFmtId="41" fontId="6" fillId="0" borderId="0" xfId="0" applyNumberFormat="1" applyFont="1" applyAlignment="1" applyProtection="1">
      <alignment/>
      <protection/>
    </xf>
    <xf numFmtId="166" fontId="6" fillId="0" borderId="0" xfId="0" applyNumberFormat="1" applyFont="1" applyAlignment="1" applyProtection="1">
      <alignment/>
      <protection/>
    </xf>
    <xf numFmtId="168" fontId="12" fillId="0" borderId="0" xfId="44" applyNumberFormat="1" applyFont="1" applyAlignment="1" applyProtection="1">
      <alignment/>
      <protection/>
    </xf>
    <xf numFmtId="168" fontId="6" fillId="0" borderId="0" xfId="44" applyNumberFormat="1" applyFont="1" applyFill="1" applyAlignment="1" applyProtection="1">
      <alignment/>
      <protection/>
    </xf>
    <xf numFmtId="168" fontId="6" fillId="0" borderId="0" xfId="44" applyNumberFormat="1" applyFont="1" applyAlignment="1" applyProtection="1">
      <alignment/>
      <protection/>
    </xf>
    <xf numFmtId="168" fontId="12" fillId="0" borderId="0" xfId="44" applyNumberFormat="1" applyFont="1" applyFill="1" applyAlignment="1" applyProtection="1">
      <alignment/>
      <protection/>
    </xf>
    <xf numFmtId="164" fontId="13" fillId="0" borderId="0" xfId="0" applyNumberFormat="1" applyFont="1" applyAlignment="1" applyProtection="1">
      <alignment/>
      <protection/>
    </xf>
    <xf numFmtId="164" fontId="12" fillId="0" borderId="0" xfId="0" applyNumberFormat="1" applyFont="1" applyAlignment="1" applyProtection="1">
      <alignment/>
      <protection/>
    </xf>
    <xf numFmtId="37" fontId="6" fillId="55" borderId="0" xfId="0" applyNumberFormat="1" applyFont="1" applyFill="1" applyAlignment="1" applyProtection="1">
      <alignment/>
      <protection/>
    </xf>
    <xf numFmtId="5" fontId="6" fillId="0" borderId="0" xfId="0" applyNumberFormat="1" applyFont="1" applyAlignment="1" applyProtection="1">
      <alignment/>
      <protection/>
    </xf>
    <xf numFmtId="164" fontId="7" fillId="0" borderId="0" xfId="0" applyNumberFormat="1" applyFont="1" applyAlignment="1" applyProtection="1">
      <alignment horizontal="left"/>
      <protection/>
    </xf>
    <xf numFmtId="41" fontId="7" fillId="0" borderId="0" xfId="0" applyNumberFormat="1" applyFont="1" applyAlignment="1" applyProtection="1">
      <alignment/>
      <protection/>
    </xf>
    <xf numFmtId="5" fontId="7" fillId="0" borderId="0" xfId="0" applyNumberFormat="1" applyFont="1" applyAlignment="1" applyProtection="1">
      <alignment/>
      <protection/>
    </xf>
    <xf numFmtId="41" fontId="7" fillId="0" borderId="33" xfId="0" applyNumberFormat="1" applyFont="1" applyBorder="1" applyAlignment="1" applyProtection="1">
      <alignment/>
      <protection/>
    </xf>
    <xf numFmtId="10" fontId="7" fillId="0" borderId="0" xfId="0" applyNumberFormat="1" applyFont="1" applyAlignment="1" applyProtection="1">
      <alignment/>
      <protection/>
    </xf>
    <xf numFmtId="164" fontId="13" fillId="55" borderId="0" xfId="0" applyNumberFormat="1" applyFont="1" applyFill="1" applyAlignment="1" applyProtection="1">
      <alignment/>
      <protection/>
    </xf>
    <xf numFmtId="164" fontId="7" fillId="55" borderId="0" xfId="0" applyNumberFormat="1" applyFont="1" applyFill="1" applyAlignment="1" applyProtection="1">
      <alignment horizontal="center" wrapText="1"/>
      <protection/>
    </xf>
    <xf numFmtId="164" fontId="82" fillId="55" borderId="0" xfId="0" applyNumberFormat="1" applyFont="1" applyFill="1" applyAlignment="1" applyProtection="1">
      <alignment horizontal="center" wrapText="1"/>
      <protection/>
    </xf>
    <xf numFmtId="164" fontId="7" fillId="55" borderId="0" xfId="0" applyNumberFormat="1" applyFont="1" applyFill="1" applyAlignment="1" applyProtection="1" quotePrefix="1">
      <alignment horizontal="center"/>
      <protection/>
    </xf>
    <xf numFmtId="10" fontId="7" fillId="55" borderId="0" xfId="0" applyNumberFormat="1" applyFont="1" applyFill="1" applyAlignment="1" applyProtection="1">
      <alignment horizontal="center"/>
      <protection/>
    </xf>
    <xf numFmtId="10" fontId="7" fillId="55" borderId="0" xfId="407" applyNumberFormat="1" applyFont="1" applyFill="1" applyAlignment="1" applyProtection="1">
      <alignment horizontal="center"/>
      <protection/>
    </xf>
    <xf numFmtId="10" fontId="6" fillId="55" borderId="0" xfId="0" applyNumberFormat="1" applyFont="1" applyFill="1" applyAlignment="1" applyProtection="1">
      <alignment/>
      <protection/>
    </xf>
    <xf numFmtId="10" fontId="6" fillId="55" borderId="0" xfId="407" applyNumberFormat="1" applyFont="1" applyFill="1" applyAlignment="1" applyProtection="1">
      <alignment/>
      <protection/>
    </xf>
    <xf numFmtId="10" fontId="82" fillId="55" borderId="0" xfId="0" applyNumberFormat="1" applyFont="1" applyFill="1" applyAlignment="1" applyProtection="1">
      <alignment horizontal="center"/>
      <protection/>
    </xf>
    <xf numFmtId="10" fontId="13" fillId="55" borderId="0" xfId="407" applyNumberFormat="1" applyFont="1" applyFill="1" applyAlignment="1" applyProtection="1">
      <alignment horizontal="center"/>
      <protection/>
    </xf>
    <xf numFmtId="10" fontId="82" fillId="55" borderId="0" xfId="407" applyNumberFormat="1" applyFont="1" applyFill="1" applyAlignment="1" applyProtection="1">
      <alignment horizontal="center"/>
      <protection/>
    </xf>
    <xf numFmtId="10" fontId="7" fillId="55" borderId="33" xfId="407" applyNumberFormat="1" applyFont="1" applyFill="1" applyBorder="1" applyAlignment="1" applyProtection="1">
      <alignment horizontal="center"/>
      <protection/>
    </xf>
    <xf numFmtId="37" fontId="12" fillId="55" borderId="0" xfId="0" applyNumberFormat="1" applyFont="1" applyFill="1" applyAlignment="1" applyProtection="1">
      <alignment/>
      <protection/>
    </xf>
    <xf numFmtId="10" fontId="7" fillId="55" borderId="33" xfId="0" applyNumberFormat="1" applyFont="1" applyFill="1" applyBorder="1" applyAlignment="1" applyProtection="1">
      <alignment horizontal="center"/>
      <protection/>
    </xf>
    <xf numFmtId="37" fontId="12" fillId="55" borderId="0" xfId="0" applyNumberFormat="1" applyFont="1" applyFill="1" applyBorder="1" applyAlignment="1" applyProtection="1">
      <alignment/>
      <protection/>
    </xf>
    <xf numFmtId="10" fontId="7" fillId="55" borderId="0" xfId="0" applyNumberFormat="1" applyFont="1" applyFill="1" applyBorder="1" applyAlignment="1" applyProtection="1">
      <alignment/>
      <protection/>
    </xf>
    <xf numFmtId="37" fontId="13" fillId="55" borderId="0" xfId="0" applyNumberFormat="1" applyFont="1" applyFill="1" applyAlignment="1" applyProtection="1">
      <alignment/>
      <protection/>
    </xf>
    <xf numFmtId="0" fontId="12" fillId="0" borderId="0" xfId="342" applyNumberFormat="1" applyFont="1" applyFill="1" applyBorder="1" applyAlignment="1" applyProtection="1">
      <alignment horizontal="center"/>
      <protection locked="0"/>
    </xf>
    <xf numFmtId="49" fontId="12" fillId="0" borderId="0" xfId="342" applyNumberFormat="1" applyFont="1" applyFill="1" applyBorder="1">
      <alignment/>
    </xf>
    <xf numFmtId="0" fontId="17" fillId="0" borderId="0" xfId="342" applyNumberFormat="1" applyFont="1" applyFill="1" applyBorder="1">
      <alignment/>
    </xf>
    <xf numFmtId="177" fontId="17" fillId="0" borderId="0" xfId="342" applyFont="1" applyFill="1" applyBorder="1" applyAlignment="1">
      <alignment/>
    </xf>
    <xf numFmtId="3" fontId="12" fillId="0" borderId="0" xfId="342" applyNumberFormat="1" applyFont="1" applyFill="1" applyBorder="1">
      <alignment/>
    </xf>
    <xf numFmtId="3" fontId="12" fillId="0" borderId="0" xfId="342" applyNumberFormat="1" applyFont="1" applyFill="1" applyBorder="1" applyAlignment="1">
      <alignment/>
    </xf>
    <xf numFmtId="3" fontId="17" fillId="0" borderId="0" xfId="342" applyNumberFormat="1" applyFont="1" applyFill="1" applyBorder="1" applyAlignment="1">
      <alignment/>
    </xf>
    <xf numFmtId="0" fontId="17" fillId="0" borderId="0" xfId="342" applyNumberFormat="1" applyFont="1" applyFill="1" applyBorder="1" applyAlignment="1">
      <alignment horizontal="center"/>
    </xf>
    <xf numFmtId="0" fontId="17" fillId="0" borderId="0" xfId="342" applyNumberFormat="1" applyFont="1" applyFill="1" applyBorder="1" applyAlignment="1">
      <alignment/>
    </xf>
    <xf numFmtId="177" fontId="70" fillId="0" borderId="0" xfId="342" applyFont="1" applyFill="1" applyBorder="1" applyAlignment="1">
      <alignment horizontal="center"/>
    </xf>
    <xf numFmtId="177" fontId="77" fillId="0" borderId="0" xfId="342" applyFont="1" applyFill="1" applyBorder="1" applyAlignment="1">
      <alignment/>
    </xf>
    <xf numFmtId="0" fontId="77" fillId="0" borderId="0" xfId="342" applyNumberFormat="1" applyFont="1" applyFill="1" applyBorder="1" applyAlignment="1">
      <alignment/>
    </xf>
    <xf numFmtId="0" fontId="70" fillId="0" borderId="0" xfId="342" applyNumberFormat="1" applyFont="1" applyFill="1" applyBorder="1" applyAlignment="1" applyProtection="1">
      <alignment horizontal="center"/>
      <protection locked="0"/>
    </xf>
    <xf numFmtId="0" fontId="14" fillId="0" borderId="0" xfId="342" applyNumberFormat="1" applyFont="1" applyFill="1" applyBorder="1" applyAlignment="1">
      <alignment horizontal="center"/>
    </xf>
    <xf numFmtId="0" fontId="12" fillId="0" borderId="0" xfId="342" applyNumberFormat="1" applyFont="1" applyFill="1" applyBorder="1" applyAlignment="1">
      <alignment horizontal="center"/>
    </xf>
    <xf numFmtId="49" fontId="12" fillId="0" borderId="0" xfId="342" applyNumberFormat="1" applyFont="1" applyFill="1" applyBorder="1" applyAlignment="1">
      <alignment horizontal="center"/>
    </xf>
    <xf numFmtId="49" fontId="17" fillId="0" borderId="0" xfId="342" applyNumberFormat="1" applyFont="1" applyFill="1" applyBorder="1" applyAlignment="1">
      <alignment horizontal="center"/>
    </xf>
    <xf numFmtId="0" fontId="13" fillId="0" borderId="0" xfId="342" applyNumberFormat="1" applyFont="1" applyFill="1" applyBorder="1" applyAlignment="1">
      <alignment/>
    </xf>
    <xf numFmtId="3" fontId="12" fillId="0" borderId="0" xfId="342" applyNumberFormat="1" applyFont="1" applyFill="1" applyBorder="1" applyAlignment="1">
      <alignment horizontal="center"/>
    </xf>
    <xf numFmtId="3" fontId="12" fillId="0" borderId="0" xfId="342" applyNumberFormat="1" applyFont="1" applyFill="1" applyBorder="1" applyAlignment="1">
      <alignment horizontal="left"/>
    </xf>
    <xf numFmtId="168" fontId="12" fillId="0" borderId="0" xfId="49" applyNumberFormat="1" applyFont="1" applyFill="1" applyBorder="1" applyAlignment="1">
      <alignment/>
    </xf>
    <xf numFmtId="168" fontId="12" fillId="0" borderId="0" xfId="53" applyNumberFormat="1" applyFont="1" applyFill="1" applyBorder="1" applyAlignment="1">
      <alignment/>
    </xf>
    <xf numFmtId="168" fontId="12" fillId="0" borderId="2" xfId="53" applyNumberFormat="1" applyFont="1" applyFill="1" applyBorder="1" applyAlignment="1">
      <alignment/>
    </xf>
    <xf numFmtId="181" fontId="12" fillId="0" borderId="0" xfId="44" applyNumberFormat="1" applyFont="1" applyFill="1" applyBorder="1" applyAlignment="1">
      <alignment/>
    </xf>
    <xf numFmtId="10" fontId="6" fillId="0" borderId="0" xfId="410" applyNumberFormat="1" applyFont="1" applyFill="1" applyBorder="1" applyAlignment="1">
      <alignment/>
    </xf>
    <xf numFmtId="10" fontId="14" fillId="0" borderId="0" xfId="342" applyNumberFormat="1" applyFont="1" applyFill="1" applyBorder="1" applyAlignment="1">
      <alignment/>
    </xf>
    <xf numFmtId="3" fontId="14" fillId="0" borderId="0" xfId="342" applyNumberFormat="1" applyFont="1" applyFill="1" applyBorder="1" applyAlignment="1">
      <alignment/>
    </xf>
    <xf numFmtId="178" fontId="14" fillId="0" borderId="0" xfId="342" applyNumberFormat="1" applyFont="1" applyFill="1" applyBorder="1" applyAlignment="1">
      <alignment/>
    </xf>
    <xf numFmtId="43" fontId="12" fillId="0" borderId="0" xfId="53" applyFont="1" applyFill="1" applyBorder="1" applyAlignment="1">
      <alignment/>
    </xf>
    <xf numFmtId="3" fontId="17" fillId="0" borderId="0" xfId="342" applyNumberFormat="1" applyFont="1" applyFill="1" applyBorder="1" applyAlignment="1">
      <alignment horizontal="center"/>
    </xf>
    <xf numFmtId="177" fontId="12" fillId="0" borderId="0" xfId="342" applyFont="1" applyFill="1" applyBorder="1" applyAlignment="1">
      <alignment horizontal="left"/>
    </xf>
    <xf numFmtId="177" fontId="12" fillId="0" borderId="0" xfId="342" applyFont="1" applyFill="1" applyBorder="1" applyAlignment="1">
      <alignment horizontal="center"/>
    </xf>
    <xf numFmtId="10" fontId="13" fillId="0" borderId="0" xfId="410" applyNumberFormat="1" applyFont="1" applyFill="1" applyBorder="1" applyAlignment="1">
      <alignment/>
    </xf>
    <xf numFmtId="0" fontId="17" fillId="0" borderId="0" xfId="342" applyNumberFormat="1" applyFont="1" applyFill="1" applyBorder="1" applyAlignment="1">
      <alignment horizontal="fill"/>
    </xf>
    <xf numFmtId="3" fontId="12" fillId="0" borderId="0" xfId="342" applyNumberFormat="1" applyFont="1" applyFill="1" applyBorder="1" applyAlignment="1">
      <alignment horizontal="right"/>
    </xf>
    <xf numFmtId="179" fontId="13" fillId="0" borderId="0" xfId="53" applyNumberFormat="1" applyFont="1" applyFill="1" applyBorder="1" applyAlignment="1">
      <alignment/>
    </xf>
    <xf numFmtId="43" fontId="13" fillId="0" borderId="0" xfId="53" applyFont="1" applyFill="1" applyBorder="1" applyAlignment="1">
      <alignment/>
    </xf>
    <xf numFmtId="181" fontId="160" fillId="0" borderId="0" xfId="44" applyNumberFormat="1" applyFont="1" applyFill="1" applyBorder="1" applyAlignment="1">
      <alignment/>
    </xf>
    <xf numFmtId="3" fontId="83" fillId="0" borderId="0" xfId="342" applyNumberFormat="1" applyFont="1" applyFill="1" applyBorder="1" applyAlignment="1">
      <alignment/>
    </xf>
    <xf numFmtId="177" fontId="20" fillId="0" borderId="0" xfId="342" applyFont="1" applyFill="1" applyBorder="1" applyAlignment="1">
      <alignment/>
    </xf>
    <xf numFmtId="166" fontId="17" fillId="0" borderId="0" xfId="342" applyNumberFormat="1" applyFont="1" applyFill="1" applyBorder="1" applyAlignment="1">
      <alignment horizontal="center"/>
    </xf>
    <xf numFmtId="166" fontId="12" fillId="0" borderId="0" xfId="342" applyNumberFormat="1" applyFont="1" applyFill="1" applyBorder="1" applyAlignment="1">
      <alignment horizontal="left"/>
    </xf>
    <xf numFmtId="166" fontId="12" fillId="0" borderId="0" xfId="342" applyNumberFormat="1" applyFont="1" applyFill="1" applyBorder="1" applyAlignment="1">
      <alignment horizontal="center"/>
    </xf>
    <xf numFmtId="0" fontId="83" fillId="0" borderId="0" xfId="342" applyNumberFormat="1" applyFont="1" applyFill="1" applyBorder="1">
      <alignment/>
    </xf>
    <xf numFmtId="0" fontId="20" fillId="0" borderId="0" xfId="342" applyNumberFormat="1" applyFont="1" applyFill="1" applyBorder="1">
      <alignment/>
    </xf>
    <xf numFmtId="177" fontId="83" fillId="0" borderId="0" xfId="342" applyFont="1" applyFill="1" applyBorder="1" applyAlignment="1">
      <alignment/>
    </xf>
    <xf numFmtId="3" fontId="13" fillId="0" borderId="0" xfId="342" applyNumberFormat="1" applyFont="1" applyFill="1" applyBorder="1" applyAlignment="1">
      <alignment/>
    </xf>
    <xf numFmtId="181" fontId="13" fillId="0" borderId="0" xfId="53" applyNumberFormat="1" applyFont="1" applyFill="1" applyBorder="1" applyAlignment="1">
      <alignment/>
    </xf>
    <xf numFmtId="177" fontId="12" fillId="0" borderId="0" xfId="342" applyFont="1" applyFill="1" applyBorder="1" applyAlignment="1">
      <alignment horizontal="right"/>
    </xf>
    <xf numFmtId="0" fontId="17" fillId="0" borderId="0" xfId="342" applyNumberFormat="1" applyFont="1" applyFill="1" applyBorder="1" applyAlignment="1" applyProtection="1">
      <alignment horizontal="center"/>
      <protection locked="0"/>
    </xf>
    <xf numFmtId="0" fontId="14" fillId="0" borderId="0" xfId="342" applyNumberFormat="1" applyFont="1" applyFill="1" applyBorder="1" applyAlignment="1">
      <alignment/>
    </xf>
    <xf numFmtId="175" fontId="14" fillId="0" borderId="0" xfId="342" applyNumberFormat="1" applyFont="1" applyFill="1" applyBorder="1" applyAlignment="1">
      <alignment horizontal="center"/>
    </xf>
    <xf numFmtId="175" fontId="14" fillId="0" borderId="0" xfId="342" applyNumberFormat="1" applyFont="1" applyFill="1" applyBorder="1" applyAlignment="1" quotePrefix="1">
      <alignment horizontal="center"/>
    </xf>
    <xf numFmtId="177" fontId="14" fillId="0" borderId="40" xfId="342" applyFont="1" applyFill="1" applyBorder="1" applyAlignment="1">
      <alignment horizontal="center" wrapText="1"/>
    </xf>
    <xf numFmtId="177" fontId="14" fillId="0" borderId="30" xfId="342" applyFont="1" applyFill="1" applyBorder="1" applyAlignment="1">
      <alignment/>
    </xf>
    <xf numFmtId="177" fontId="14" fillId="0" borderId="30" xfId="342" applyFont="1" applyFill="1" applyBorder="1" applyAlignment="1">
      <alignment horizontal="center" wrapText="1"/>
    </xf>
    <xf numFmtId="0" fontId="14" fillId="0" borderId="30" xfId="342" applyNumberFormat="1" applyFont="1" applyFill="1" applyBorder="1" applyAlignment="1">
      <alignment horizontal="center" wrapText="1"/>
    </xf>
    <xf numFmtId="0" fontId="14" fillId="0" borderId="37" xfId="342" applyNumberFormat="1" applyFont="1" applyFill="1" applyBorder="1" applyAlignment="1">
      <alignment horizontal="center" wrapText="1"/>
    </xf>
    <xf numFmtId="177" fontId="14" fillId="0" borderId="26" xfId="342" applyFont="1" applyFill="1" applyBorder="1" applyAlignment="1">
      <alignment horizontal="center" wrapText="1"/>
    </xf>
    <xf numFmtId="3" fontId="14" fillId="0" borderId="26" xfId="342" applyNumberFormat="1" applyFont="1" applyFill="1" applyBorder="1" applyAlignment="1">
      <alignment horizontal="center" wrapText="1"/>
    </xf>
    <xf numFmtId="0" fontId="17" fillId="0" borderId="20" xfId="342" applyNumberFormat="1" applyFont="1" applyFill="1" applyBorder="1">
      <alignment/>
    </xf>
    <xf numFmtId="0" fontId="17" fillId="0" borderId="37" xfId="342" applyNumberFormat="1" applyFont="1" applyFill="1" applyBorder="1">
      <alignment/>
    </xf>
    <xf numFmtId="0" fontId="17" fillId="0" borderId="37" xfId="342" applyNumberFormat="1" applyFont="1" applyFill="1" applyBorder="1" applyAlignment="1">
      <alignment wrapText="1"/>
    </xf>
    <xf numFmtId="0" fontId="17" fillId="0" borderId="37" xfId="342" applyNumberFormat="1" applyFont="1" applyFill="1" applyBorder="1" applyAlignment="1">
      <alignment horizontal="center" wrapText="1"/>
    </xf>
    <xf numFmtId="177" fontId="17" fillId="0" borderId="37" xfId="342" applyFont="1" applyFill="1" applyBorder="1" applyAlignment="1">
      <alignment wrapText="1"/>
    </xf>
    <xf numFmtId="0" fontId="17" fillId="0" borderId="26" xfId="342" applyNumberFormat="1" applyFont="1" applyFill="1" applyBorder="1" applyAlignment="1">
      <alignment horizontal="center" wrapText="1"/>
    </xf>
    <xf numFmtId="0" fontId="17" fillId="0" borderId="20" xfId="342" applyNumberFormat="1" applyFont="1" applyFill="1" applyBorder="1" applyAlignment="1">
      <alignment horizontal="center" wrapText="1"/>
    </xf>
    <xf numFmtId="3" fontId="17" fillId="0" borderId="26" xfId="342" applyNumberFormat="1" applyFont="1" applyFill="1" applyBorder="1" applyAlignment="1">
      <alignment horizontal="center" wrapText="1"/>
    </xf>
    <xf numFmtId="3" fontId="17" fillId="0" borderId="37" xfId="342" applyNumberFormat="1" applyFont="1" applyFill="1" applyBorder="1" applyAlignment="1">
      <alignment horizontal="center" wrapText="1"/>
    </xf>
    <xf numFmtId="0" fontId="17" fillId="0" borderId="40" xfId="342" applyNumberFormat="1" applyFont="1" applyFill="1" applyBorder="1">
      <alignment/>
    </xf>
    <xf numFmtId="0" fontId="17" fillId="0" borderId="30" xfId="342" applyNumberFormat="1" applyFont="1" applyFill="1" applyBorder="1">
      <alignment/>
    </xf>
    <xf numFmtId="177" fontId="17" fillId="0" borderId="30" xfId="342" applyFont="1" applyFill="1" applyBorder="1" applyAlignment="1">
      <alignment/>
    </xf>
    <xf numFmtId="0" fontId="17" fillId="0" borderId="36" xfId="342" applyNumberFormat="1" applyFont="1" applyFill="1" applyBorder="1">
      <alignment/>
    </xf>
    <xf numFmtId="3" fontId="17" fillId="0" borderId="30" xfId="342" applyNumberFormat="1" applyFont="1" applyFill="1" applyBorder="1" applyAlignment="1">
      <alignment/>
    </xf>
    <xf numFmtId="3" fontId="17" fillId="0" borderId="36" xfId="342" applyNumberFormat="1" applyFont="1" applyFill="1" applyBorder="1" applyAlignment="1">
      <alignment/>
    </xf>
    <xf numFmtId="177" fontId="17" fillId="0" borderId="42" xfId="399" applyFont="1" applyFill="1" applyBorder="1" applyAlignment="1">
      <alignment/>
    </xf>
    <xf numFmtId="177" fontId="17" fillId="0" borderId="0" xfId="399" applyFont="1" applyFill="1" applyBorder="1" applyAlignment="1">
      <alignment/>
    </xf>
    <xf numFmtId="43" fontId="17" fillId="0" borderId="0" xfId="53" applyFont="1" applyFill="1" applyBorder="1" applyAlignment="1">
      <alignment/>
    </xf>
    <xf numFmtId="43" fontId="17" fillId="33" borderId="0" xfId="53" applyFont="1" applyFill="1" applyBorder="1" applyAlignment="1">
      <alignment/>
    </xf>
    <xf numFmtId="168" fontId="17" fillId="57" borderId="0" xfId="53" applyNumberFormat="1" applyFont="1" applyFill="1" applyBorder="1" applyAlignment="1">
      <alignment/>
    </xf>
    <xf numFmtId="181" fontId="17" fillId="0" borderId="0" xfId="53" applyNumberFormat="1" applyFont="1" applyFill="1" applyBorder="1" applyAlignment="1">
      <alignment/>
    </xf>
    <xf numFmtId="168" fontId="17" fillId="0" borderId="0" xfId="53" applyNumberFormat="1" applyFont="1" applyFill="1" applyBorder="1" applyAlignment="1">
      <alignment/>
    </xf>
    <xf numFmtId="168" fontId="17" fillId="0" borderId="23" xfId="53" applyNumberFormat="1" applyFont="1" applyFill="1" applyBorder="1" applyAlignment="1">
      <alignment/>
    </xf>
    <xf numFmtId="182" fontId="17" fillId="33" borderId="0" xfId="53" applyNumberFormat="1" applyFont="1" applyFill="1" applyBorder="1" applyAlignment="1">
      <alignment/>
    </xf>
    <xf numFmtId="43" fontId="17" fillId="0" borderId="0" xfId="53" applyNumberFormat="1" applyFont="1" applyFill="1" applyBorder="1" applyAlignment="1">
      <alignment/>
    </xf>
    <xf numFmtId="168" fontId="17" fillId="33" borderId="0" xfId="53" applyNumberFormat="1" applyFont="1" applyFill="1" applyBorder="1" applyAlignment="1">
      <alignment/>
    </xf>
    <xf numFmtId="168" fontId="17" fillId="33" borderId="23" xfId="53" applyNumberFormat="1" applyFont="1" applyFill="1" applyBorder="1" applyAlignment="1">
      <alignment/>
    </xf>
    <xf numFmtId="43" fontId="17" fillId="0" borderId="23" xfId="53" applyFont="1" applyFill="1" applyBorder="1" applyAlignment="1">
      <alignment/>
    </xf>
    <xf numFmtId="177" fontId="17" fillId="0" borderId="42" xfId="342" applyFont="1" applyFill="1" applyBorder="1" applyAlignment="1">
      <alignment/>
    </xf>
    <xf numFmtId="177" fontId="17" fillId="0" borderId="25" xfId="342" applyFont="1" applyFill="1" applyBorder="1" applyAlignment="1">
      <alignment/>
    </xf>
    <xf numFmtId="177" fontId="17" fillId="0" borderId="2" xfId="342" applyFont="1" applyFill="1" applyBorder="1" applyAlignment="1">
      <alignment/>
    </xf>
    <xf numFmtId="10" fontId="17" fillId="0" borderId="2" xfId="53" applyNumberFormat="1" applyFont="1" applyFill="1" applyBorder="1" applyAlignment="1">
      <alignment/>
    </xf>
    <xf numFmtId="168" fontId="17" fillId="0" borderId="2" xfId="53" applyNumberFormat="1" applyFont="1" applyFill="1" applyBorder="1" applyAlignment="1">
      <alignment/>
    </xf>
    <xf numFmtId="177" fontId="17" fillId="0" borderId="21" xfId="342" applyFont="1" applyFill="1" applyBorder="1" applyAlignment="1">
      <alignment/>
    </xf>
    <xf numFmtId="43" fontId="17" fillId="0" borderId="21" xfId="53" applyFont="1" applyFill="1" applyBorder="1" applyAlignment="1">
      <alignment/>
    </xf>
    <xf numFmtId="177" fontId="102" fillId="0" borderId="21" xfId="342" applyFont="1" applyFill="1" applyBorder="1" applyAlignment="1">
      <alignment/>
    </xf>
    <xf numFmtId="177" fontId="102" fillId="0" borderId="2" xfId="342" applyFont="1" applyFill="1" applyBorder="1" applyAlignment="1">
      <alignment/>
    </xf>
    <xf numFmtId="168" fontId="17" fillId="0" borderId="21" xfId="53" applyNumberFormat="1" applyFont="1" applyFill="1" applyBorder="1" applyAlignment="1">
      <alignment/>
    </xf>
    <xf numFmtId="168" fontId="17" fillId="0" borderId="0" xfId="53" applyNumberFormat="1" applyFont="1" applyFill="1" applyBorder="1" applyAlignment="1">
      <alignment horizontal="center"/>
    </xf>
    <xf numFmtId="167" fontId="17" fillId="0" borderId="0" xfId="342" applyNumberFormat="1" applyFont="1" applyFill="1" applyBorder="1" applyAlignment="1">
      <alignment/>
    </xf>
    <xf numFmtId="167" fontId="145" fillId="58" borderId="0" xfId="342" applyNumberFormat="1" applyFont="1" applyFill="1" applyBorder="1" applyAlignment="1">
      <alignment/>
    </xf>
    <xf numFmtId="1" fontId="17" fillId="0" borderId="0" xfId="53" applyNumberFormat="1" applyFont="1" applyFill="1" applyBorder="1" applyAlignment="1">
      <alignment horizontal="center"/>
    </xf>
    <xf numFmtId="177" fontId="145" fillId="58" borderId="0" xfId="342" applyFont="1" applyFill="1" applyBorder="1" applyAlignment="1">
      <alignment/>
    </xf>
    <xf numFmtId="168" fontId="17" fillId="0" borderId="0" xfId="44" applyNumberFormat="1" applyFont="1" applyFill="1" applyBorder="1" applyAlignment="1">
      <alignment/>
    </xf>
    <xf numFmtId="177" fontId="17" fillId="0" borderId="1" xfId="342" applyFont="1" applyFill="1" applyBorder="1" applyAlignment="1">
      <alignment/>
    </xf>
    <xf numFmtId="177" fontId="17" fillId="0" borderId="0" xfId="342" applyFont="1" applyFill="1" applyBorder="1" applyAlignment="1">
      <alignment horizontal="center" vertical="top"/>
    </xf>
    <xf numFmtId="177" fontId="17" fillId="0" borderId="0" xfId="342" applyFont="1" applyFill="1" applyBorder="1" applyAlignment="1">
      <alignment horizontal="center"/>
    </xf>
    <xf numFmtId="177" fontId="17" fillId="0" borderId="0" xfId="342" applyFont="1" applyFill="1" applyBorder="1" applyAlignment="1">
      <alignment horizontal="left"/>
    </xf>
    <xf numFmtId="177" fontId="17" fillId="0" borderId="0" xfId="399" applyFont="1" applyFill="1" applyBorder="1" applyAlignment="1">
      <alignment vertical="top" wrapText="1"/>
    </xf>
    <xf numFmtId="177" fontId="12" fillId="0" borderId="0" xfId="342" applyFont="1" applyFill="1" applyAlignment="1">
      <alignment/>
    </xf>
    <xf numFmtId="167" fontId="12" fillId="0" borderId="0" xfId="342" applyNumberFormat="1" applyFont="1" applyAlignment="1">
      <alignment/>
    </xf>
    <xf numFmtId="3" fontId="12" fillId="0" borderId="1" xfId="401" applyNumberFormat="1" applyFont="1" applyBorder="1" applyAlignment="1">
      <alignment horizontal="center"/>
    </xf>
    <xf numFmtId="168" fontId="12" fillId="0" borderId="0" xfId="53" applyNumberFormat="1" applyFont="1" applyAlignment="1">
      <alignment/>
    </xf>
    <xf numFmtId="168" fontId="12" fillId="0" borderId="0" xfId="53" applyNumberFormat="1" applyFont="1" applyAlignment="1" applyProtection="1">
      <alignment horizontal="center"/>
      <protection locked="0"/>
    </xf>
    <xf numFmtId="0" fontId="12" fillId="0" borderId="0" xfId="401" applyNumberFormat="1" applyFont="1" applyFill="1" applyAlignment="1" applyProtection="1">
      <alignment/>
      <protection locked="0"/>
    </xf>
    <xf numFmtId="3" fontId="12" fillId="0" borderId="0" xfId="401" applyNumberFormat="1" applyFont="1" applyFill="1" applyAlignment="1">
      <alignment/>
    </xf>
    <xf numFmtId="3" fontId="12" fillId="0" borderId="0" xfId="401" applyNumberFormat="1" applyFont="1" applyAlignment="1">
      <alignment/>
    </xf>
    <xf numFmtId="0" fontId="12" fillId="0" borderId="0" xfId="401" applyNumberFormat="1" applyFont="1" applyFill="1" applyAlignment="1">
      <alignment/>
    </xf>
    <xf numFmtId="3" fontId="12" fillId="0" borderId="0" xfId="401" applyNumberFormat="1" applyFont="1" applyAlignment="1">
      <alignment horizontal="center"/>
    </xf>
    <xf numFmtId="3" fontId="13" fillId="0" borderId="0" xfId="401" applyNumberFormat="1" applyFont="1" applyAlignment="1">
      <alignment horizontal="center"/>
    </xf>
    <xf numFmtId="0" fontId="13" fillId="0" borderId="1" xfId="401" applyNumberFormat="1" applyFont="1" applyBorder="1" applyAlignment="1" applyProtection="1">
      <alignment horizontal="center"/>
      <protection locked="0"/>
    </xf>
    <xf numFmtId="177" fontId="12" fillId="0" borderId="0" xfId="401" applyFont="1" applyFill="1" applyAlignment="1">
      <alignment/>
    </xf>
    <xf numFmtId="43" fontId="12" fillId="0" borderId="0" xfId="53" applyFont="1" applyFill="1" applyAlignment="1">
      <alignment/>
    </xf>
    <xf numFmtId="179" fontId="12" fillId="0" borderId="0" xfId="44" applyNumberFormat="1" applyFont="1" applyFill="1" applyAlignment="1">
      <alignment/>
    </xf>
    <xf numFmtId="179" fontId="12" fillId="0" borderId="0" xfId="44" applyNumberFormat="1" applyFont="1" applyAlignment="1">
      <alignment/>
    </xf>
    <xf numFmtId="177" fontId="12" fillId="0" borderId="0" xfId="401" applyFont="1" applyFill="1" applyAlignment="1">
      <alignment wrapText="1"/>
    </xf>
    <xf numFmtId="179" fontId="152" fillId="0" borderId="0" xfId="44" applyNumberFormat="1" applyFont="1" applyFill="1" applyAlignment="1">
      <alignment/>
    </xf>
    <xf numFmtId="179" fontId="12" fillId="0" borderId="1" xfId="44" applyNumberFormat="1" applyFont="1" applyBorder="1" applyAlignment="1">
      <alignment/>
    </xf>
    <xf numFmtId="177" fontId="12" fillId="0" borderId="0" xfId="401" applyFont="1" applyAlignment="1">
      <alignment/>
    </xf>
    <xf numFmtId="43" fontId="12" fillId="0" borderId="0" xfId="53" applyFont="1" applyAlignment="1">
      <alignment/>
    </xf>
    <xf numFmtId="180" fontId="12" fillId="0" borderId="0" xfId="401" applyNumberFormat="1" applyFont="1" applyAlignment="1">
      <alignment/>
    </xf>
    <xf numFmtId="168" fontId="12" fillId="0" borderId="0" xfId="49" applyNumberFormat="1" applyFont="1" applyAlignment="1">
      <alignment/>
    </xf>
    <xf numFmtId="168" fontId="12" fillId="0" borderId="0" xfId="49" applyNumberFormat="1" applyFont="1" applyAlignment="1">
      <alignment horizontal="left" indent="2"/>
    </xf>
    <xf numFmtId="179" fontId="12" fillId="0" borderId="0" xfId="53" applyNumberFormat="1" applyFont="1" applyAlignment="1">
      <alignment/>
    </xf>
    <xf numFmtId="168" fontId="12" fillId="0" borderId="0" xfId="53" applyNumberFormat="1" applyFont="1" applyAlignment="1">
      <alignment horizontal="center"/>
    </xf>
    <xf numFmtId="177" fontId="17" fillId="0" borderId="40" xfId="342" applyFont="1" applyBorder="1" applyAlignment="1" quotePrefix="1">
      <alignment horizontal="center"/>
    </xf>
    <xf numFmtId="177" fontId="12" fillId="0" borderId="0" xfId="342" applyFont="1" applyBorder="1" applyAlignment="1">
      <alignment horizontal="center"/>
    </xf>
    <xf numFmtId="177" fontId="17" fillId="0" borderId="42" xfId="342" applyFont="1" applyBorder="1">
      <alignment/>
    </xf>
    <xf numFmtId="177" fontId="17" fillId="0" borderId="0" xfId="342" applyFont="1" applyBorder="1">
      <alignment/>
    </xf>
    <xf numFmtId="177" fontId="17" fillId="0" borderId="0" xfId="342" applyFont="1" applyBorder="1" applyAlignment="1">
      <alignment horizontal="center"/>
    </xf>
    <xf numFmtId="177" fontId="17" fillId="0" borderId="43" xfId="342" applyFont="1" applyBorder="1">
      <alignment/>
    </xf>
    <xf numFmtId="177" fontId="17" fillId="0" borderId="43" xfId="342" applyFont="1" applyBorder="1" applyAlignment="1">
      <alignment horizontal="center"/>
    </xf>
    <xf numFmtId="177" fontId="17" fillId="0" borderId="42" xfId="342" applyFont="1" applyBorder="1" applyAlignment="1">
      <alignment horizontal="center"/>
    </xf>
    <xf numFmtId="177" fontId="17" fillId="0" borderId="0" xfId="342" applyFont="1" applyBorder="1" applyAlignment="1">
      <alignment horizontal="center" wrapText="1"/>
    </xf>
    <xf numFmtId="177" fontId="17" fillId="0" borderId="25" xfId="342" applyFont="1" applyBorder="1" applyAlignment="1">
      <alignment horizontal="center"/>
    </xf>
    <xf numFmtId="177" fontId="17" fillId="0" borderId="2" xfId="342" applyFont="1" applyBorder="1" applyAlignment="1">
      <alignment horizontal="center"/>
    </xf>
    <xf numFmtId="177" fontId="17" fillId="0" borderId="44" xfId="342" applyFont="1" applyBorder="1" applyAlignment="1">
      <alignment horizontal="center"/>
    </xf>
    <xf numFmtId="177" fontId="17" fillId="0" borderId="25" xfId="342" applyFont="1" applyBorder="1">
      <alignment/>
    </xf>
    <xf numFmtId="177" fontId="17" fillId="0" borderId="2" xfId="342" applyFont="1" applyBorder="1">
      <alignment/>
    </xf>
    <xf numFmtId="177" fontId="17" fillId="0" borderId="2" xfId="342" applyFont="1" applyFill="1" applyBorder="1" applyAlignment="1">
      <alignment wrapText="1"/>
    </xf>
    <xf numFmtId="177" fontId="17" fillId="0" borderId="2" xfId="342" applyFont="1" applyFill="1" applyBorder="1" applyAlignment="1">
      <alignment horizontal="center" wrapText="1"/>
    </xf>
    <xf numFmtId="177" fontId="17" fillId="0" borderId="2" xfId="342" applyFont="1" applyFill="1" applyBorder="1" applyAlignment="1">
      <alignment horizontal="center"/>
    </xf>
    <xf numFmtId="177" fontId="17" fillId="0" borderId="44" xfId="342" applyFont="1" applyFill="1" applyBorder="1" applyAlignment="1">
      <alignment horizontal="center"/>
    </xf>
    <xf numFmtId="177" fontId="17" fillId="0" borderId="40" xfId="342" applyFont="1" applyBorder="1">
      <alignment/>
    </xf>
    <xf numFmtId="177" fontId="17" fillId="0" borderId="30" xfId="342" applyFont="1" applyBorder="1">
      <alignment/>
    </xf>
    <xf numFmtId="177" fontId="17" fillId="0" borderId="41" xfId="342" applyFont="1" applyBorder="1">
      <alignment/>
    </xf>
    <xf numFmtId="168" fontId="17" fillId="0" borderId="42" xfId="53" applyNumberFormat="1" applyFont="1" applyBorder="1" applyAlignment="1">
      <alignment horizontal="right"/>
    </xf>
    <xf numFmtId="168" fontId="17" fillId="57" borderId="0" xfId="53" applyNumberFormat="1" applyFont="1" applyFill="1" applyBorder="1" applyAlignment="1">
      <alignment/>
    </xf>
    <xf numFmtId="168" fontId="17" fillId="0" borderId="0" xfId="53" applyNumberFormat="1" applyFont="1" applyFill="1" applyBorder="1" applyAlignment="1">
      <alignment/>
    </xf>
    <xf numFmtId="168" fontId="17" fillId="0" borderId="43" xfId="53" applyNumberFormat="1" applyFont="1" applyFill="1" applyBorder="1" applyAlignment="1">
      <alignment/>
    </xf>
    <xf numFmtId="177" fontId="17" fillId="0" borderId="42" xfId="342" applyFont="1" applyBorder="1" applyAlignment="1">
      <alignment horizontal="right"/>
    </xf>
    <xf numFmtId="43" fontId="17" fillId="57" borderId="0" xfId="53" applyFont="1" applyFill="1" applyBorder="1" applyAlignment="1">
      <alignment/>
    </xf>
    <xf numFmtId="168" fontId="169" fillId="57" borderId="0" xfId="53" applyNumberFormat="1" applyFont="1" applyFill="1" applyBorder="1" applyAlignment="1">
      <alignment/>
    </xf>
    <xf numFmtId="177" fontId="17" fillId="57" borderId="0" xfId="342" applyFont="1" applyFill="1" applyBorder="1">
      <alignment/>
    </xf>
    <xf numFmtId="177" fontId="17" fillId="0" borderId="44" xfId="342" applyFont="1" applyBorder="1">
      <alignment/>
    </xf>
    <xf numFmtId="168" fontId="17" fillId="0" borderId="0" xfId="53" applyNumberFormat="1" applyFont="1" applyAlignment="1">
      <alignment horizontal="center"/>
    </xf>
    <xf numFmtId="177" fontId="17" fillId="0" borderId="0" xfId="342" applyFont="1">
      <alignment/>
    </xf>
    <xf numFmtId="170" fontId="17" fillId="0" borderId="0" xfId="77" applyNumberFormat="1" applyFont="1" applyAlignment="1">
      <alignment/>
    </xf>
    <xf numFmtId="168" fontId="17" fillId="0" borderId="0" xfId="53" applyNumberFormat="1" applyFont="1" applyAlignment="1">
      <alignment/>
    </xf>
    <xf numFmtId="43" fontId="17" fillId="0" borderId="0" xfId="49" applyFont="1" applyAlignment="1">
      <alignment/>
    </xf>
    <xf numFmtId="177" fontId="12" fillId="0" borderId="0" xfId="342" applyFont="1">
      <alignment/>
    </xf>
    <xf numFmtId="43" fontId="17" fillId="0" borderId="0" xfId="53" applyFont="1" applyAlignment="1">
      <alignment/>
    </xf>
    <xf numFmtId="177" fontId="14" fillId="0" borderId="0" xfId="342" applyFont="1" applyFill="1" applyBorder="1" applyAlignment="1">
      <alignment/>
    </xf>
    <xf numFmtId="1" fontId="17" fillId="0" borderId="0" xfId="342" applyNumberFormat="1" applyFont="1" applyAlignment="1">
      <alignment horizontal="left"/>
    </xf>
    <xf numFmtId="177" fontId="17" fillId="0" borderId="0" xfId="342" applyFont="1" applyAlignment="1" quotePrefix="1">
      <alignment horizontal="left"/>
    </xf>
    <xf numFmtId="177" fontId="17" fillId="0" borderId="0" xfId="342" applyFont="1" applyAlignment="1">
      <alignment horizontal="center"/>
    </xf>
    <xf numFmtId="177" fontId="17" fillId="0" borderId="0" xfId="342" applyFont="1" applyAlignment="1">
      <alignment horizontal="center" wrapText="1"/>
    </xf>
    <xf numFmtId="177" fontId="17" fillId="0" borderId="0" xfId="342" applyFont="1" applyAlignment="1">
      <alignment/>
    </xf>
    <xf numFmtId="177" fontId="17" fillId="0" borderId="0" xfId="342" applyFont="1" applyFill="1" applyAlignment="1" quotePrefix="1">
      <alignment horizontal="left"/>
    </xf>
    <xf numFmtId="43" fontId="17" fillId="57" borderId="0" xfId="53" applyFont="1" applyFill="1" applyAlignment="1">
      <alignment/>
    </xf>
    <xf numFmtId="43" fontId="17" fillId="0" borderId="0" xfId="53" applyFont="1" applyAlignment="1">
      <alignment/>
    </xf>
    <xf numFmtId="177" fontId="17" fillId="0" borderId="0" xfId="342" applyFont="1" applyBorder="1" applyAlignment="1" quotePrefix="1">
      <alignment horizontal="left"/>
    </xf>
    <xf numFmtId="43" fontId="17" fillId="0" borderId="30" xfId="53" applyFont="1" applyBorder="1" applyAlignment="1">
      <alignment/>
    </xf>
    <xf numFmtId="177" fontId="17" fillId="0" borderId="0" xfId="342" applyFont="1" applyFill="1" applyAlignment="1">
      <alignment horizontal="left"/>
    </xf>
    <xf numFmtId="177" fontId="17" fillId="0" borderId="0" xfId="342" applyFont="1" applyBorder="1" applyAlignment="1">
      <alignment/>
    </xf>
    <xf numFmtId="43" fontId="17" fillId="0" borderId="0" xfId="53" applyFont="1" applyBorder="1" applyAlignment="1">
      <alignment/>
    </xf>
    <xf numFmtId="43" fontId="17" fillId="0" borderId="2" xfId="53" applyFont="1" applyBorder="1" applyAlignment="1">
      <alignment/>
    </xf>
    <xf numFmtId="177" fontId="14" fillId="0" borderId="0" xfId="342" applyFont="1" applyAlignment="1">
      <alignment/>
    </xf>
    <xf numFmtId="168" fontId="17" fillId="0" borderId="36" xfId="53" applyNumberFormat="1" applyFont="1" applyBorder="1" applyAlignment="1">
      <alignment horizontal="center"/>
    </xf>
    <xf numFmtId="177" fontId="17" fillId="0" borderId="36" xfId="342" applyFont="1" applyBorder="1" applyAlignment="1">
      <alignment horizontal="center"/>
    </xf>
    <xf numFmtId="168" fontId="17" fillId="0" borderId="23" xfId="53" applyNumberFormat="1" applyFont="1" applyFill="1" applyBorder="1" applyAlignment="1">
      <alignment horizontal="center"/>
    </xf>
    <xf numFmtId="177" fontId="17" fillId="0" borderId="23" xfId="342" applyFont="1" applyBorder="1" applyAlignment="1">
      <alignment horizontal="center"/>
    </xf>
    <xf numFmtId="177" fontId="17" fillId="0" borderId="23" xfId="342" applyFont="1" applyFill="1" applyBorder="1" applyAlignment="1">
      <alignment horizontal="center"/>
    </xf>
    <xf numFmtId="43" fontId="17" fillId="57" borderId="23" xfId="53" applyFont="1" applyFill="1" applyBorder="1" applyAlignment="1">
      <alignment/>
    </xf>
    <xf numFmtId="168" fontId="17" fillId="0" borderId="23" xfId="53" applyNumberFormat="1" applyFont="1" applyBorder="1" applyAlignment="1">
      <alignment/>
    </xf>
    <xf numFmtId="168" fontId="17" fillId="57" borderId="23" xfId="53" applyNumberFormat="1" applyFont="1" applyFill="1" applyBorder="1" applyAlignment="1">
      <alignment/>
    </xf>
    <xf numFmtId="177" fontId="17" fillId="57" borderId="23" xfId="342" applyFont="1" applyFill="1" applyBorder="1" applyAlignment="1">
      <alignment/>
    </xf>
    <xf numFmtId="177" fontId="17" fillId="57" borderId="23" xfId="342" applyFont="1" applyFill="1" applyBorder="1" applyAlignment="1">
      <alignment horizontal="right"/>
    </xf>
    <xf numFmtId="177" fontId="17" fillId="57" borderId="21" xfId="342" applyFont="1" applyFill="1" applyBorder="1" applyAlignment="1">
      <alignment horizontal="right"/>
    </xf>
    <xf numFmtId="177" fontId="17" fillId="57" borderId="21" xfId="342" applyFont="1" applyFill="1" applyBorder="1" applyAlignment="1">
      <alignment/>
    </xf>
    <xf numFmtId="168" fontId="17" fillId="0" borderId="21" xfId="53" applyNumberFormat="1" applyFont="1" applyBorder="1" applyAlignment="1">
      <alignment/>
    </xf>
    <xf numFmtId="1" fontId="17" fillId="0" borderId="0" xfId="342" applyNumberFormat="1" applyFont="1" applyFill="1" applyAlignment="1" quotePrefix="1">
      <alignment horizontal="left"/>
    </xf>
    <xf numFmtId="168" fontId="17" fillId="0" borderId="0" xfId="53" applyNumberFormat="1" applyFont="1" applyAlignment="1">
      <alignment/>
    </xf>
    <xf numFmtId="0" fontId="17" fillId="0" borderId="0" xfId="400" applyFont="1">
      <alignment/>
      <protection/>
    </xf>
    <xf numFmtId="0" fontId="17" fillId="0" borderId="0" xfId="342" applyNumberFormat="1" applyFont="1" applyFill="1" applyAlignment="1">
      <alignment horizontal="center" vertical="top"/>
    </xf>
    <xf numFmtId="164" fontId="97" fillId="0" borderId="0" xfId="0" applyNumberFormat="1" applyFont="1" applyAlignment="1" applyProtection="1">
      <alignment horizontal="left"/>
      <protection/>
    </xf>
    <xf numFmtId="164" fontId="82" fillId="0" borderId="0" xfId="0" applyNumberFormat="1" applyFont="1" applyAlignment="1" applyProtection="1">
      <alignment horizontal="left"/>
      <protection/>
    </xf>
    <xf numFmtId="164" fontId="6" fillId="0" borderId="0" xfId="0" applyNumberFormat="1" applyFont="1" applyAlignment="1" applyProtection="1">
      <alignment horizontal="left"/>
      <protection/>
    </xf>
    <xf numFmtId="168" fontId="12" fillId="0" borderId="0" xfId="44" applyNumberFormat="1" applyFont="1" applyAlignment="1">
      <alignment/>
    </xf>
    <xf numFmtId="164" fontId="77" fillId="0" borderId="0" xfId="0" applyFont="1" applyAlignment="1">
      <alignment/>
    </xf>
    <xf numFmtId="168" fontId="17" fillId="0" borderId="0" xfId="44" applyNumberFormat="1" applyFont="1" applyAlignment="1">
      <alignment/>
    </xf>
    <xf numFmtId="0" fontId="12" fillId="0" borderId="0" xfId="397" applyNumberFormat="1" applyFont="1" applyAlignment="1">
      <alignment/>
    </xf>
    <xf numFmtId="43" fontId="12" fillId="0" borderId="0" xfId="397" applyNumberFormat="1" applyFont="1" applyAlignment="1">
      <alignment horizontal="left"/>
    </xf>
    <xf numFmtId="0" fontId="12" fillId="0" borderId="0" xfId="397" applyNumberFormat="1" applyFont="1" applyBorder="1" applyAlignment="1">
      <alignment/>
    </xf>
    <xf numFmtId="183" fontId="12" fillId="0" borderId="0" xfId="397" applyNumberFormat="1" applyFont="1" applyAlignment="1">
      <alignment/>
    </xf>
    <xf numFmtId="0" fontId="12" fillId="0" borderId="0" xfId="397" applyNumberFormat="1" applyFont="1" applyAlignment="1" applyProtection="1">
      <alignment horizontal="center"/>
      <protection locked="0"/>
    </xf>
    <xf numFmtId="0" fontId="13" fillId="0" borderId="0" xfId="397" applyNumberFormat="1" applyFont="1" applyAlignment="1">
      <alignment/>
    </xf>
    <xf numFmtId="43" fontId="12" fillId="0" borderId="0" xfId="44" applyFont="1" applyAlignment="1">
      <alignment horizontal="left"/>
    </xf>
    <xf numFmtId="0" fontId="13" fillId="55" borderId="0" xfId="176" applyFont="1" applyFill="1" applyBorder="1" applyAlignment="1" quotePrefix="1">
      <alignment horizontal="center"/>
      <protection/>
    </xf>
    <xf numFmtId="3" fontId="17" fillId="57" borderId="0" xfId="176" applyNumberFormat="1" applyFont="1" applyFill="1">
      <alignment/>
      <protection/>
    </xf>
    <xf numFmtId="41" fontId="14" fillId="55" borderId="0" xfId="176" applyNumberFormat="1" applyFont="1" applyFill="1">
      <alignment/>
      <protection/>
    </xf>
    <xf numFmtId="41" fontId="14" fillId="55" borderId="31" xfId="71" applyNumberFormat="1" applyFont="1" applyFill="1" applyBorder="1" applyAlignment="1">
      <alignment/>
    </xf>
    <xf numFmtId="41" fontId="17" fillId="55" borderId="0" xfId="176" applyNumberFormat="1" applyFont="1" applyFill="1">
      <alignment/>
      <protection/>
    </xf>
    <xf numFmtId="168" fontId="17" fillId="55" borderId="0" xfId="53" applyNumberFormat="1" applyFont="1" applyFill="1" applyAlignment="1">
      <alignment/>
    </xf>
    <xf numFmtId="3" fontId="17" fillId="57" borderId="0" xfId="53" applyNumberFormat="1" applyFont="1" applyFill="1" applyAlignment="1">
      <alignment/>
    </xf>
    <xf numFmtId="170" fontId="17" fillId="55" borderId="0" xfId="71" applyNumberFormat="1" applyFont="1" applyFill="1" applyAlignment="1">
      <alignment/>
    </xf>
    <xf numFmtId="164" fontId="13" fillId="55" borderId="0" xfId="0" applyFont="1" applyFill="1" applyBorder="1" applyAlignment="1" applyProtection="1">
      <alignment/>
      <protection locked="0"/>
    </xf>
    <xf numFmtId="0" fontId="12" fillId="55" borderId="0" xfId="397" applyNumberFormat="1" applyFont="1" applyFill="1">
      <alignment/>
    </xf>
    <xf numFmtId="164" fontId="6" fillId="0" borderId="0" xfId="0" applyNumberFormat="1" applyFont="1" applyFill="1" applyAlignment="1" applyProtection="1">
      <alignment horizontal="right"/>
      <protection/>
    </xf>
    <xf numFmtId="10" fontId="12" fillId="55" borderId="0" xfId="407" applyNumberFormat="1" applyFont="1" applyFill="1" applyAlignment="1" applyProtection="1">
      <alignment horizontal="center"/>
      <protection/>
    </xf>
    <xf numFmtId="10" fontId="12" fillId="0" borderId="0" xfId="53" applyNumberFormat="1" applyFont="1" applyFill="1" applyAlignment="1">
      <alignment horizontal="center"/>
    </xf>
    <xf numFmtId="10" fontId="7" fillId="0" borderId="45" xfId="407" applyNumberFormat="1" applyFont="1" applyBorder="1" applyAlignment="1" applyProtection="1">
      <alignment horizontal="center"/>
      <protection/>
    </xf>
    <xf numFmtId="0" fontId="13" fillId="55" borderId="0" xfId="249" applyFont="1" applyFill="1" applyAlignment="1">
      <alignment horizontal="left"/>
      <protection/>
    </xf>
    <xf numFmtId="0" fontId="13" fillId="57" borderId="0" xfId="249" applyFont="1" applyFill="1" applyBorder="1" applyAlignment="1">
      <alignment/>
      <protection/>
    </xf>
    <xf numFmtId="0" fontId="13" fillId="57" borderId="29" xfId="176" applyFont="1" applyFill="1" applyBorder="1" applyAlignment="1">
      <alignment horizontal="left"/>
      <protection/>
    </xf>
    <xf numFmtId="0" fontId="13" fillId="57" borderId="29" xfId="176" applyFont="1" applyFill="1" applyBorder="1" applyAlignment="1">
      <alignment horizontal="center"/>
      <protection/>
    </xf>
    <xf numFmtId="0" fontId="13" fillId="55" borderId="0" xfId="403" applyFont="1" applyFill="1" applyAlignment="1">
      <alignment/>
      <protection/>
    </xf>
    <xf numFmtId="164" fontId="7" fillId="55" borderId="0" xfId="0" applyNumberFormat="1" applyFont="1" applyFill="1" applyAlignment="1" applyProtection="1">
      <alignment horizontal="center"/>
      <protection/>
    </xf>
    <xf numFmtId="164" fontId="6" fillId="55" borderId="0" xfId="0" applyNumberFormat="1" applyFont="1" applyFill="1" applyAlignment="1" applyProtection="1" quotePrefix="1">
      <alignment/>
      <protection/>
    </xf>
    <xf numFmtId="164" fontId="7" fillId="0" borderId="0" xfId="0" applyNumberFormat="1" applyFont="1" applyAlignment="1" applyProtection="1">
      <alignment horizontal="left" indent="1"/>
      <protection/>
    </xf>
    <xf numFmtId="164" fontId="13" fillId="0" borderId="0" xfId="0" applyNumberFormat="1" applyFont="1" applyAlignment="1" applyProtection="1">
      <alignment horizontal="left" indent="1"/>
      <protection/>
    </xf>
    <xf numFmtId="164" fontId="97" fillId="55" borderId="0" xfId="0" applyNumberFormat="1" applyFont="1" applyFill="1" applyAlignment="1" applyProtection="1">
      <alignment horizontal="center"/>
      <protection/>
    </xf>
    <xf numFmtId="37" fontId="77" fillId="55" borderId="0" xfId="0" applyNumberFormat="1" applyFont="1" applyFill="1" applyBorder="1" applyAlignment="1" applyProtection="1">
      <alignment/>
      <protection/>
    </xf>
    <xf numFmtId="164" fontId="77" fillId="55" borderId="0" xfId="0" applyNumberFormat="1" applyFont="1" applyFill="1" applyBorder="1" applyAlignment="1" applyProtection="1">
      <alignment/>
      <protection/>
    </xf>
    <xf numFmtId="10" fontId="77" fillId="55" borderId="0" xfId="407" applyNumberFormat="1" applyFont="1" applyFill="1" applyBorder="1" applyAlignment="1" applyProtection="1">
      <alignment horizontal="center"/>
      <protection/>
    </xf>
    <xf numFmtId="177" fontId="17" fillId="0" borderId="0" xfId="342" applyFont="1" applyFill="1" applyBorder="1" applyAlignment="1">
      <alignment horizontal="left" indent="1"/>
    </xf>
    <xf numFmtId="164" fontId="12" fillId="57" borderId="0" xfId="0" applyFont="1" applyFill="1" applyAlignment="1">
      <alignment wrapText="1"/>
    </xf>
    <xf numFmtId="164" fontId="12" fillId="57" borderId="0" xfId="174" applyFont="1" applyFill="1" applyAlignment="1">
      <alignment wrapText="1"/>
      <protection/>
    </xf>
    <xf numFmtId="43" fontId="12" fillId="55" borderId="0" xfId="44" applyFont="1" applyFill="1" applyBorder="1" applyAlignment="1">
      <alignment horizontal="center"/>
    </xf>
    <xf numFmtId="37" fontId="12" fillId="0" borderId="0" xfId="0" applyNumberFormat="1" applyFont="1" applyAlignment="1" applyProtection="1">
      <alignment horizontal="right"/>
      <protection/>
    </xf>
    <xf numFmtId="43" fontId="6" fillId="0" borderId="0" xfId="44" applyFont="1" applyAlignment="1" applyProtection="1">
      <alignment horizontal="right"/>
      <protection/>
    </xf>
    <xf numFmtId="37" fontId="7" fillId="0" borderId="0" xfId="0" applyNumberFormat="1" applyFont="1" applyAlignment="1" applyProtection="1">
      <alignment horizontal="right"/>
      <protection/>
    </xf>
    <xf numFmtId="164" fontId="145" fillId="0" borderId="0" xfId="0" applyFont="1" applyAlignment="1">
      <alignment horizontal="right"/>
    </xf>
    <xf numFmtId="43" fontId="17" fillId="0" borderId="0" xfId="44" applyFont="1" applyAlignment="1">
      <alignment horizontal="right"/>
    </xf>
    <xf numFmtId="164" fontId="14" fillId="0" borderId="0" xfId="0" applyFont="1" applyAlignment="1">
      <alignment horizontal="right"/>
    </xf>
    <xf numFmtId="37" fontId="77" fillId="0" borderId="0" xfId="0" applyNumberFormat="1" applyFont="1" applyAlignment="1" applyProtection="1">
      <alignment horizontal="right"/>
      <protection/>
    </xf>
    <xf numFmtId="37" fontId="82" fillId="0" borderId="0" xfId="0" applyNumberFormat="1" applyFont="1" applyAlignment="1" applyProtection="1">
      <alignment horizontal="right"/>
      <protection/>
    </xf>
    <xf numFmtId="164" fontId="17" fillId="0" borderId="0" xfId="0" applyFont="1" applyAlignment="1">
      <alignment horizontal="right"/>
    </xf>
    <xf numFmtId="5" fontId="6" fillId="0" borderId="0" xfId="0" applyNumberFormat="1" applyFont="1" applyAlignment="1" applyProtection="1">
      <alignment horizontal="right"/>
      <protection/>
    </xf>
    <xf numFmtId="3" fontId="7" fillId="0" borderId="0" xfId="44" applyNumberFormat="1" applyFont="1" applyAlignment="1" applyProtection="1">
      <alignment horizontal="right"/>
      <protection/>
    </xf>
    <xf numFmtId="3" fontId="6" fillId="0" borderId="0" xfId="44" applyNumberFormat="1" applyFont="1" applyAlignment="1" applyProtection="1">
      <alignment horizontal="right"/>
      <protection/>
    </xf>
    <xf numFmtId="169" fontId="17" fillId="55" borderId="26" xfId="0" applyNumberFormat="1" applyFont="1" applyFill="1" applyBorder="1" applyAlignment="1">
      <alignment horizontal="center"/>
    </xf>
    <xf numFmtId="168" fontId="12" fillId="55" borderId="0" xfId="44" applyNumberFormat="1" applyFont="1" applyFill="1" applyBorder="1" applyAlignment="1">
      <alignment horizontal="left"/>
    </xf>
    <xf numFmtId="171" fontId="12" fillId="55" borderId="0" xfId="407" applyNumberFormat="1" applyFont="1" applyFill="1" applyBorder="1" applyAlignment="1">
      <alignment horizontal="right"/>
    </xf>
    <xf numFmtId="168" fontId="7" fillId="0" borderId="0" xfId="44" applyNumberFormat="1" applyFont="1" applyBorder="1" applyAlignment="1" applyProtection="1">
      <alignment horizontal="right"/>
      <protection/>
    </xf>
    <xf numFmtId="169" fontId="12" fillId="55" borderId="0" xfId="44" applyNumberFormat="1" applyFont="1" applyFill="1" applyAlignment="1" applyProtection="1">
      <alignment/>
      <protection/>
    </xf>
    <xf numFmtId="169" fontId="12" fillId="55" borderId="16" xfId="44" applyNumberFormat="1" applyFont="1" applyFill="1" applyBorder="1" applyAlignment="1" applyProtection="1">
      <alignment/>
      <protection/>
    </xf>
    <xf numFmtId="169" fontId="7" fillId="55" borderId="0" xfId="44" applyNumberFormat="1" applyFont="1" applyFill="1" applyAlignment="1" applyProtection="1">
      <alignment/>
      <protection/>
    </xf>
    <xf numFmtId="169" fontId="6" fillId="55" borderId="0" xfId="0" applyNumberFormat="1" applyFont="1" applyFill="1" applyBorder="1" applyAlignment="1" applyProtection="1">
      <alignment/>
      <protection/>
    </xf>
    <xf numFmtId="169" fontId="12" fillId="55" borderId="0" xfId="50" applyNumberFormat="1" applyFont="1" applyFill="1" applyBorder="1" applyAlignment="1" applyProtection="1">
      <alignment/>
      <protection/>
    </xf>
    <xf numFmtId="169" fontId="12" fillId="55" borderId="0" xfId="0" applyNumberFormat="1" applyFont="1" applyFill="1" applyBorder="1" applyAlignment="1" applyProtection="1">
      <alignment/>
      <protection/>
    </xf>
    <xf numFmtId="169" fontId="7" fillId="55" borderId="33" xfId="44" applyNumberFormat="1" applyFont="1" applyFill="1" applyBorder="1" applyAlignment="1" applyProtection="1">
      <alignment/>
      <protection/>
    </xf>
    <xf numFmtId="169" fontId="13" fillId="55" borderId="0" xfId="71" applyNumberFormat="1" applyFont="1" applyFill="1" applyAlignment="1">
      <alignment/>
    </xf>
    <xf numFmtId="169" fontId="13" fillId="55" borderId="0" xfId="0" applyNumberFormat="1" applyFont="1" applyFill="1" applyAlignment="1">
      <alignment/>
    </xf>
    <xf numFmtId="168" fontId="7" fillId="0" borderId="16" xfId="44" applyNumberFormat="1" applyFont="1" applyBorder="1" applyAlignment="1" applyProtection="1">
      <alignment/>
      <protection/>
    </xf>
    <xf numFmtId="168" fontId="12" fillId="0" borderId="16" xfId="44" applyNumberFormat="1" applyFont="1" applyBorder="1" applyAlignment="1">
      <alignment/>
    </xf>
    <xf numFmtId="168" fontId="7" fillId="0" borderId="46" xfId="44" applyNumberFormat="1" applyFont="1" applyBorder="1" applyAlignment="1" applyProtection="1">
      <alignment/>
      <protection/>
    </xf>
    <xf numFmtId="168" fontId="13" fillId="0" borderId="38" xfId="44" applyNumberFormat="1" applyFont="1" applyBorder="1" applyAlignment="1">
      <alignment/>
    </xf>
    <xf numFmtId="164" fontId="7" fillId="0" borderId="0" xfId="0" applyNumberFormat="1" applyFont="1" applyAlignment="1" applyProtection="1">
      <alignment horizontal="center"/>
      <protection/>
    </xf>
    <xf numFmtId="169" fontId="12" fillId="55" borderId="0" xfId="71" applyNumberFormat="1" applyFont="1" applyFill="1" applyAlignment="1">
      <alignment/>
    </xf>
    <xf numFmtId="3" fontId="161" fillId="55" borderId="2" xfId="92" applyNumberFormat="1" applyFont="1" applyFill="1" applyBorder="1" applyAlignment="1">
      <alignment horizontal="right"/>
      <protection/>
    </xf>
    <xf numFmtId="3" fontId="12" fillId="55" borderId="2" xfId="66" applyNumberFormat="1" applyFont="1" applyFill="1" applyBorder="1" applyAlignment="1">
      <alignment/>
    </xf>
    <xf numFmtId="168" fontId="13" fillId="55" borderId="0" xfId="66" applyNumberFormat="1" applyFont="1" applyFill="1" applyBorder="1" applyAlignment="1">
      <alignment horizontal="right"/>
    </xf>
    <xf numFmtId="168" fontId="80" fillId="55" borderId="0" xfId="44" applyNumberFormat="1" applyFont="1" applyFill="1" applyBorder="1" applyAlignment="1">
      <alignment horizontal="left"/>
    </xf>
    <xf numFmtId="168" fontId="12" fillId="55" borderId="1" xfId="65" applyNumberFormat="1" applyFont="1" applyFill="1" applyBorder="1" applyAlignment="1">
      <alignment/>
    </xf>
    <xf numFmtId="43" fontId="17" fillId="33" borderId="0" xfId="44" applyNumberFormat="1" applyFont="1" applyFill="1" applyBorder="1" applyAlignment="1">
      <alignment/>
    </xf>
    <xf numFmtId="43" fontId="17" fillId="57" borderId="0" xfId="53" applyNumberFormat="1" applyFont="1" applyFill="1" applyBorder="1" applyAlignment="1">
      <alignment/>
    </xf>
    <xf numFmtId="1" fontId="14" fillId="55" borderId="0" xfId="0" applyNumberFormat="1" applyFont="1" applyFill="1" applyBorder="1" applyAlignment="1">
      <alignment/>
    </xf>
    <xf numFmtId="10" fontId="12" fillId="55" borderId="32" xfId="412" applyNumberFormat="1" applyFont="1" applyFill="1" applyBorder="1" applyAlignment="1">
      <alignment/>
    </xf>
    <xf numFmtId="164" fontId="7" fillId="55" borderId="0" xfId="0" applyNumberFormat="1" applyFont="1" applyFill="1" applyAlignment="1" applyProtection="1">
      <alignment horizontal="center"/>
      <protection/>
    </xf>
    <xf numFmtId="41" fontId="17" fillId="57" borderId="0" xfId="50" applyNumberFormat="1" applyFont="1" applyFill="1" applyAlignment="1">
      <alignment/>
    </xf>
    <xf numFmtId="41" fontId="17" fillId="57" borderId="2" xfId="50" applyNumberFormat="1" applyFont="1" applyFill="1" applyBorder="1" applyAlignment="1">
      <alignment/>
    </xf>
    <xf numFmtId="41" fontId="17" fillId="57" borderId="0" xfId="50" applyNumberFormat="1" applyFont="1" applyFill="1" applyBorder="1" applyAlignment="1">
      <alignment/>
    </xf>
    <xf numFmtId="41" fontId="17" fillId="57" borderId="0" xfId="71" applyNumberFormat="1" applyFont="1" applyFill="1" applyAlignment="1">
      <alignment/>
    </xf>
    <xf numFmtId="41" fontId="30" fillId="57" borderId="0" xfId="53" applyNumberFormat="1" applyFont="1" applyFill="1" applyAlignment="1">
      <alignment/>
    </xf>
    <xf numFmtId="41" fontId="30" fillId="57" borderId="2" xfId="53" applyNumberFormat="1" applyFont="1" applyFill="1" applyBorder="1" applyAlignment="1">
      <alignment/>
    </xf>
    <xf numFmtId="177" fontId="17" fillId="0" borderId="0" xfId="342" applyFont="1" applyFill="1" applyBorder="1" applyAlignment="1">
      <alignment horizontal="left" vertical="center" wrapText="1"/>
    </xf>
    <xf numFmtId="43" fontId="164" fillId="0" borderId="0" xfId="44" applyFont="1" applyAlignment="1">
      <alignment/>
    </xf>
    <xf numFmtId="14" fontId="12" fillId="57" borderId="0" xfId="110" applyNumberFormat="1" applyFont="1" applyFill="1" applyBorder="1" applyAlignment="1">
      <alignment horizontal="center" wrapText="1"/>
      <protection/>
    </xf>
    <xf numFmtId="164" fontId="13" fillId="55" borderId="0" xfId="110" applyFont="1" applyFill="1" applyAlignment="1">
      <alignment horizontal="center"/>
      <protection/>
    </xf>
    <xf numFmtId="164" fontId="12" fillId="57" borderId="0" xfId="110" applyFont="1" applyFill="1" applyBorder="1" applyAlignment="1">
      <alignment horizontal="center" wrapText="1"/>
      <protection/>
    </xf>
    <xf numFmtId="164" fontId="12" fillId="55" borderId="0" xfId="110" applyFont="1" applyFill="1" applyBorder="1" applyAlignment="1">
      <alignment wrapText="1"/>
      <protection/>
    </xf>
    <xf numFmtId="168" fontId="12" fillId="57" borderId="0" xfId="50" applyNumberFormat="1" applyFont="1" applyFill="1" applyBorder="1" applyAlignment="1">
      <alignment wrapText="1"/>
    </xf>
    <xf numFmtId="168" fontId="12" fillId="57" borderId="2" xfId="50" applyNumberFormat="1" applyFont="1" applyFill="1" applyBorder="1" applyAlignment="1">
      <alignment wrapText="1"/>
    </xf>
    <xf numFmtId="1" fontId="12" fillId="55" borderId="2" xfId="66" applyNumberFormat="1" applyFont="1" applyFill="1" applyBorder="1" applyAlignment="1">
      <alignment horizontal="center"/>
    </xf>
    <xf numFmtId="14" fontId="12" fillId="57" borderId="0" xfId="167" applyNumberFormat="1" applyFont="1" applyFill="1">
      <alignment/>
      <protection/>
    </xf>
    <xf numFmtId="0" fontId="12" fillId="57" borderId="0" xfId="167" applyFont="1" applyFill="1">
      <alignment/>
      <protection/>
    </xf>
    <xf numFmtId="3" fontId="12" fillId="57" borderId="2" xfId="249" applyNumberFormat="1" applyFont="1" applyFill="1" applyBorder="1">
      <alignment/>
      <protection/>
    </xf>
    <xf numFmtId="168" fontId="12" fillId="57" borderId="2" xfId="53" applyNumberFormat="1" applyFont="1" applyFill="1" applyBorder="1" applyAlignment="1">
      <alignment/>
    </xf>
    <xf numFmtId="168" fontId="17" fillId="57" borderId="0" xfId="50" applyNumberFormat="1" applyFont="1" applyFill="1" applyAlignment="1">
      <alignment/>
    </xf>
    <xf numFmtId="41" fontId="14" fillId="55" borderId="0" xfId="71" applyNumberFormat="1" applyFont="1" applyFill="1" applyBorder="1" applyAlignment="1">
      <alignment/>
    </xf>
    <xf numFmtId="41" fontId="170" fillId="55" borderId="0" xfId="71" applyNumberFormat="1" applyFont="1" applyFill="1" applyBorder="1" applyAlignment="1">
      <alignment/>
    </xf>
    <xf numFmtId="168" fontId="80" fillId="57" borderId="0" xfId="50" applyNumberFormat="1" applyFont="1" applyFill="1" applyAlignment="1">
      <alignment horizontal="right" vertical="center"/>
    </xf>
    <xf numFmtId="168" fontId="80" fillId="57" borderId="2" xfId="50" applyNumberFormat="1" applyFont="1" applyFill="1" applyBorder="1" applyAlignment="1">
      <alignment horizontal="right" vertical="center"/>
    </xf>
    <xf numFmtId="168" fontId="159" fillId="57" borderId="0" xfId="50" applyNumberFormat="1" applyFont="1" applyFill="1" applyBorder="1" applyAlignment="1">
      <alignment/>
    </xf>
    <xf numFmtId="168" fontId="171" fillId="57" borderId="0" xfId="50" applyNumberFormat="1" applyFont="1" applyFill="1" applyBorder="1" applyAlignment="1">
      <alignment/>
    </xf>
    <xf numFmtId="168" fontId="80" fillId="57" borderId="2" xfId="50" applyNumberFormat="1" applyFont="1" applyFill="1" applyBorder="1" applyAlignment="1">
      <alignment horizontal="left"/>
    </xf>
    <xf numFmtId="0" fontId="160" fillId="55" borderId="2" xfId="165" applyFont="1" applyFill="1" applyBorder="1" applyAlignment="1">
      <alignment horizontal="center"/>
      <protection/>
    </xf>
    <xf numFmtId="0" fontId="160" fillId="55" borderId="0" xfId="165" applyFont="1" applyFill="1" applyBorder="1" applyAlignment="1">
      <alignment horizontal="center"/>
      <protection/>
    </xf>
    <xf numFmtId="0" fontId="152" fillId="55" borderId="0" xfId="165" applyFont="1" applyFill="1">
      <alignment/>
      <protection/>
    </xf>
    <xf numFmtId="168" fontId="145" fillId="57" borderId="11" xfId="549" applyNumberFormat="1" applyFont="1" applyFill="1" applyProtection="1" quotePrefix="1">
      <alignment horizontal="right" vertical="center"/>
      <protection locked="0"/>
    </xf>
    <xf numFmtId="164" fontId="7" fillId="55" borderId="0" xfId="0" applyNumberFormat="1" applyFont="1" applyFill="1" applyAlignment="1" applyProtection="1" quotePrefix="1">
      <alignment horizontal="left"/>
      <protection/>
    </xf>
    <xf numFmtId="164" fontId="82" fillId="55" borderId="0" xfId="0" applyNumberFormat="1" applyFont="1" applyFill="1" applyAlignment="1" applyProtection="1">
      <alignment horizontal="left"/>
      <protection/>
    </xf>
    <xf numFmtId="10" fontId="12" fillId="0" borderId="0" xfId="407" applyNumberFormat="1" applyFont="1" applyAlignment="1">
      <alignment/>
    </xf>
    <xf numFmtId="168" fontId="12" fillId="55" borderId="0" xfId="352" applyNumberFormat="1" applyFont="1" applyFill="1" applyBorder="1">
      <alignment/>
      <protection/>
    </xf>
    <xf numFmtId="164" fontId="25" fillId="57" borderId="0" xfId="0" applyNumberFormat="1" applyFont="1" applyFill="1" applyAlignment="1" applyProtection="1">
      <alignment horizontal="center"/>
      <protection/>
    </xf>
    <xf numFmtId="43" fontId="123" fillId="0" borderId="0" xfId="44" applyFont="1" applyFill="1" applyAlignment="1">
      <alignment/>
    </xf>
    <xf numFmtId="43" fontId="0" fillId="0" borderId="0" xfId="44" applyFont="1" applyFill="1" applyAlignment="1">
      <alignment/>
    </xf>
    <xf numFmtId="43" fontId="123" fillId="0" borderId="0" xfId="44" applyFont="1" applyFill="1" applyAlignment="1">
      <alignment horizontal="center"/>
    </xf>
    <xf numFmtId="164" fontId="13" fillId="0" borderId="0" xfId="0" applyNumberFormat="1" applyFont="1" applyFill="1" applyAlignment="1" applyProtection="1">
      <alignment vertical="top"/>
      <protection/>
    </xf>
    <xf numFmtId="43" fontId="13" fillId="0" borderId="0" xfId="50" applyFont="1" applyFill="1" applyAlignment="1" applyProtection="1">
      <alignment horizontal="right"/>
      <protection/>
    </xf>
    <xf numFmtId="164" fontId="0" fillId="0" borderId="0" xfId="0" applyFont="1" applyFill="1" applyAlignment="1">
      <alignment/>
    </xf>
    <xf numFmtId="164" fontId="26" fillId="0" borderId="0" xfId="0" applyNumberFormat="1" applyFont="1" applyFill="1" applyAlignment="1" applyProtection="1">
      <alignment/>
      <protection/>
    </xf>
    <xf numFmtId="43" fontId="26" fillId="0" borderId="0" xfId="50" applyFont="1" applyFill="1" applyAlignment="1" applyProtection="1">
      <alignment/>
      <protection/>
    </xf>
    <xf numFmtId="164" fontId="0" fillId="55" borderId="0" xfId="0" applyFont="1" applyFill="1" applyAlignment="1">
      <alignment/>
    </xf>
    <xf numFmtId="164" fontId="25" fillId="0" borderId="0" xfId="0" applyNumberFormat="1" applyFont="1" applyFill="1" applyAlignment="1" applyProtection="1">
      <alignment horizontal="center"/>
      <protection/>
    </xf>
    <xf numFmtId="164" fontId="25" fillId="0" borderId="0" xfId="0" applyNumberFormat="1" applyFont="1" applyFill="1" applyBorder="1" applyAlignment="1" applyProtection="1">
      <alignment horizontal="center"/>
      <protection/>
    </xf>
    <xf numFmtId="0" fontId="12" fillId="55" borderId="0" xfId="308" applyFont="1" applyFill="1">
      <alignment/>
      <protection/>
    </xf>
    <xf numFmtId="0" fontId="13" fillId="55" borderId="0" xfId="308" applyFont="1" applyFill="1">
      <alignment/>
      <protection/>
    </xf>
    <xf numFmtId="0" fontId="13" fillId="56" borderId="1" xfId="308" applyFont="1" applyFill="1" applyBorder="1">
      <alignment/>
      <protection/>
    </xf>
    <xf numFmtId="168" fontId="172" fillId="58" borderId="0" xfId="50" applyNumberFormat="1" applyFont="1" applyFill="1" applyAlignment="1">
      <alignment/>
    </xf>
    <xf numFmtId="168" fontId="173" fillId="58" borderId="0" xfId="50" applyNumberFormat="1" applyFont="1" applyFill="1" applyAlignment="1">
      <alignment/>
    </xf>
    <xf numFmtId="168" fontId="174" fillId="58" borderId="0" xfId="50" applyNumberFormat="1" applyFont="1" applyFill="1" applyAlignment="1">
      <alignment/>
    </xf>
    <xf numFmtId="168" fontId="175" fillId="58" borderId="0" xfId="50" applyNumberFormat="1" applyFont="1" applyFill="1" applyAlignment="1">
      <alignment/>
    </xf>
    <xf numFmtId="168" fontId="175" fillId="58" borderId="1" xfId="50" applyNumberFormat="1" applyFont="1" applyFill="1" applyBorder="1" applyAlignment="1">
      <alignment/>
    </xf>
    <xf numFmtId="168" fontId="174" fillId="58" borderId="0" xfId="50" applyNumberFormat="1" applyFont="1" applyFill="1" applyBorder="1" applyAlignment="1">
      <alignment/>
    </xf>
    <xf numFmtId="168" fontId="174" fillId="58" borderId="18" xfId="50" applyNumberFormat="1" applyFont="1" applyFill="1" applyBorder="1" applyAlignment="1">
      <alignment/>
    </xf>
    <xf numFmtId="168" fontId="174" fillId="58" borderId="1" xfId="50" applyNumberFormat="1" applyFont="1" applyFill="1" applyBorder="1" applyAlignment="1">
      <alignment/>
    </xf>
    <xf numFmtId="168" fontId="175" fillId="58" borderId="18" xfId="50" applyNumberFormat="1" applyFont="1" applyFill="1" applyBorder="1" applyAlignment="1">
      <alignment/>
    </xf>
    <xf numFmtId="168" fontId="175" fillId="58" borderId="19" xfId="50" applyNumberFormat="1" applyFont="1" applyFill="1" applyBorder="1" applyAlignment="1">
      <alignment/>
    </xf>
    <xf numFmtId="169" fontId="176" fillId="55" borderId="0" xfId="0" applyNumberFormat="1" applyFont="1" applyFill="1" applyAlignment="1">
      <alignment/>
    </xf>
    <xf numFmtId="41" fontId="13" fillId="55" borderId="0" xfId="71" applyNumberFormat="1" applyFont="1" applyFill="1" applyBorder="1" applyAlignment="1">
      <alignment/>
    </xf>
    <xf numFmtId="14" fontId="78" fillId="55" borderId="2" xfId="0" applyNumberFormat="1" applyFont="1" applyFill="1" applyBorder="1" applyAlignment="1" quotePrefix="1">
      <alignment horizontal="center"/>
    </xf>
    <xf numFmtId="168" fontId="80" fillId="57" borderId="2" xfId="53" applyNumberFormat="1" applyFont="1" applyFill="1" applyBorder="1" applyAlignment="1">
      <alignment/>
    </xf>
    <xf numFmtId="43" fontId="12" fillId="0" borderId="0" xfId="44" applyFont="1" applyAlignment="1">
      <alignment/>
    </xf>
    <xf numFmtId="192" fontId="17" fillId="57" borderId="2" xfId="0" applyNumberFormat="1" applyFont="1" applyFill="1" applyBorder="1" applyAlignment="1">
      <alignment/>
    </xf>
    <xf numFmtId="169" fontId="17" fillId="55" borderId="2" xfId="0" applyNumberFormat="1" applyFont="1" applyFill="1" applyBorder="1" applyAlignment="1">
      <alignment/>
    </xf>
    <xf numFmtId="164" fontId="12" fillId="0" borderId="0" xfId="0" applyNumberFormat="1" applyFont="1" applyFill="1" applyAlignment="1" applyProtection="1">
      <alignment horizontal="left"/>
      <protection/>
    </xf>
    <xf numFmtId="164" fontId="26" fillId="0" borderId="0" xfId="0" applyNumberFormat="1" applyFont="1" applyFill="1" applyAlignment="1" applyProtection="1">
      <alignment horizontal="left"/>
      <protection/>
    </xf>
    <xf numFmtId="0" fontId="12" fillId="0" borderId="0" xfId="308" applyFont="1" applyFill="1" applyAlignment="1">
      <alignment horizontal="left"/>
      <protection/>
    </xf>
    <xf numFmtId="0" fontId="13" fillId="0" borderId="0" xfId="352" applyFont="1" applyFill="1" applyBorder="1" applyAlignment="1">
      <alignment horizontal="left"/>
      <protection/>
    </xf>
    <xf numFmtId="0" fontId="13" fillId="0" borderId="18" xfId="352" applyFont="1" applyFill="1" applyBorder="1" applyAlignment="1">
      <alignment horizontal="left"/>
      <protection/>
    </xf>
    <xf numFmtId="0" fontId="13" fillId="0" borderId="1" xfId="352" applyFont="1" applyFill="1" applyBorder="1" applyAlignment="1">
      <alignment horizontal="left"/>
      <protection/>
    </xf>
    <xf numFmtId="3" fontId="69" fillId="0" borderId="0" xfId="176" applyNumberFormat="1" applyFont="1" applyFill="1" applyAlignment="1">
      <alignment horizontal="left"/>
      <protection/>
    </xf>
    <xf numFmtId="0" fontId="13" fillId="57" borderId="0" xfId="352" applyFont="1" applyFill="1" applyBorder="1" applyAlignment="1">
      <alignment horizontal="left"/>
      <protection/>
    </xf>
    <xf numFmtId="3" fontId="69" fillId="57" borderId="0" xfId="176" applyNumberFormat="1" applyFont="1" applyFill="1" applyAlignment="1">
      <alignment horizontal="left"/>
      <protection/>
    </xf>
    <xf numFmtId="0" fontId="12" fillId="57" borderId="0" xfId="352" applyFont="1" applyFill="1" applyBorder="1" applyAlignment="1">
      <alignment horizontal="left"/>
      <protection/>
    </xf>
    <xf numFmtId="0" fontId="13" fillId="0" borderId="19" xfId="352" applyFont="1" applyFill="1" applyBorder="1" applyAlignment="1">
      <alignment horizontal="left"/>
      <protection/>
    </xf>
    <xf numFmtId="0" fontId="12" fillId="0" borderId="0" xfId="352" applyFont="1" applyFill="1" applyAlignment="1">
      <alignment horizontal="left"/>
      <protection/>
    </xf>
    <xf numFmtId="0" fontId="107" fillId="55" borderId="0" xfId="381" applyFont="1" applyFill="1" applyAlignment="1">
      <alignment horizontal="left"/>
      <protection/>
    </xf>
    <xf numFmtId="0" fontId="107" fillId="55" borderId="0" xfId="381" applyFont="1" applyFill="1" applyAlignment="1" quotePrefix="1">
      <alignment horizontal="left"/>
      <protection/>
    </xf>
    <xf numFmtId="164" fontId="7" fillId="55" borderId="0" xfId="0" applyNumberFormat="1" applyFont="1" applyFill="1" applyBorder="1" applyAlignment="1" applyProtection="1">
      <alignment horizontal="center"/>
      <protection locked="0"/>
    </xf>
    <xf numFmtId="164" fontId="7" fillId="0" borderId="0" xfId="0" applyNumberFormat="1" applyFont="1" applyAlignment="1" applyProtection="1">
      <alignment horizontal="center"/>
      <protection/>
    </xf>
    <xf numFmtId="164" fontId="7" fillId="57" borderId="0" xfId="0" applyNumberFormat="1" applyFont="1" applyFill="1" applyAlignment="1" applyProtection="1">
      <alignment horizontal="center"/>
      <protection/>
    </xf>
    <xf numFmtId="164" fontId="7" fillId="0" borderId="0" xfId="0" applyNumberFormat="1" applyFont="1" applyBorder="1" applyAlignment="1" applyProtection="1">
      <alignment horizontal="center"/>
      <protection/>
    </xf>
    <xf numFmtId="164" fontId="12" fillId="0" borderId="0" xfId="0" applyFont="1" applyAlignment="1">
      <alignment horizontal="left" wrapText="1"/>
    </xf>
    <xf numFmtId="164" fontId="4" fillId="55" borderId="0" xfId="0" applyNumberFormat="1" applyFont="1" applyFill="1" applyAlignment="1" applyProtection="1">
      <alignment horizontal="center"/>
      <protection/>
    </xf>
    <xf numFmtId="164" fontId="4" fillId="57" borderId="0" xfId="0" applyNumberFormat="1" applyFont="1" applyFill="1" applyAlignment="1" applyProtection="1">
      <alignment horizontal="center"/>
      <protection/>
    </xf>
    <xf numFmtId="164" fontId="4" fillId="55" borderId="0" xfId="0" applyNumberFormat="1" applyFont="1" applyFill="1" applyBorder="1" applyAlignment="1" applyProtection="1">
      <alignment horizontal="center"/>
      <protection/>
    </xf>
    <xf numFmtId="164" fontId="13" fillId="57" borderId="0" xfId="0" applyFont="1" applyFill="1" applyAlignment="1">
      <alignment horizontal="center"/>
    </xf>
    <xf numFmtId="164" fontId="32" fillId="57" borderId="20" xfId="0" applyFont="1" applyFill="1" applyBorder="1" applyAlignment="1">
      <alignment horizontal="center"/>
    </xf>
    <xf numFmtId="164" fontId="32" fillId="57" borderId="37" xfId="0" applyFont="1" applyFill="1" applyBorder="1" applyAlignment="1">
      <alignment horizontal="center"/>
    </xf>
    <xf numFmtId="164" fontId="32" fillId="57" borderId="29" xfId="0" applyFont="1" applyFill="1" applyBorder="1" applyAlignment="1">
      <alignment horizontal="center"/>
    </xf>
    <xf numFmtId="164" fontId="13" fillId="55" borderId="0" xfId="0" applyFont="1" applyFill="1" applyAlignment="1">
      <alignment horizontal="center"/>
    </xf>
    <xf numFmtId="164" fontId="17" fillId="55" borderId="2" xfId="0" applyFont="1" applyFill="1" applyBorder="1" applyAlignment="1">
      <alignment horizontal="center"/>
    </xf>
    <xf numFmtId="164" fontId="28" fillId="55" borderId="0" xfId="0" applyFont="1" applyFill="1" applyAlignment="1">
      <alignment horizontal="center"/>
    </xf>
    <xf numFmtId="164" fontId="28" fillId="57" borderId="0" xfId="0" applyFont="1" applyFill="1" applyAlignment="1">
      <alignment horizontal="center"/>
    </xf>
    <xf numFmtId="164" fontId="7" fillId="55" borderId="0" xfId="0" applyNumberFormat="1" applyFont="1" applyFill="1" applyAlignment="1" applyProtection="1">
      <alignment horizontal="center"/>
      <protection/>
    </xf>
    <xf numFmtId="164" fontId="7" fillId="55" borderId="0" xfId="0" applyNumberFormat="1" applyFont="1" applyFill="1" applyBorder="1" applyAlignment="1" applyProtection="1">
      <alignment horizontal="center"/>
      <protection/>
    </xf>
    <xf numFmtId="177" fontId="13" fillId="0" borderId="0" xfId="342" applyFont="1" applyFill="1" applyBorder="1" applyAlignment="1">
      <alignment horizontal="center"/>
    </xf>
    <xf numFmtId="0" fontId="13" fillId="0" borderId="0" xfId="342" applyNumberFormat="1" applyFont="1" applyFill="1" applyBorder="1" applyAlignment="1">
      <alignment horizontal="center"/>
    </xf>
    <xf numFmtId="0" fontId="13" fillId="0" borderId="0" xfId="342" applyNumberFormat="1" applyFont="1" applyFill="1" applyBorder="1" applyAlignment="1" applyProtection="1">
      <alignment horizontal="center"/>
      <protection locked="0"/>
    </xf>
    <xf numFmtId="0" fontId="160" fillId="0" borderId="0" xfId="165" applyNumberFormat="1" applyFont="1" applyFill="1" applyAlignment="1">
      <alignment horizontal="center"/>
      <protection/>
    </xf>
    <xf numFmtId="0" fontId="13" fillId="57" borderId="0" xfId="342" applyNumberFormat="1" applyFont="1" applyFill="1" applyBorder="1" applyAlignment="1">
      <alignment horizontal="center"/>
    </xf>
    <xf numFmtId="177" fontId="17" fillId="0" borderId="0" xfId="342" applyFont="1" applyFill="1" applyBorder="1" applyAlignment="1">
      <alignment horizontal="left"/>
    </xf>
    <xf numFmtId="177" fontId="17" fillId="0" borderId="0" xfId="342" applyFont="1" applyFill="1" applyBorder="1" applyAlignment="1">
      <alignment horizontal="left" vertical="top" wrapText="1"/>
    </xf>
    <xf numFmtId="177" fontId="17" fillId="0" borderId="0" xfId="342" applyFont="1" applyFill="1" applyBorder="1" applyAlignment="1">
      <alignment horizontal="left" vertical="center" wrapText="1"/>
    </xf>
    <xf numFmtId="177" fontId="63" fillId="0" borderId="0" xfId="342" applyFont="1" applyFill="1" applyBorder="1" applyAlignment="1">
      <alignment horizontal="left"/>
    </xf>
    <xf numFmtId="177" fontId="63" fillId="0" borderId="0" xfId="342" applyFont="1" applyFill="1" applyBorder="1" applyAlignment="1">
      <alignment horizontal="left" vertical="top" wrapText="1"/>
    </xf>
    <xf numFmtId="177" fontId="63" fillId="0" borderId="0" xfId="342" applyFont="1" applyFill="1" applyBorder="1" applyAlignment="1">
      <alignment horizontal="left" wrapText="1"/>
    </xf>
    <xf numFmtId="3" fontId="13" fillId="0" borderId="0" xfId="342" applyNumberFormat="1" applyFont="1" applyFill="1" applyBorder="1" applyAlignment="1">
      <alignment horizontal="center"/>
    </xf>
    <xf numFmtId="0" fontId="13" fillId="0" borderId="0" xfId="401" applyNumberFormat="1" applyFont="1" applyFill="1" applyAlignment="1">
      <alignment horizontal="center"/>
    </xf>
    <xf numFmtId="177" fontId="13" fillId="57" borderId="0" xfId="342" applyFont="1" applyFill="1" applyAlignment="1">
      <alignment horizontal="center"/>
    </xf>
    <xf numFmtId="177" fontId="60" fillId="0" borderId="0" xfId="342" applyFont="1" applyAlignment="1">
      <alignment horizontal="left" vertical="top" wrapText="1"/>
    </xf>
    <xf numFmtId="177" fontId="17" fillId="57" borderId="42" xfId="342" applyFont="1" applyFill="1" applyBorder="1" applyAlignment="1">
      <alignment horizontal="center"/>
    </xf>
    <xf numFmtId="177" fontId="17" fillId="57" borderId="0" xfId="342" applyFont="1" applyFill="1" applyBorder="1" applyAlignment="1">
      <alignment horizontal="center"/>
    </xf>
    <xf numFmtId="177" fontId="17" fillId="57" borderId="43" xfId="342" applyFont="1" applyFill="1" applyBorder="1" applyAlignment="1">
      <alignment horizontal="center"/>
    </xf>
    <xf numFmtId="177" fontId="17" fillId="57" borderId="25" xfId="342" applyFont="1" applyFill="1" applyBorder="1" applyAlignment="1">
      <alignment horizontal="center"/>
    </xf>
    <xf numFmtId="177" fontId="17" fillId="57" borderId="2" xfId="342" applyFont="1" applyFill="1" applyBorder="1" applyAlignment="1">
      <alignment horizontal="center"/>
    </xf>
    <xf numFmtId="177" fontId="17" fillId="57" borderId="44" xfId="342" applyFont="1" applyFill="1" applyBorder="1" applyAlignment="1">
      <alignment horizontal="center"/>
    </xf>
    <xf numFmtId="177" fontId="17" fillId="0" borderId="0" xfId="342" applyFont="1" applyFill="1" applyAlignment="1">
      <alignment horizontal="left" vertical="top" wrapText="1"/>
    </xf>
    <xf numFmtId="177" fontId="17" fillId="0" borderId="40" xfId="342" applyFont="1" applyBorder="1" applyAlignment="1">
      <alignment horizontal="center"/>
    </xf>
    <xf numFmtId="177" fontId="17" fillId="0" borderId="30" xfId="342" applyFont="1" applyBorder="1" applyAlignment="1">
      <alignment horizontal="center"/>
    </xf>
    <xf numFmtId="177" fontId="17" fillId="0" borderId="41" xfId="342" applyFont="1" applyBorder="1" applyAlignment="1">
      <alignment horizontal="center"/>
    </xf>
    <xf numFmtId="177" fontId="17" fillId="0" borderId="42" xfId="342" applyFont="1" applyBorder="1" applyAlignment="1">
      <alignment horizontal="center"/>
    </xf>
    <xf numFmtId="177" fontId="17" fillId="0" borderId="0" xfId="342" applyFont="1" applyBorder="1" applyAlignment="1">
      <alignment horizontal="center"/>
    </xf>
    <xf numFmtId="177" fontId="17" fillId="0" borderId="43" xfId="342" applyFont="1" applyBorder="1" applyAlignment="1">
      <alignment horizontal="center"/>
    </xf>
    <xf numFmtId="43" fontId="17" fillId="57" borderId="42" xfId="53" applyFont="1" applyFill="1" applyBorder="1" applyAlignment="1">
      <alignment horizontal="center"/>
    </xf>
    <xf numFmtId="43" fontId="17" fillId="57" borderId="0" xfId="53" applyFont="1" applyFill="1" applyBorder="1" applyAlignment="1">
      <alignment horizontal="center"/>
    </xf>
    <xf numFmtId="43" fontId="17" fillId="57" borderId="43" xfId="53" applyFont="1" applyFill="1" applyBorder="1" applyAlignment="1">
      <alignment horizontal="center"/>
    </xf>
    <xf numFmtId="164" fontId="17" fillId="0" borderId="0" xfId="0" applyFont="1" applyFill="1" applyAlignment="1">
      <alignment horizontal="left" vertical="top" wrapText="1"/>
    </xf>
    <xf numFmtId="164" fontId="25" fillId="55" borderId="0" xfId="0" applyFont="1" applyFill="1" applyAlignment="1">
      <alignment horizontal="center"/>
    </xf>
    <xf numFmtId="164" fontId="145" fillId="55" borderId="0" xfId="174" applyFont="1" applyFill="1" applyAlignment="1">
      <alignment wrapText="1"/>
      <protection/>
    </xf>
    <xf numFmtId="164" fontId="177" fillId="0" borderId="0" xfId="0" applyFont="1" applyAlignment="1">
      <alignment wrapText="1"/>
    </xf>
    <xf numFmtId="164" fontId="4" fillId="55" borderId="0" xfId="174" applyNumberFormat="1" applyFont="1" applyFill="1" applyAlignment="1" applyProtection="1">
      <alignment horizontal="center"/>
      <protection/>
    </xf>
    <xf numFmtId="164" fontId="4" fillId="57" borderId="0" xfId="174" applyNumberFormat="1" applyFont="1" applyFill="1" applyAlignment="1" applyProtection="1">
      <alignment horizontal="center"/>
      <protection/>
    </xf>
    <xf numFmtId="164" fontId="4" fillId="55" borderId="0" xfId="174" applyNumberFormat="1" applyFont="1" applyFill="1" applyBorder="1" applyAlignment="1" applyProtection="1">
      <alignment horizontal="center"/>
      <protection/>
    </xf>
    <xf numFmtId="164" fontId="4" fillId="57" borderId="0" xfId="0" applyNumberFormat="1" applyFont="1" applyFill="1" applyBorder="1" applyAlignment="1" applyProtection="1">
      <alignment horizontal="center"/>
      <protection/>
    </xf>
    <xf numFmtId="164" fontId="4" fillId="0" borderId="0" xfId="0" applyNumberFormat="1" applyFont="1" applyAlignment="1" applyProtection="1">
      <alignment horizontal="center"/>
      <protection/>
    </xf>
    <xf numFmtId="164" fontId="4" fillId="0" borderId="0" xfId="0" applyNumberFormat="1" applyFont="1" applyBorder="1" applyAlignment="1" applyProtection="1">
      <alignment horizontal="center"/>
      <protection/>
    </xf>
    <xf numFmtId="164" fontId="45" fillId="55" borderId="0" xfId="0" applyNumberFormat="1" applyFont="1" applyFill="1" applyBorder="1" applyAlignment="1" applyProtection="1">
      <alignment horizontal="center"/>
      <protection/>
    </xf>
    <xf numFmtId="43" fontId="13" fillId="57" borderId="20" xfId="50" applyFont="1" applyFill="1" applyBorder="1" applyAlignment="1" quotePrefix="1">
      <alignment horizontal="center"/>
    </xf>
    <xf numFmtId="43" fontId="13" fillId="57" borderId="37" xfId="50" applyFont="1" applyFill="1" applyBorder="1" applyAlignment="1" quotePrefix="1">
      <alignment horizontal="center"/>
    </xf>
    <xf numFmtId="43" fontId="13" fillId="57" borderId="29" xfId="50" applyFont="1" applyFill="1" applyBorder="1" applyAlignment="1" quotePrefix="1">
      <alignment horizontal="center"/>
    </xf>
    <xf numFmtId="164" fontId="4" fillId="0" borderId="0" xfId="0" applyNumberFormat="1" applyFont="1" applyFill="1" applyAlignment="1" applyProtection="1">
      <alignment horizontal="center"/>
      <protection/>
    </xf>
    <xf numFmtId="164" fontId="4" fillId="0" borderId="0" xfId="0" applyNumberFormat="1" applyFont="1" applyFill="1" applyBorder="1" applyAlignment="1" applyProtection="1">
      <alignment horizontal="center"/>
      <protection/>
    </xf>
    <xf numFmtId="49" fontId="28" fillId="57" borderId="20" xfId="402" applyNumberFormat="1" applyFont="1" applyFill="1" applyBorder="1" applyAlignment="1">
      <alignment horizontal="center"/>
      <protection/>
    </xf>
    <xf numFmtId="49" fontId="28" fillId="57" borderId="37" xfId="402" applyNumberFormat="1" applyFont="1" applyFill="1" applyBorder="1" applyAlignment="1">
      <alignment horizontal="center"/>
      <protection/>
    </xf>
    <xf numFmtId="49" fontId="28" fillId="57" borderId="29" xfId="402" applyNumberFormat="1" applyFont="1" applyFill="1" applyBorder="1" applyAlignment="1">
      <alignment horizontal="center"/>
      <protection/>
    </xf>
    <xf numFmtId="164" fontId="25" fillId="0" borderId="0" xfId="0" applyNumberFormat="1" applyFont="1" applyFill="1" applyAlignment="1" applyProtection="1">
      <alignment horizontal="center"/>
      <protection/>
    </xf>
    <xf numFmtId="164" fontId="25" fillId="57" borderId="0" xfId="0" applyNumberFormat="1" applyFont="1" applyFill="1" applyAlignment="1" applyProtection="1">
      <alignment horizontal="center"/>
      <protection/>
    </xf>
    <xf numFmtId="164" fontId="25" fillId="0" borderId="0" xfId="0" applyNumberFormat="1" applyFont="1" applyFill="1" applyBorder="1" applyAlignment="1" applyProtection="1">
      <alignment horizontal="center"/>
      <protection/>
    </xf>
    <xf numFmtId="0" fontId="13" fillId="57" borderId="20" xfId="176" applyFont="1" applyFill="1" applyBorder="1" applyAlignment="1">
      <alignment horizontal="center"/>
      <protection/>
    </xf>
    <xf numFmtId="0" fontId="13" fillId="57" borderId="37" xfId="176" applyFont="1" applyFill="1" applyBorder="1" applyAlignment="1">
      <alignment horizontal="center"/>
      <protection/>
    </xf>
    <xf numFmtId="0" fontId="13" fillId="57" borderId="2" xfId="249" applyFont="1" applyFill="1" applyBorder="1" applyAlignment="1">
      <alignment horizontal="center"/>
      <protection/>
    </xf>
    <xf numFmtId="0" fontId="13" fillId="57" borderId="29" xfId="176" applyFont="1" applyFill="1" applyBorder="1" applyAlignment="1">
      <alignment horizontal="center"/>
      <protection/>
    </xf>
    <xf numFmtId="164" fontId="25" fillId="55" borderId="0" xfId="0" applyNumberFormat="1" applyFont="1" applyFill="1" applyAlignment="1" applyProtection="1">
      <alignment horizontal="center"/>
      <protection/>
    </xf>
    <xf numFmtId="164" fontId="25" fillId="55" borderId="0" xfId="0" applyNumberFormat="1" applyFont="1" applyFill="1" applyBorder="1" applyAlignment="1" applyProtection="1">
      <alignment horizontal="center"/>
      <protection/>
    </xf>
    <xf numFmtId="0" fontId="17" fillId="55" borderId="30" xfId="403" applyFont="1" applyFill="1" applyBorder="1" applyAlignment="1">
      <alignment horizontal="center"/>
      <protection/>
    </xf>
    <xf numFmtId="164" fontId="13" fillId="55" borderId="2" xfId="0" applyFont="1" applyFill="1" applyBorder="1" applyAlignment="1">
      <alignment horizontal="center"/>
    </xf>
    <xf numFmtId="164" fontId="74" fillId="55" borderId="0" xfId="0" applyNumberFormat="1" applyFont="1" applyFill="1" applyAlignment="1" applyProtection="1">
      <alignment horizontal="center" wrapText="1"/>
      <protection/>
    </xf>
    <xf numFmtId="0" fontId="13" fillId="55" borderId="0" xfId="403" applyFont="1" applyFill="1" applyAlignment="1">
      <alignment horizontal="center"/>
      <protection/>
    </xf>
    <xf numFmtId="1" fontId="14" fillId="57" borderId="20" xfId="0" applyNumberFormat="1" applyFont="1" applyFill="1" applyBorder="1" applyAlignment="1">
      <alignment horizontal="center"/>
    </xf>
    <xf numFmtId="1" fontId="14" fillId="57" borderId="37" xfId="0" applyNumberFormat="1" applyFont="1" applyFill="1" applyBorder="1" applyAlignment="1">
      <alignment horizontal="center"/>
    </xf>
    <xf numFmtId="1" fontId="14" fillId="57" borderId="29" xfId="0" applyNumberFormat="1" applyFont="1" applyFill="1" applyBorder="1" applyAlignment="1">
      <alignment horizontal="center"/>
    </xf>
    <xf numFmtId="169" fontId="14" fillId="55" borderId="0" xfId="0" applyNumberFormat="1" applyFont="1" applyFill="1" applyBorder="1" applyAlignment="1">
      <alignment horizontal="center"/>
    </xf>
    <xf numFmtId="169" fontId="44" fillId="55" borderId="0" xfId="0" applyNumberFormat="1" applyFont="1" applyFill="1" applyAlignment="1" applyProtection="1">
      <alignment horizontal="center"/>
      <protection/>
    </xf>
    <xf numFmtId="169" fontId="44" fillId="57" borderId="0" xfId="0" applyNumberFormat="1" applyFont="1" applyFill="1" applyAlignment="1" applyProtection="1">
      <alignment horizontal="center"/>
      <protection/>
    </xf>
    <xf numFmtId="169" fontId="44" fillId="55" borderId="0" xfId="0" applyNumberFormat="1" applyFont="1" applyFill="1" applyBorder="1" applyAlignment="1" applyProtection="1">
      <alignment horizontal="center"/>
      <protection/>
    </xf>
  </cellXfs>
  <cellStyles count="5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0]" xfId="45"/>
    <cellStyle name="Comma 10" xfId="46"/>
    <cellStyle name="Comma 11" xfId="47"/>
    <cellStyle name="Comma 12" xfId="48"/>
    <cellStyle name="Comma 13" xfId="49"/>
    <cellStyle name="Comma 14" xfId="50"/>
    <cellStyle name="Comma 15" xfId="51"/>
    <cellStyle name="Comma 2" xfId="52"/>
    <cellStyle name="Comma 2 2" xfId="53"/>
    <cellStyle name="Comma 2 2 2" xfId="54"/>
    <cellStyle name="Comma 2 2 3" xfId="55"/>
    <cellStyle name="Comma 2 2 4" xfId="56"/>
    <cellStyle name="Comma 2 2 4 2" xfId="57"/>
    <cellStyle name="Comma 2 2 5" xfId="58"/>
    <cellStyle name="Comma 2 3" xfId="59"/>
    <cellStyle name="Comma 3" xfId="60"/>
    <cellStyle name="Comma 3 2" xfId="61"/>
    <cellStyle name="Comma 4" xfId="62"/>
    <cellStyle name="Comma 4 2" xfId="63"/>
    <cellStyle name="Comma 5" xfId="64"/>
    <cellStyle name="Comma 6" xfId="65"/>
    <cellStyle name="Comma 7" xfId="66"/>
    <cellStyle name="Comma 7 2" xfId="67"/>
    <cellStyle name="Comma 8" xfId="68"/>
    <cellStyle name="Comma 8 2" xfId="69"/>
    <cellStyle name="Comma 9" xfId="70"/>
    <cellStyle name="Currency" xfId="71"/>
    <cellStyle name="Currency [0]" xfId="72"/>
    <cellStyle name="Currency 2" xfId="73"/>
    <cellStyle name="Currency 2 2" xfId="74"/>
    <cellStyle name="Currency 3" xfId="75"/>
    <cellStyle name="Currency 3 2" xfId="76"/>
    <cellStyle name="Currency 3 3" xfId="77"/>
    <cellStyle name="Currency 4" xfId="78"/>
    <cellStyle name="Currency 4 2" xfId="79"/>
    <cellStyle name="Currency 5" xfId="80"/>
    <cellStyle name="Explanatory Text" xfId="81"/>
    <cellStyle name="Good" xfId="82"/>
    <cellStyle name="Heading 1" xfId="83"/>
    <cellStyle name="Heading 2" xfId="84"/>
    <cellStyle name="Heading 3" xfId="85"/>
    <cellStyle name="Heading 4" xfId="86"/>
    <cellStyle name="Hyperlink" xfId="87"/>
    <cellStyle name="Input" xfId="88"/>
    <cellStyle name="Linked Cell" xfId="89"/>
    <cellStyle name="Neutral" xfId="90"/>
    <cellStyle name="No Border" xfId="91"/>
    <cellStyle name="Normal 10" xfId="92"/>
    <cellStyle name="Normal 10 2" xfId="93"/>
    <cellStyle name="Normal 10 2 2" xfId="94"/>
    <cellStyle name="Normal 10 2 2 2" xfId="95"/>
    <cellStyle name="Normal 10 2 2 3" xfId="96"/>
    <cellStyle name="Normal 10 2 3" xfId="97"/>
    <cellStyle name="Normal 10 3" xfId="98"/>
    <cellStyle name="Normal 10 4" xfId="99"/>
    <cellStyle name="Normal 10 5" xfId="100"/>
    <cellStyle name="Normal 100" xfId="101"/>
    <cellStyle name="Normal 100 2" xfId="102"/>
    <cellStyle name="Normal 100 3" xfId="103"/>
    <cellStyle name="Normal 101" xfId="104"/>
    <cellStyle name="Normal 101 2" xfId="105"/>
    <cellStyle name="Normal 101 3" xfId="106"/>
    <cellStyle name="Normal 103" xfId="107"/>
    <cellStyle name="Normal 103 2" xfId="108"/>
    <cellStyle name="Normal 103 3" xfId="109"/>
    <cellStyle name="Normal 105" xfId="110"/>
    <cellStyle name="Normal 107" xfId="111"/>
    <cellStyle name="Normal 107 2" xfId="112"/>
    <cellStyle name="Normal 107 3" xfId="113"/>
    <cellStyle name="Normal 108" xfId="114"/>
    <cellStyle name="Normal 108 2" xfId="115"/>
    <cellStyle name="Normal 108 3" xfId="116"/>
    <cellStyle name="Normal 11" xfId="117"/>
    <cellStyle name="Normal 11 2" xfId="118"/>
    <cellStyle name="Normal 11 3" xfId="119"/>
    <cellStyle name="Normal 11 4" xfId="120"/>
    <cellStyle name="Normal 110" xfId="121"/>
    <cellStyle name="Normal 110 2" xfId="122"/>
    <cellStyle name="Normal 110 3" xfId="123"/>
    <cellStyle name="Normal 112" xfId="124"/>
    <cellStyle name="Normal 112 2" xfId="125"/>
    <cellStyle name="Normal 112 3" xfId="126"/>
    <cellStyle name="Normal 114" xfId="127"/>
    <cellStyle name="Normal 114 2" xfId="128"/>
    <cellStyle name="Normal 114 3" xfId="129"/>
    <cellStyle name="Normal 117" xfId="130"/>
    <cellStyle name="Normal 117 2" xfId="131"/>
    <cellStyle name="Normal 117 3" xfId="132"/>
    <cellStyle name="Normal 118" xfId="133"/>
    <cellStyle name="Normal 118 2" xfId="134"/>
    <cellStyle name="Normal 118 3" xfId="135"/>
    <cellStyle name="Normal 119" xfId="136"/>
    <cellStyle name="Normal 119 2" xfId="137"/>
    <cellStyle name="Normal 119 3" xfId="138"/>
    <cellStyle name="Normal 12" xfId="139"/>
    <cellStyle name="Normal 12 2" xfId="140"/>
    <cellStyle name="Normal 12 3" xfId="141"/>
    <cellStyle name="Normal 12 4" xfId="142"/>
    <cellStyle name="Normal 120" xfId="143"/>
    <cellStyle name="Normal 120 2" xfId="144"/>
    <cellStyle name="Normal 120 3" xfId="145"/>
    <cellStyle name="Normal 121" xfId="146"/>
    <cellStyle name="Normal 121 2" xfId="147"/>
    <cellStyle name="Normal 121 3" xfId="148"/>
    <cellStyle name="Normal 122" xfId="149"/>
    <cellStyle name="Normal 122 2" xfId="150"/>
    <cellStyle name="Normal 122 3" xfId="151"/>
    <cellStyle name="Normal 123" xfId="152"/>
    <cellStyle name="Normal 123 2" xfId="153"/>
    <cellStyle name="Normal 123 3" xfId="154"/>
    <cellStyle name="Normal 124" xfId="155"/>
    <cellStyle name="Normal 124 2" xfId="156"/>
    <cellStyle name="Normal 124 3" xfId="157"/>
    <cellStyle name="Normal 13" xfId="158"/>
    <cellStyle name="Normal 13 2" xfId="159"/>
    <cellStyle name="Normal 13 3" xfId="160"/>
    <cellStyle name="Normal 13 4" xfId="161"/>
    <cellStyle name="Normal 14" xfId="162"/>
    <cellStyle name="Normal 14 2" xfId="163"/>
    <cellStyle name="Normal 15" xfId="164"/>
    <cellStyle name="Normal 15 2" xfId="165"/>
    <cellStyle name="Normal 16" xfId="166"/>
    <cellStyle name="Normal 16 2" xfId="167"/>
    <cellStyle name="Normal 17" xfId="168"/>
    <cellStyle name="Normal 17 2" xfId="169"/>
    <cellStyle name="Normal 17 3" xfId="170"/>
    <cellStyle name="Normal 18" xfId="171"/>
    <cellStyle name="Normal 18 2" xfId="172"/>
    <cellStyle name="Normal 18 3" xfId="173"/>
    <cellStyle name="Normal 19" xfId="174"/>
    <cellStyle name="Normal 2" xfId="175"/>
    <cellStyle name="Normal 2 2" xfId="176"/>
    <cellStyle name="Normal 2 2 2" xfId="177"/>
    <cellStyle name="Normal 2 2 3" xfId="178"/>
    <cellStyle name="Normal 2 2 4" xfId="179"/>
    <cellStyle name="Normal 2 3" xfId="180"/>
    <cellStyle name="Normal 2 4" xfId="181"/>
    <cellStyle name="Normal 2 4 2" xfId="182"/>
    <cellStyle name="Normal 2 5" xfId="183"/>
    <cellStyle name="Normal 2 6" xfId="184"/>
    <cellStyle name="Normal 2 7" xfId="185"/>
    <cellStyle name="Normal 20" xfId="186"/>
    <cellStyle name="Normal 20 2" xfId="187"/>
    <cellStyle name="Normal 21" xfId="188"/>
    <cellStyle name="Normal 21 2" xfId="189"/>
    <cellStyle name="Normal 21 3" xfId="190"/>
    <cellStyle name="Normal 22" xfId="191"/>
    <cellStyle name="Normal 23" xfId="192"/>
    <cellStyle name="Normal 23 2" xfId="193"/>
    <cellStyle name="Normal 23 3" xfId="194"/>
    <cellStyle name="Normal 24" xfId="195"/>
    <cellStyle name="Normal 24 2" xfId="196"/>
    <cellStyle name="Normal 24 3" xfId="197"/>
    <cellStyle name="Normal 25" xfId="198"/>
    <cellStyle name="Normal 25 2" xfId="199"/>
    <cellStyle name="Normal 25 3" xfId="200"/>
    <cellStyle name="Normal 26" xfId="201"/>
    <cellStyle name="Normal 26 2" xfId="202"/>
    <cellStyle name="Normal 26 3" xfId="203"/>
    <cellStyle name="Normal 27" xfId="204"/>
    <cellStyle name="Normal 28" xfId="205"/>
    <cellStyle name="Normal 28 2" xfId="206"/>
    <cellStyle name="Normal 28 3" xfId="207"/>
    <cellStyle name="Normal 29" xfId="208"/>
    <cellStyle name="Normal 29 2" xfId="209"/>
    <cellStyle name="Normal 29 3" xfId="210"/>
    <cellStyle name="Normal 3" xfId="211"/>
    <cellStyle name="Normal 3 2" xfId="212"/>
    <cellStyle name="Normal 3 2 2" xfId="213"/>
    <cellStyle name="Normal 3 2 3" xfId="214"/>
    <cellStyle name="Normal 3 3" xfId="215"/>
    <cellStyle name="Normal 3 4" xfId="216"/>
    <cellStyle name="Normal 3 5" xfId="217"/>
    <cellStyle name="Normal 3_Attach O, GG, Support -New Method 2-14-11" xfId="218"/>
    <cellStyle name="Normal 30" xfId="219"/>
    <cellStyle name="Normal 30 2" xfId="220"/>
    <cellStyle name="Normal 30 3" xfId="221"/>
    <cellStyle name="Normal 31" xfId="222"/>
    <cellStyle name="Normal 31 2" xfId="223"/>
    <cellStyle name="Normal 31 3" xfId="224"/>
    <cellStyle name="Normal 32" xfId="225"/>
    <cellStyle name="Normal 32 2" xfId="226"/>
    <cellStyle name="Normal 32 3" xfId="227"/>
    <cellStyle name="Normal 33" xfId="228"/>
    <cellStyle name="Normal 33 2" xfId="229"/>
    <cellStyle name="Normal 33 3" xfId="230"/>
    <cellStyle name="Normal 34" xfId="231"/>
    <cellStyle name="Normal 34 2" xfId="232"/>
    <cellStyle name="Normal 34 3" xfId="233"/>
    <cellStyle name="Normal 35" xfId="234"/>
    <cellStyle name="Normal 35 2" xfId="235"/>
    <cellStyle name="Normal 35 3" xfId="236"/>
    <cellStyle name="Normal 36" xfId="237"/>
    <cellStyle name="Normal 36 2" xfId="238"/>
    <cellStyle name="Normal 36 3" xfId="239"/>
    <cellStyle name="Normal 37" xfId="240"/>
    <cellStyle name="Normal 37 2" xfId="241"/>
    <cellStyle name="Normal 37 3" xfId="242"/>
    <cellStyle name="Normal 38" xfId="243"/>
    <cellStyle name="Normal 38 2" xfId="244"/>
    <cellStyle name="Normal 38 3" xfId="245"/>
    <cellStyle name="Normal 39" xfId="246"/>
    <cellStyle name="Normal 39 2" xfId="247"/>
    <cellStyle name="Normal 39 3" xfId="248"/>
    <cellStyle name="Normal 4" xfId="249"/>
    <cellStyle name="Normal 4 2" xfId="250"/>
    <cellStyle name="Normal 40" xfId="251"/>
    <cellStyle name="Normal 40 2" xfId="252"/>
    <cellStyle name="Normal 40 3" xfId="253"/>
    <cellStyle name="Normal 41" xfId="254"/>
    <cellStyle name="Normal 41 2" xfId="255"/>
    <cellStyle name="Normal 41 3" xfId="256"/>
    <cellStyle name="Normal 42" xfId="257"/>
    <cellStyle name="Normal 42 2" xfId="258"/>
    <cellStyle name="Normal 42 3" xfId="259"/>
    <cellStyle name="Normal 43" xfId="260"/>
    <cellStyle name="Normal 43 2" xfId="261"/>
    <cellStyle name="Normal 43 3" xfId="262"/>
    <cellStyle name="Normal 44" xfId="263"/>
    <cellStyle name="Normal 44 2" xfId="264"/>
    <cellStyle name="Normal 44 3" xfId="265"/>
    <cellStyle name="Normal 45" xfId="266"/>
    <cellStyle name="Normal 46" xfId="267"/>
    <cellStyle name="Normal 46 2" xfId="268"/>
    <cellStyle name="Normal 46 3" xfId="269"/>
    <cellStyle name="Normal 47" xfId="270"/>
    <cellStyle name="Normal 47 2" xfId="271"/>
    <cellStyle name="Normal 47 3" xfId="272"/>
    <cellStyle name="Normal 48" xfId="273"/>
    <cellStyle name="Normal 48 2" xfId="274"/>
    <cellStyle name="Normal 48 3" xfId="275"/>
    <cellStyle name="Normal 49" xfId="276"/>
    <cellStyle name="Normal 49 2" xfId="277"/>
    <cellStyle name="Normal 49 3" xfId="278"/>
    <cellStyle name="Normal 5" xfId="279"/>
    <cellStyle name="Normal 5 2" xfId="280"/>
    <cellStyle name="Normal 5 3" xfId="281"/>
    <cellStyle name="Normal 5 3 2" xfId="282"/>
    <cellStyle name="Normal 5 4" xfId="283"/>
    <cellStyle name="Normal 5 5" xfId="284"/>
    <cellStyle name="Normal 50" xfId="285"/>
    <cellStyle name="Normal 50 2" xfId="286"/>
    <cellStyle name="Normal 50 3" xfId="287"/>
    <cellStyle name="Normal 51" xfId="288"/>
    <cellStyle name="Normal 51 2" xfId="289"/>
    <cellStyle name="Normal 51 3" xfId="290"/>
    <cellStyle name="Normal 52" xfId="291"/>
    <cellStyle name="Normal 52 2" xfId="292"/>
    <cellStyle name="Normal 52 3" xfId="293"/>
    <cellStyle name="Normal 53" xfId="294"/>
    <cellStyle name="Normal 54" xfId="295"/>
    <cellStyle name="Normal 54 2" xfId="296"/>
    <cellStyle name="Normal 54 3" xfId="297"/>
    <cellStyle name="Normal 55" xfId="298"/>
    <cellStyle name="Normal 56" xfId="299"/>
    <cellStyle name="Normal 56 2" xfId="300"/>
    <cellStyle name="Normal 56 3" xfId="301"/>
    <cellStyle name="Normal 57" xfId="302"/>
    <cellStyle name="Normal 57 2" xfId="303"/>
    <cellStyle name="Normal 57 3" xfId="304"/>
    <cellStyle name="Normal 58" xfId="305"/>
    <cellStyle name="Normal 58 2" xfId="306"/>
    <cellStyle name="Normal 58 3" xfId="307"/>
    <cellStyle name="Normal 59" xfId="308"/>
    <cellStyle name="Normal 6" xfId="309"/>
    <cellStyle name="Normal 6 2" xfId="310"/>
    <cellStyle name="Normal 6 3" xfId="311"/>
    <cellStyle name="Normal 6 4" xfId="312"/>
    <cellStyle name="Normal 60" xfId="313"/>
    <cellStyle name="Normal 60 2" xfId="314"/>
    <cellStyle name="Normal 60 3" xfId="315"/>
    <cellStyle name="Normal 61" xfId="316"/>
    <cellStyle name="Normal 61 2" xfId="317"/>
    <cellStyle name="Normal 61 3" xfId="318"/>
    <cellStyle name="Normal 62" xfId="319"/>
    <cellStyle name="Normal 62 2" xfId="320"/>
    <cellStyle name="Normal 62 3" xfId="321"/>
    <cellStyle name="Normal 63" xfId="322"/>
    <cellStyle name="Normal 63 2" xfId="323"/>
    <cellStyle name="Normal 64" xfId="324"/>
    <cellStyle name="Normal 64 2" xfId="325"/>
    <cellStyle name="Normal 64 3" xfId="326"/>
    <cellStyle name="Normal 65" xfId="327"/>
    <cellStyle name="Normal 65 2" xfId="328"/>
    <cellStyle name="Normal 65 3" xfId="329"/>
    <cellStyle name="Normal 66" xfId="330"/>
    <cellStyle name="Normal 66 2" xfId="331"/>
    <cellStyle name="Normal 67" xfId="332"/>
    <cellStyle name="Normal 67 2" xfId="333"/>
    <cellStyle name="Normal 68" xfId="334"/>
    <cellStyle name="Normal 68 2" xfId="335"/>
    <cellStyle name="Normal 68 3" xfId="336"/>
    <cellStyle name="Normal 69" xfId="337"/>
    <cellStyle name="Normal 69 2" xfId="338"/>
    <cellStyle name="Normal 69 3" xfId="339"/>
    <cellStyle name="Normal 7" xfId="340"/>
    <cellStyle name="Normal 7 2" xfId="341"/>
    <cellStyle name="Normal 7 3" xfId="342"/>
    <cellStyle name="Normal 7 4" xfId="343"/>
    <cellStyle name="Normal 70" xfId="344"/>
    <cellStyle name="Normal 70 2" xfId="345"/>
    <cellStyle name="Normal 71" xfId="346"/>
    <cellStyle name="Normal 71 2" xfId="347"/>
    <cellStyle name="Normal 71 3" xfId="348"/>
    <cellStyle name="Normal 72" xfId="349"/>
    <cellStyle name="Normal 72 2" xfId="350"/>
    <cellStyle name="Normal 72 3" xfId="351"/>
    <cellStyle name="Normal 73" xfId="352"/>
    <cellStyle name="Normal 74" xfId="353"/>
    <cellStyle name="Normal 75" xfId="354"/>
    <cellStyle name="Normal 76" xfId="355"/>
    <cellStyle name="Normal 76 2" xfId="356"/>
    <cellStyle name="Normal 76 3" xfId="357"/>
    <cellStyle name="Normal 77" xfId="358"/>
    <cellStyle name="Normal 8" xfId="359"/>
    <cellStyle name="Normal 8 2" xfId="360"/>
    <cellStyle name="Normal 8 3" xfId="361"/>
    <cellStyle name="Normal 8 4" xfId="362"/>
    <cellStyle name="Normal 80" xfId="363"/>
    <cellStyle name="Normal 80 2" xfId="364"/>
    <cellStyle name="Normal 80 3" xfId="365"/>
    <cellStyle name="Normal 81" xfId="366"/>
    <cellStyle name="Normal 81 2" xfId="367"/>
    <cellStyle name="Normal 81 3" xfId="368"/>
    <cellStyle name="Normal 82" xfId="369"/>
    <cellStyle name="Normal 82 2" xfId="370"/>
    <cellStyle name="Normal 82 3" xfId="371"/>
    <cellStyle name="Normal 84" xfId="372"/>
    <cellStyle name="Normal 84 2" xfId="373"/>
    <cellStyle name="Normal 84 3" xfId="374"/>
    <cellStyle name="Normal 85" xfId="375"/>
    <cellStyle name="Normal 85 2" xfId="376"/>
    <cellStyle name="Normal 85 3" xfId="377"/>
    <cellStyle name="Normal 86" xfId="378"/>
    <cellStyle name="Normal 86 2" xfId="379"/>
    <cellStyle name="Normal 86 3" xfId="380"/>
    <cellStyle name="Normal 9" xfId="381"/>
    <cellStyle name="Normal 90" xfId="382"/>
    <cellStyle name="Normal 90 2" xfId="383"/>
    <cellStyle name="Normal 90 3" xfId="384"/>
    <cellStyle name="Normal 92" xfId="385"/>
    <cellStyle name="Normal 92 2" xfId="386"/>
    <cellStyle name="Normal 92 3" xfId="387"/>
    <cellStyle name="Normal 94" xfId="388"/>
    <cellStyle name="Normal 94 2" xfId="389"/>
    <cellStyle name="Normal 94 3" xfId="390"/>
    <cellStyle name="Normal 97" xfId="391"/>
    <cellStyle name="Normal 97 2" xfId="392"/>
    <cellStyle name="Normal 97 3" xfId="393"/>
    <cellStyle name="Normal 98" xfId="394"/>
    <cellStyle name="Normal 98 2" xfId="395"/>
    <cellStyle name="Normal 98 3" xfId="396"/>
    <cellStyle name="Normal_21 Exh B" xfId="397"/>
    <cellStyle name="Normal_Attachment GG Example 8 26 09" xfId="398"/>
    <cellStyle name="Normal_Attachment GG Template ER11-28 11-18-10" xfId="399"/>
    <cellStyle name="Normal_Attachment O Support - 2004 True-up" xfId="400"/>
    <cellStyle name="Normal_Attachment Os for 2002 True-up" xfId="401"/>
    <cellStyle name="Normal_statem~1" xfId="402"/>
    <cellStyle name="Normal_statem~4" xfId="403"/>
    <cellStyle name="Note" xfId="404"/>
    <cellStyle name="Number" xfId="405"/>
    <cellStyle name="Output" xfId="406"/>
    <cellStyle name="Percent" xfId="407"/>
    <cellStyle name="Percent 2" xfId="408"/>
    <cellStyle name="Percent 2 2" xfId="409"/>
    <cellStyle name="Percent 2 3" xfId="410"/>
    <cellStyle name="Percent 3" xfId="411"/>
    <cellStyle name="Percent 4" xfId="412"/>
    <cellStyle name="Percent 5" xfId="413"/>
    <cellStyle name="Percent 5 2" xfId="414"/>
    <cellStyle name="Percent 6" xfId="415"/>
    <cellStyle name="Percent 6 2" xfId="416"/>
    <cellStyle name="Percent 7" xfId="417"/>
    <cellStyle name="SAPBEXaggData" xfId="418"/>
    <cellStyle name="SAPBEXaggData 2" xfId="419"/>
    <cellStyle name="SAPBEXaggData 3" xfId="420"/>
    <cellStyle name="SAPBEXaggData 4" xfId="421"/>
    <cellStyle name="SAPBEXaggDataEmph" xfId="422"/>
    <cellStyle name="SAPBEXaggDataEmph 2" xfId="423"/>
    <cellStyle name="SAPBEXaggDataEmph 3" xfId="424"/>
    <cellStyle name="SAPBEXaggItem" xfId="425"/>
    <cellStyle name="SAPBEXaggItem 2" xfId="426"/>
    <cellStyle name="SAPBEXaggItem 3" xfId="427"/>
    <cellStyle name="SAPBEXaggItem 4" xfId="428"/>
    <cellStyle name="SAPBEXaggItemX" xfId="429"/>
    <cellStyle name="SAPBEXaggItemX 2" xfId="430"/>
    <cellStyle name="SAPBEXaggItemX 3" xfId="431"/>
    <cellStyle name="SAPBEXaggItemX 4" xfId="432"/>
    <cellStyle name="SAPBEXchaText" xfId="433"/>
    <cellStyle name="SAPBEXchaText 2" xfId="434"/>
    <cellStyle name="SAPBEXchaText 2 2" xfId="435"/>
    <cellStyle name="SAPBEXchaText 3" xfId="436"/>
    <cellStyle name="SAPBEXchaText 4" xfId="437"/>
    <cellStyle name="SAPBEXchaText_10-28-10" xfId="438"/>
    <cellStyle name="SAPBEXexcBad7" xfId="439"/>
    <cellStyle name="SAPBEXexcBad7 2" xfId="440"/>
    <cellStyle name="SAPBEXexcBad7 3" xfId="441"/>
    <cellStyle name="SAPBEXexcBad8" xfId="442"/>
    <cellStyle name="SAPBEXexcBad8 2" xfId="443"/>
    <cellStyle name="SAPBEXexcBad8 3" xfId="444"/>
    <cellStyle name="SAPBEXexcBad9" xfId="445"/>
    <cellStyle name="SAPBEXexcBad9 2" xfId="446"/>
    <cellStyle name="SAPBEXexcBad9 3" xfId="447"/>
    <cellStyle name="SAPBEXexcCritical4" xfId="448"/>
    <cellStyle name="SAPBEXexcCritical4 2" xfId="449"/>
    <cellStyle name="SAPBEXexcCritical4 3" xfId="450"/>
    <cellStyle name="SAPBEXexcCritical5" xfId="451"/>
    <cellStyle name="SAPBEXexcCritical5 2" xfId="452"/>
    <cellStyle name="SAPBEXexcCritical5 3" xfId="453"/>
    <cellStyle name="SAPBEXexcCritical6" xfId="454"/>
    <cellStyle name="SAPBEXexcCritical6 2" xfId="455"/>
    <cellStyle name="SAPBEXexcCritical6 3" xfId="456"/>
    <cellStyle name="SAPBEXexcGood1" xfId="457"/>
    <cellStyle name="SAPBEXexcGood1 2" xfId="458"/>
    <cellStyle name="SAPBEXexcGood1 3" xfId="459"/>
    <cellStyle name="SAPBEXexcGood2" xfId="460"/>
    <cellStyle name="SAPBEXexcGood2 2" xfId="461"/>
    <cellStyle name="SAPBEXexcGood2 3" xfId="462"/>
    <cellStyle name="SAPBEXexcGood3" xfId="463"/>
    <cellStyle name="SAPBEXexcGood3 2" xfId="464"/>
    <cellStyle name="SAPBEXexcGood3 3" xfId="465"/>
    <cellStyle name="SAPBEXfilterDrill" xfId="466"/>
    <cellStyle name="SAPBEXfilterDrill 2" xfId="467"/>
    <cellStyle name="SAPBEXfilterDrill 3" xfId="468"/>
    <cellStyle name="SAPBEXfilterItem" xfId="469"/>
    <cellStyle name="SAPBEXfilterItem 2" xfId="470"/>
    <cellStyle name="SAPBEXfilterText" xfId="471"/>
    <cellStyle name="SAPBEXfilterText 2" xfId="472"/>
    <cellStyle name="SAPBEXformats" xfId="473"/>
    <cellStyle name="SAPBEXformats 2" xfId="474"/>
    <cellStyle name="SAPBEXformats 2 2" xfId="475"/>
    <cellStyle name="SAPBEXformats 3" xfId="476"/>
    <cellStyle name="SAPBEXformats 4" xfId="477"/>
    <cellStyle name="SAPBEXformats_10-28-10" xfId="478"/>
    <cellStyle name="SAPBEXheaderItem" xfId="479"/>
    <cellStyle name="SAPBEXheaderItem 2" xfId="480"/>
    <cellStyle name="SAPBEXheaderItem 2 2" xfId="481"/>
    <cellStyle name="SAPBEXheaderItem 3" xfId="482"/>
    <cellStyle name="SAPBEXheaderText" xfId="483"/>
    <cellStyle name="SAPBEXheaderText 2" xfId="484"/>
    <cellStyle name="SAPBEXheaderText 2 2" xfId="485"/>
    <cellStyle name="SAPBEXheaderText 3" xfId="486"/>
    <cellStyle name="SAPBEXHLevel0" xfId="487"/>
    <cellStyle name="SAPBEXHLevel0 2" xfId="488"/>
    <cellStyle name="SAPBEXHLevel0 2 2" xfId="489"/>
    <cellStyle name="SAPBEXHLevel0 3" xfId="490"/>
    <cellStyle name="SAPBEXHLevel0 4" xfId="491"/>
    <cellStyle name="SAPBEXHLevel0_10-28-10" xfId="492"/>
    <cellStyle name="SAPBEXHLevel0X" xfId="493"/>
    <cellStyle name="SAPBEXHLevel0X 2" xfId="494"/>
    <cellStyle name="SAPBEXHLevel0X 2 2" xfId="495"/>
    <cellStyle name="SAPBEXHLevel0X 3" xfId="496"/>
    <cellStyle name="SAPBEXHLevel0X 4" xfId="497"/>
    <cellStyle name="SAPBEXHLevel0X_10-28-10" xfId="498"/>
    <cellStyle name="SAPBEXHLevel1" xfId="499"/>
    <cellStyle name="SAPBEXHLevel1 2" xfId="500"/>
    <cellStyle name="SAPBEXHLevel1 2 2" xfId="501"/>
    <cellStyle name="SAPBEXHLevel1 3" xfId="502"/>
    <cellStyle name="SAPBEXHLevel1 4" xfId="503"/>
    <cellStyle name="SAPBEXHLevel1_10-28-10" xfId="504"/>
    <cellStyle name="SAPBEXHLevel1X" xfId="505"/>
    <cellStyle name="SAPBEXHLevel1X 2" xfId="506"/>
    <cellStyle name="SAPBEXHLevel1X 2 2" xfId="507"/>
    <cellStyle name="SAPBEXHLevel1X 3" xfId="508"/>
    <cellStyle name="SAPBEXHLevel1X 4" xfId="509"/>
    <cellStyle name="SAPBEXHLevel1X_10-28-10" xfId="510"/>
    <cellStyle name="SAPBEXHLevel2" xfId="511"/>
    <cellStyle name="SAPBEXHLevel2 2" xfId="512"/>
    <cellStyle name="SAPBEXHLevel2 2 2" xfId="513"/>
    <cellStyle name="SAPBEXHLevel2 3" xfId="514"/>
    <cellStyle name="SAPBEXHLevel2 4" xfId="515"/>
    <cellStyle name="SAPBEXHLevel2_10-28-10" xfId="516"/>
    <cellStyle name="SAPBEXHLevel2X" xfId="517"/>
    <cellStyle name="SAPBEXHLevel2X 2" xfId="518"/>
    <cellStyle name="SAPBEXHLevel2X 2 2" xfId="519"/>
    <cellStyle name="SAPBEXHLevel2X 3" xfId="520"/>
    <cellStyle name="SAPBEXHLevel2X 4" xfId="521"/>
    <cellStyle name="SAPBEXHLevel2X_10-28-10" xfId="522"/>
    <cellStyle name="SAPBEXHLevel3" xfId="523"/>
    <cellStyle name="SAPBEXHLevel3 2" xfId="524"/>
    <cellStyle name="SAPBEXHLevel3 2 2" xfId="525"/>
    <cellStyle name="SAPBEXHLevel3 3" xfId="526"/>
    <cellStyle name="SAPBEXHLevel3 4" xfId="527"/>
    <cellStyle name="SAPBEXHLevel3_10-28-10" xfId="528"/>
    <cellStyle name="SAPBEXHLevel3X" xfId="529"/>
    <cellStyle name="SAPBEXHLevel3X 2" xfId="530"/>
    <cellStyle name="SAPBEXHLevel3X 2 2" xfId="531"/>
    <cellStyle name="SAPBEXHLevel3X 3" xfId="532"/>
    <cellStyle name="SAPBEXHLevel3X 4" xfId="533"/>
    <cellStyle name="SAPBEXHLevel3X_10-28-10" xfId="534"/>
    <cellStyle name="SAPBEXresData" xfId="535"/>
    <cellStyle name="SAPBEXresData 2" xfId="536"/>
    <cellStyle name="SAPBEXresData 3" xfId="537"/>
    <cellStyle name="SAPBEXresDataEmph" xfId="538"/>
    <cellStyle name="SAPBEXresDataEmph 2" xfId="539"/>
    <cellStyle name="SAPBEXresDataEmph 3" xfId="540"/>
    <cellStyle name="SAPBEXresItem" xfId="541"/>
    <cellStyle name="SAPBEXresItem 2" xfId="542"/>
    <cellStyle name="SAPBEXresItem 3" xfId="543"/>
    <cellStyle name="SAPBEXresItemX" xfId="544"/>
    <cellStyle name="SAPBEXresItemX 2" xfId="545"/>
    <cellStyle name="SAPBEXresItemX 3" xfId="546"/>
    <cellStyle name="SAPBEXstdData" xfId="547"/>
    <cellStyle name="SAPBEXstdData 2" xfId="548"/>
    <cellStyle name="SAPBEXstdData 3" xfId="549"/>
    <cellStyle name="SAPBEXstdData 4" xfId="550"/>
    <cellStyle name="SAPBEXstdDataEmph" xfId="551"/>
    <cellStyle name="SAPBEXstdDataEmph 2" xfId="552"/>
    <cellStyle name="SAPBEXstdDataEmph 3" xfId="553"/>
    <cellStyle name="SAPBEXstdItem" xfId="554"/>
    <cellStyle name="SAPBEXstdItem 2" xfId="555"/>
    <cellStyle name="SAPBEXstdItem 2 2" xfId="556"/>
    <cellStyle name="SAPBEXstdItem 3" xfId="557"/>
    <cellStyle name="SAPBEXstdItem 4" xfId="558"/>
    <cellStyle name="SAPBEXstdItem 5" xfId="559"/>
    <cellStyle name="SAPBEXstdItem_10-28-10" xfId="560"/>
    <cellStyle name="SAPBEXstdItemX" xfId="561"/>
    <cellStyle name="SAPBEXstdItemX 2" xfId="562"/>
    <cellStyle name="SAPBEXstdItemX 2 2" xfId="563"/>
    <cellStyle name="SAPBEXstdItemX 3" xfId="564"/>
    <cellStyle name="SAPBEXstdItemX 4" xfId="565"/>
    <cellStyle name="SAPBEXstdItemX_10-28-10" xfId="566"/>
    <cellStyle name="SAPBEXtitle" xfId="567"/>
    <cellStyle name="SAPBEXtitle 2" xfId="568"/>
    <cellStyle name="SAPBEXundefined" xfId="569"/>
    <cellStyle name="SAPBEXundefined 2" xfId="570"/>
    <cellStyle name="SAPBEXundefined 3" xfId="571"/>
    <cellStyle name="Single Border" xfId="572"/>
    <cellStyle name="Title" xfId="573"/>
    <cellStyle name="Total" xfId="574"/>
    <cellStyle name="Warning Text" xfId="5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ex!A1" /></Relationships>
</file>

<file path=xl/drawings/_rels/drawing10.xml.rels><?xml version="1.0" encoding="utf-8" standalone="yes"?><Relationships xmlns="http://schemas.openxmlformats.org/package/2006/relationships"><Relationship Id="rId1" Type="http://schemas.openxmlformats.org/officeDocument/2006/relationships/hyperlink" Target="#Index!A1"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dex!A1"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s>
</file>

<file path=xl/drawings/_rels/drawing16.xml.rels><?xml version="1.0" encoding="utf-8" standalone="yes"?><Relationships xmlns="http://schemas.openxmlformats.org/package/2006/relationships"><Relationship Id="rId1" Type="http://schemas.openxmlformats.org/officeDocument/2006/relationships/hyperlink" Target="#Index!A1" /></Relationships>
</file>

<file path=xl/drawings/_rels/drawing17.xml.rels><?xml version="1.0" encoding="utf-8" standalone="yes"?><Relationships xmlns="http://schemas.openxmlformats.org/package/2006/relationships"><Relationship Id="rId1" Type="http://schemas.openxmlformats.org/officeDocument/2006/relationships/hyperlink" Target="#Index!A1" /></Relationships>
</file>

<file path=xl/drawings/_rels/drawing18.xml.rels><?xml version="1.0" encoding="utf-8" standalone="yes"?><Relationships xmlns="http://schemas.openxmlformats.org/package/2006/relationships"><Relationship Id="rId1" Type="http://schemas.openxmlformats.org/officeDocument/2006/relationships/hyperlink" Target="#Index!A1" /></Relationships>
</file>

<file path=xl/drawings/_rels/drawing19.xml.rels><?xml version="1.0" encoding="utf-8" standalone="yes"?><Relationships xmlns="http://schemas.openxmlformats.org/package/2006/relationships"><Relationship Id="rId1" Type="http://schemas.openxmlformats.org/officeDocument/2006/relationships/hyperlink" Target="#Index!A1"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s>
</file>

<file path=xl/drawings/_rels/drawing20.xml.rels><?xml version="1.0" encoding="utf-8" standalone="yes"?><Relationships xmlns="http://schemas.openxmlformats.org/package/2006/relationships"><Relationship Id="rId1" Type="http://schemas.openxmlformats.org/officeDocument/2006/relationships/hyperlink" Target="#Index!A1" /></Relationships>
</file>

<file path=xl/drawings/_rels/drawing21.xml.rels><?xml version="1.0" encoding="utf-8" standalone="yes"?><Relationships xmlns="http://schemas.openxmlformats.org/package/2006/relationships"><Relationship Id="rId1" Type="http://schemas.openxmlformats.org/officeDocument/2006/relationships/hyperlink" Target="#Index!A1" /></Relationships>
</file>

<file path=xl/drawings/_rels/drawing22.xml.rels><?xml version="1.0" encoding="utf-8" standalone="yes"?><Relationships xmlns="http://schemas.openxmlformats.org/package/2006/relationships"><Relationship Id="rId1" Type="http://schemas.openxmlformats.org/officeDocument/2006/relationships/hyperlink" Target="#Index!A1" /></Relationships>
</file>

<file path=xl/drawings/_rels/drawing23.xml.rels><?xml version="1.0" encoding="utf-8" standalone="yes"?><Relationships xmlns="http://schemas.openxmlformats.org/package/2006/relationships"><Relationship Id="rId1" Type="http://schemas.openxmlformats.org/officeDocument/2006/relationships/hyperlink" Target="#Index!A1" /></Relationships>
</file>

<file path=xl/drawings/_rels/drawing24.xml.rels><?xml version="1.0" encoding="utf-8" standalone="yes"?><Relationships xmlns="http://schemas.openxmlformats.org/package/2006/relationships"><Relationship Id="rId1" Type="http://schemas.openxmlformats.org/officeDocument/2006/relationships/hyperlink" Target="#Index!A1" /></Relationships>
</file>

<file path=xl/drawings/_rels/drawing25.xml.rels><?xml version="1.0" encoding="utf-8" standalone="yes"?><Relationships xmlns="http://schemas.openxmlformats.org/package/2006/relationships"><Relationship Id="rId1" Type="http://schemas.openxmlformats.org/officeDocument/2006/relationships/hyperlink" Target="#Index!A1" /></Relationships>
</file>

<file path=xl/drawings/_rels/drawing26.xml.rels><?xml version="1.0" encoding="utf-8" standalone="yes"?><Relationships xmlns="http://schemas.openxmlformats.org/package/2006/relationships"><Relationship Id="rId1" Type="http://schemas.openxmlformats.org/officeDocument/2006/relationships/hyperlink" Target="#Index!A1" /></Relationships>
</file>

<file path=xl/drawings/_rels/drawing27.xml.rels><?xml version="1.0" encoding="utf-8" standalone="yes"?><Relationships xmlns="http://schemas.openxmlformats.org/package/2006/relationships"><Relationship Id="rId1" Type="http://schemas.openxmlformats.org/officeDocument/2006/relationships/hyperlink" Target="#Index!A1" /></Relationships>
</file>

<file path=xl/drawings/_rels/drawing28.xml.rels><?xml version="1.0" encoding="utf-8" standalone="yes"?><Relationships xmlns="http://schemas.openxmlformats.org/package/2006/relationships"><Relationship Id="rId1" Type="http://schemas.openxmlformats.org/officeDocument/2006/relationships/hyperlink" Target="#Index!A1" /></Relationships>
</file>

<file path=xl/drawings/_rels/drawing29.xml.rels><?xml version="1.0" encoding="utf-8" standalone="yes"?><Relationships xmlns="http://schemas.openxmlformats.org/package/2006/relationships"><Relationship Id="rId1"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s>
</file>

<file path=xl/drawings/_rels/drawing30.xml.rels><?xml version="1.0" encoding="utf-8" standalone="yes"?><Relationships xmlns="http://schemas.openxmlformats.org/package/2006/relationships"><Relationship Id="rId1" Type="http://schemas.openxmlformats.org/officeDocument/2006/relationships/hyperlink" Target="#Index!A1" /></Relationships>
</file>

<file path=xl/drawings/_rels/drawing31.xml.rels><?xml version="1.0" encoding="utf-8" standalone="yes"?><Relationships xmlns="http://schemas.openxmlformats.org/package/2006/relationships"><Relationship Id="rId1" Type="http://schemas.openxmlformats.org/officeDocument/2006/relationships/hyperlink" Target="#Index!A1" /></Relationships>
</file>

<file path=xl/drawings/_rels/drawing32.xml.rels><?xml version="1.0" encoding="utf-8" standalone="yes"?><Relationships xmlns="http://schemas.openxmlformats.org/package/2006/relationships"><Relationship Id="rId1" Type="http://schemas.openxmlformats.org/officeDocument/2006/relationships/hyperlink" Target="#Index!A1" /></Relationships>
</file>

<file path=xl/drawings/_rels/drawing33.xml.rels><?xml version="1.0" encoding="utf-8" standalone="yes"?><Relationships xmlns="http://schemas.openxmlformats.org/package/2006/relationships"><Relationship Id="rId1" Type="http://schemas.openxmlformats.org/officeDocument/2006/relationships/hyperlink" Target="#Index!A1" /></Relationships>
</file>

<file path=xl/drawings/_rels/drawing34.xml.rels><?xml version="1.0" encoding="utf-8" standalone="yes"?><Relationships xmlns="http://schemas.openxmlformats.org/package/2006/relationships"><Relationship Id="rId1" Type="http://schemas.openxmlformats.org/officeDocument/2006/relationships/hyperlink" Target="#Index!A1" /></Relationships>
</file>

<file path=xl/drawings/_rels/drawing35.xml.rels><?xml version="1.0" encoding="utf-8" standalone="yes"?><Relationships xmlns="http://schemas.openxmlformats.org/package/2006/relationships"><Relationship Id="rId1" Type="http://schemas.openxmlformats.org/officeDocument/2006/relationships/hyperlink" Target="#Index!A1" /></Relationships>
</file>

<file path=xl/drawings/_rels/drawing36.xml.rels><?xml version="1.0" encoding="utf-8" standalone="yes"?><Relationships xmlns="http://schemas.openxmlformats.org/package/2006/relationships"><Relationship Id="rId1" Type="http://schemas.openxmlformats.org/officeDocument/2006/relationships/hyperlink" Target="#Index!A1" /></Relationships>
</file>

<file path=xl/drawings/_rels/drawing37.xml.rels><?xml version="1.0" encoding="utf-8" standalone="yes"?><Relationships xmlns="http://schemas.openxmlformats.org/package/2006/relationships"><Relationship Id="rId1" Type="http://schemas.openxmlformats.org/officeDocument/2006/relationships/hyperlink" Target="#Index!A1" /></Relationships>
</file>

<file path=xl/drawings/_rels/drawing38.xml.rels><?xml version="1.0" encoding="utf-8" standalone="yes"?><Relationships xmlns="http://schemas.openxmlformats.org/package/2006/relationships"><Relationship Id="rId1" Type="http://schemas.openxmlformats.org/officeDocument/2006/relationships/hyperlink" Target="#Index!A1"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s>
</file>

<file path=xl/drawings/_rels/drawing5.xml.rels><?xml version="1.0" encoding="utf-8" standalone="yes"?><Relationships xmlns="http://schemas.openxmlformats.org/package/2006/relationships"><Relationship Id="rId1" Type="http://schemas.openxmlformats.org/officeDocument/2006/relationships/hyperlink" Target="#Index!A1" /></Relationships>
</file>

<file path=xl/drawings/_rels/drawing6.xml.rels><?xml version="1.0" encoding="utf-8" standalone="yes"?><Relationships xmlns="http://schemas.openxmlformats.org/package/2006/relationships"><Relationship Id="rId1" Type="http://schemas.openxmlformats.org/officeDocument/2006/relationships/hyperlink" Target="#Index!A1" /></Relationships>
</file>

<file path=xl/drawings/_rels/drawing7.xml.rels><?xml version="1.0" encoding="utf-8" standalone="yes"?><Relationships xmlns="http://schemas.openxmlformats.org/package/2006/relationships"><Relationship Id="rId1" Type="http://schemas.openxmlformats.org/officeDocument/2006/relationships/hyperlink" Target="#Index!A1" /></Relationships>
</file>

<file path=xl/drawings/_rels/drawing8.xml.rels><?xml version="1.0" encoding="utf-8" standalone="yes"?><Relationships xmlns="http://schemas.openxmlformats.org/package/2006/relationships"><Relationship Id="rId1" Type="http://schemas.openxmlformats.org/officeDocument/2006/relationships/hyperlink" Target="#Index!A1" /></Relationships>
</file>

<file path=xl/drawings/_rels/drawing9.xml.rels><?xml version="1.0" encoding="utf-8" standalone="yes"?><Relationships xmlns="http://schemas.openxmlformats.org/package/2006/relationships"><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314325</xdr:colOff>
      <xdr:row>1</xdr:row>
      <xdr:rowOff>142875</xdr:rowOff>
    </xdr:to>
    <xdr:sp>
      <xdr:nvSpPr>
        <xdr:cNvPr id="1" name="Right Arrow 1">
          <a:hlinkClick r:id="rId1"/>
        </xdr:cNvPr>
        <xdr:cNvSpPr>
          <a:spLocks/>
        </xdr:cNvSpPr>
      </xdr:nvSpPr>
      <xdr:spPr>
        <a:xfrm flipH="1">
          <a:off x="0" y="190500"/>
          <a:ext cx="31432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304800</xdr:colOff>
      <xdr:row>1</xdr:row>
      <xdr:rowOff>142875</xdr:rowOff>
    </xdr:to>
    <xdr:sp>
      <xdr:nvSpPr>
        <xdr:cNvPr id="1" name="Right Arrow 1">
          <a:hlinkClick r:id="rId1"/>
        </xdr:cNvPr>
        <xdr:cNvSpPr>
          <a:spLocks/>
        </xdr:cNvSpPr>
      </xdr:nvSpPr>
      <xdr:spPr>
        <a:xfrm flipH="1">
          <a:off x="0" y="190500"/>
          <a:ext cx="304800" cy="142875"/>
        </a:xfrm>
        <a:prstGeom prst="rightArrow">
          <a:avLst>
            <a:gd name="adj" fmla="val 10152"/>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304800</xdr:colOff>
      <xdr:row>1</xdr:row>
      <xdr:rowOff>142875</xdr:rowOff>
    </xdr:to>
    <xdr:sp>
      <xdr:nvSpPr>
        <xdr:cNvPr id="1" name="Right Arrow 1">
          <a:hlinkClick r:id="rId1"/>
        </xdr:cNvPr>
        <xdr:cNvSpPr>
          <a:spLocks/>
        </xdr:cNvSpPr>
      </xdr:nvSpPr>
      <xdr:spPr>
        <a:xfrm flipH="1">
          <a:off x="0" y="190500"/>
          <a:ext cx="304800" cy="142875"/>
        </a:xfrm>
        <a:prstGeom prst="rightArrow">
          <a:avLst>
            <a:gd name="adj" fmla="val 10152"/>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304800</xdr:colOff>
      <xdr:row>1</xdr:row>
      <xdr:rowOff>142875</xdr:rowOff>
    </xdr:to>
    <xdr:sp>
      <xdr:nvSpPr>
        <xdr:cNvPr id="1" name="Right Arrow 1">
          <a:hlinkClick r:id="rId1"/>
        </xdr:cNvPr>
        <xdr:cNvSpPr>
          <a:spLocks/>
        </xdr:cNvSpPr>
      </xdr:nvSpPr>
      <xdr:spPr>
        <a:xfrm flipH="1">
          <a:off x="0" y="190500"/>
          <a:ext cx="304800" cy="142875"/>
        </a:xfrm>
        <a:prstGeom prst="rightArrow">
          <a:avLst>
            <a:gd name="adj" fmla="val -1624"/>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38</xdr:col>
      <xdr:colOff>0</xdr:colOff>
      <xdr:row>70</xdr:row>
      <xdr:rowOff>0</xdr:rowOff>
    </xdr:to>
    <xdr:pic>
      <xdr:nvPicPr>
        <xdr:cNvPr id="1" name="BExKI2T1D11014DREFDGSMJ45J9W" hidden="1"/>
        <xdr:cNvPicPr preferRelativeResize="1">
          <a:picLocks noChangeAspect="0"/>
        </xdr:cNvPicPr>
      </xdr:nvPicPr>
      <xdr:blipFill>
        <a:blip r:embed="rId1"/>
        <a:stretch>
          <a:fillRect/>
        </a:stretch>
      </xdr:blipFill>
      <xdr:spPr>
        <a:xfrm>
          <a:off x="0" y="2562225"/>
          <a:ext cx="47691675" cy="10515600"/>
        </a:xfrm>
        <a:prstGeom prst="rect">
          <a:avLst/>
        </a:prstGeom>
        <a:noFill/>
        <a:ln w="9525" cmpd="sng">
          <a:noFill/>
        </a:ln>
      </xdr:spPr>
    </xdr:pic>
    <xdr:clientData/>
  </xdr:twoCellAnchor>
  <xdr:twoCellAnchor>
    <xdr:from>
      <xdr:col>0</xdr:col>
      <xdr:colOff>0</xdr:colOff>
      <xdr:row>1</xdr:row>
      <xdr:rowOff>0</xdr:rowOff>
    </xdr:from>
    <xdr:to>
      <xdr:col>1</xdr:col>
      <xdr:colOff>0</xdr:colOff>
      <xdr:row>1</xdr:row>
      <xdr:rowOff>228600</xdr:rowOff>
    </xdr:to>
    <xdr:pic>
      <xdr:nvPicPr>
        <xdr:cNvPr id="2" name="BExD92FPK3REG9B5YYM52BQW2UUC" hidden="1"/>
        <xdr:cNvPicPr preferRelativeResize="1">
          <a:picLocks noChangeAspect="0"/>
        </xdr:cNvPicPr>
      </xdr:nvPicPr>
      <xdr:blipFill>
        <a:blip r:embed="rId2"/>
        <a:stretch>
          <a:fillRect/>
        </a:stretch>
      </xdr:blipFill>
      <xdr:spPr>
        <a:xfrm>
          <a:off x="0" y="190500"/>
          <a:ext cx="1190625" cy="228600"/>
        </a:xfrm>
        <a:prstGeom prst="rect">
          <a:avLst/>
        </a:prstGeom>
        <a:noFill/>
        <a:ln w="9525" cmpd="sng">
          <a:noFill/>
        </a:ln>
      </xdr:spPr>
    </xdr:pic>
    <xdr:clientData/>
  </xdr:twoCellAnchor>
  <xdr:twoCellAnchor>
    <xdr:from>
      <xdr:col>0</xdr:col>
      <xdr:colOff>0</xdr:colOff>
      <xdr:row>10</xdr:row>
      <xdr:rowOff>0</xdr:rowOff>
    </xdr:from>
    <xdr:to>
      <xdr:col>1</xdr:col>
      <xdr:colOff>0</xdr:colOff>
      <xdr:row>10</xdr:row>
      <xdr:rowOff>247650</xdr:rowOff>
    </xdr:to>
    <xdr:pic>
      <xdr:nvPicPr>
        <xdr:cNvPr id="3" name="BExD92FPK3REG9B5YYM52BQW2UUC" hidden="1"/>
        <xdr:cNvPicPr preferRelativeResize="1">
          <a:picLocks noChangeAspect="0"/>
        </xdr:cNvPicPr>
      </xdr:nvPicPr>
      <xdr:blipFill>
        <a:blip r:embed="rId2"/>
        <a:stretch>
          <a:fillRect/>
        </a:stretch>
      </xdr:blipFill>
      <xdr:spPr>
        <a:xfrm>
          <a:off x="0" y="2114550"/>
          <a:ext cx="1190625" cy="247650"/>
        </a:xfrm>
        <a:prstGeom prst="rect">
          <a:avLst/>
        </a:prstGeom>
        <a:noFill/>
        <a:ln w="9525" cmpd="sng">
          <a:noFill/>
        </a:ln>
      </xdr:spPr>
    </xdr:pic>
    <xdr:clientData/>
  </xdr:twoCellAnchor>
  <xdr:twoCellAnchor>
    <xdr:from>
      <xdr:col>0</xdr:col>
      <xdr:colOff>66675</xdr:colOff>
      <xdr:row>2</xdr:row>
      <xdr:rowOff>76200</xdr:rowOff>
    </xdr:from>
    <xdr:to>
      <xdr:col>0</xdr:col>
      <xdr:colOff>438150</xdr:colOff>
      <xdr:row>3</xdr:row>
      <xdr:rowOff>19050</xdr:rowOff>
    </xdr:to>
    <xdr:sp>
      <xdr:nvSpPr>
        <xdr:cNvPr id="4" name="Right Arrow 7">
          <a:hlinkClick r:id="rId3"/>
        </xdr:cNvPr>
        <xdr:cNvSpPr>
          <a:spLocks/>
        </xdr:cNvSpPr>
      </xdr:nvSpPr>
      <xdr:spPr>
        <a:xfrm flipH="1">
          <a:off x="66675" y="495300"/>
          <a:ext cx="371475" cy="12382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266700</xdr:colOff>
      <xdr:row>2</xdr:row>
      <xdr:rowOff>0</xdr:rowOff>
    </xdr:to>
    <xdr:sp>
      <xdr:nvSpPr>
        <xdr:cNvPr id="1" name="Right Arrow 1">
          <a:hlinkClick r:id="rId1"/>
        </xdr:cNvPr>
        <xdr:cNvSpPr>
          <a:spLocks/>
        </xdr:cNvSpPr>
      </xdr:nvSpPr>
      <xdr:spPr>
        <a:xfrm flipH="1">
          <a:off x="0" y="190500"/>
          <a:ext cx="857250" cy="161925"/>
        </a:xfrm>
        <a:prstGeom prst="rightArrow">
          <a:avLst>
            <a:gd name="adj" fmla="val 22467"/>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1</xdr:col>
      <xdr:colOff>0</xdr:colOff>
      <xdr:row>0</xdr:row>
      <xdr:rowOff>190500</xdr:rowOff>
    </xdr:to>
    <xdr:pic>
      <xdr:nvPicPr>
        <xdr:cNvPr id="2" name="BExD92FPK3REG9B5YYM52BQW2UUC" hidden="1"/>
        <xdr:cNvPicPr preferRelativeResize="1">
          <a:picLocks noChangeAspect="0"/>
        </xdr:cNvPicPr>
      </xdr:nvPicPr>
      <xdr:blipFill>
        <a:blip r:embed="rId2"/>
        <a:stretch>
          <a:fillRect/>
        </a:stretch>
      </xdr:blipFill>
      <xdr:spPr>
        <a:xfrm>
          <a:off x="0" y="0"/>
          <a:ext cx="590550"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276225</xdr:colOff>
      <xdr:row>2</xdr:row>
      <xdr:rowOff>19050</xdr:rowOff>
    </xdr:to>
    <xdr:sp>
      <xdr:nvSpPr>
        <xdr:cNvPr id="1" name="Right Arrow 1">
          <a:hlinkClick r:id="rId1"/>
        </xdr:cNvPr>
        <xdr:cNvSpPr>
          <a:spLocks/>
        </xdr:cNvSpPr>
      </xdr:nvSpPr>
      <xdr:spPr>
        <a:xfrm flipH="1">
          <a:off x="0" y="190500"/>
          <a:ext cx="400050" cy="171450"/>
        </a:xfrm>
        <a:prstGeom prst="rightArrow">
          <a:avLst>
            <a:gd name="adj" fmla="val 15388"/>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514350</xdr:colOff>
      <xdr:row>2</xdr:row>
      <xdr:rowOff>19050</xdr:rowOff>
    </xdr:to>
    <xdr:sp>
      <xdr:nvSpPr>
        <xdr:cNvPr id="1" name="Right Arrow 1">
          <a:hlinkClick r:id="rId1"/>
        </xdr:cNvPr>
        <xdr:cNvSpPr>
          <a:spLocks/>
        </xdr:cNvSpPr>
      </xdr:nvSpPr>
      <xdr:spPr>
        <a:xfrm flipH="1">
          <a:off x="0" y="190500"/>
          <a:ext cx="514350" cy="180975"/>
        </a:xfrm>
        <a:prstGeom prst="rightArrow">
          <a:avLst>
            <a:gd name="adj" fmla="val 22185"/>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276225</xdr:colOff>
      <xdr:row>2</xdr:row>
      <xdr:rowOff>9525</xdr:rowOff>
    </xdr:to>
    <xdr:sp>
      <xdr:nvSpPr>
        <xdr:cNvPr id="1" name="Right Arrow 1">
          <a:hlinkClick r:id="rId1"/>
        </xdr:cNvPr>
        <xdr:cNvSpPr>
          <a:spLocks/>
        </xdr:cNvSpPr>
      </xdr:nvSpPr>
      <xdr:spPr>
        <a:xfrm flipH="1">
          <a:off x="0" y="190500"/>
          <a:ext cx="390525" cy="161925"/>
        </a:xfrm>
        <a:prstGeom prst="rightArrow">
          <a:avLst>
            <a:gd name="adj" fmla="val 16597"/>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314325</xdr:colOff>
      <xdr:row>2</xdr:row>
      <xdr:rowOff>19050</xdr:rowOff>
    </xdr:to>
    <xdr:sp>
      <xdr:nvSpPr>
        <xdr:cNvPr id="1" name="Right Arrow 1">
          <a:hlinkClick r:id="rId1"/>
        </xdr:cNvPr>
        <xdr:cNvSpPr>
          <a:spLocks/>
        </xdr:cNvSpPr>
      </xdr:nvSpPr>
      <xdr:spPr>
        <a:xfrm flipH="1">
          <a:off x="0" y="190500"/>
          <a:ext cx="428625" cy="180975"/>
        </a:xfrm>
        <a:prstGeom prst="rightArrow">
          <a:avLst>
            <a:gd name="adj" fmla="val 16597"/>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371475</xdr:colOff>
      <xdr:row>1</xdr:row>
      <xdr:rowOff>142875</xdr:rowOff>
    </xdr:to>
    <xdr:sp>
      <xdr:nvSpPr>
        <xdr:cNvPr id="1" name="Right Arrow 1">
          <a:hlinkClick r:id="rId1"/>
        </xdr:cNvPr>
        <xdr:cNvSpPr>
          <a:spLocks/>
        </xdr:cNvSpPr>
      </xdr:nvSpPr>
      <xdr:spPr>
        <a:xfrm flipH="1">
          <a:off x="523875"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133350</xdr:colOff>
      <xdr:row>1</xdr:row>
      <xdr:rowOff>142875</xdr:rowOff>
    </xdr:to>
    <xdr:sp>
      <xdr:nvSpPr>
        <xdr:cNvPr id="1" name="Right Arrow 1">
          <a:hlinkClick r:id="rId1"/>
        </xdr:cNvPr>
        <xdr:cNvSpPr>
          <a:spLocks/>
        </xdr:cNvSpPr>
      </xdr:nvSpPr>
      <xdr:spPr>
        <a:xfrm flipH="1">
          <a:off x="200025" y="190500"/>
          <a:ext cx="342900" cy="142875"/>
        </a:xfrm>
        <a:prstGeom prst="rightArrow">
          <a:avLst>
            <a:gd name="adj" fmla="val 40689"/>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47625</xdr:rowOff>
    </xdr:from>
    <xdr:to>
      <xdr:col>3</xdr:col>
      <xdr:colOff>409575</xdr:colOff>
      <xdr:row>1</xdr:row>
      <xdr:rowOff>190500</xdr:rowOff>
    </xdr:to>
    <xdr:sp>
      <xdr:nvSpPr>
        <xdr:cNvPr id="1" name="Right Arrow 1">
          <a:hlinkClick r:id="rId1"/>
        </xdr:cNvPr>
        <xdr:cNvSpPr>
          <a:spLocks/>
        </xdr:cNvSpPr>
      </xdr:nvSpPr>
      <xdr:spPr>
        <a:xfrm flipH="1">
          <a:off x="38100" y="238125"/>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0</xdr:col>
      <xdr:colOff>371475</xdr:colOff>
      <xdr:row>1</xdr:row>
      <xdr:rowOff>219075</xdr:rowOff>
    </xdr:to>
    <xdr:sp>
      <xdr:nvSpPr>
        <xdr:cNvPr id="1" name="Right Arrow 1">
          <a:hlinkClick r:id="rId1"/>
        </xdr:cNvPr>
        <xdr:cNvSpPr>
          <a:spLocks/>
        </xdr:cNvSpPr>
      </xdr:nvSpPr>
      <xdr:spPr>
        <a:xfrm flipH="1">
          <a:off x="0" y="409575"/>
          <a:ext cx="371475" cy="133350"/>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314325</xdr:colOff>
      <xdr:row>1</xdr:row>
      <xdr:rowOff>161925</xdr:rowOff>
    </xdr:to>
    <xdr:sp>
      <xdr:nvSpPr>
        <xdr:cNvPr id="1" name="Right Arrow 1">
          <a:hlinkClick r:id="rId1"/>
        </xdr:cNvPr>
        <xdr:cNvSpPr>
          <a:spLocks/>
        </xdr:cNvSpPr>
      </xdr:nvSpPr>
      <xdr:spPr>
        <a:xfrm flipH="1">
          <a:off x="0" y="190500"/>
          <a:ext cx="314325" cy="161925"/>
        </a:xfrm>
        <a:prstGeom prst="rightArrow">
          <a:avLst>
            <a:gd name="adj" fmla="val 22958"/>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76200</xdr:colOff>
      <xdr:row>1</xdr:row>
      <xdr:rowOff>142875</xdr:rowOff>
    </xdr:to>
    <xdr:sp>
      <xdr:nvSpPr>
        <xdr:cNvPr id="1" name="Right Arrow 1">
          <a:hlinkClick r:id="rId1"/>
        </xdr:cNvPr>
        <xdr:cNvSpPr>
          <a:spLocks/>
        </xdr:cNvSpPr>
      </xdr:nvSpPr>
      <xdr:spPr>
        <a:xfrm flipH="1">
          <a:off x="0" y="190500"/>
          <a:ext cx="342900"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114300</xdr:colOff>
      <xdr:row>1</xdr:row>
      <xdr:rowOff>142875</xdr:rowOff>
    </xdr:to>
    <xdr:sp>
      <xdr:nvSpPr>
        <xdr:cNvPr id="1" name="Right Arrow 1">
          <a:hlinkClick r:id="rId1"/>
        </xdr:cNvPr>
        <xdr:cNvSpPr>
          <a:spLocks/>
        </xdr:cNvSpPr>
      </xdr:nvSpPr>
      <xdr:spPr>
        <a:xfrm flipH="1">
          <a:off x="0" y="190500"/>
          <a:ext cx="35242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314325</xdr:colOff>
      <xdr:row>2</xdr:row>
      <xdr:rowOff>19050</xdr:rowOff>
    </xdr:to>
    <xdr:sp>
      <xdr:nvSpPr>
        <xdr:cNvPr id="1" name="Right Arrow 1">
          <a:hlinkClick r:id="rId1"/>
        </xdr:cNvPr>
        <xdr:cNvSpPr>
          <a:spLocks/>
        </xdr:cNvSpPr>
      </xdr:nvSpPr>
      <xdr:spPr>
        <a:xfrm flipH="1">
          <a:off x="0" y="190500"/>
          <a:ext cx="542925" cy="180975"/>
        </a:xfrm>
        <a:prstGeom prst="rightArrow">
          <a:avLst>
            <a:gd name="adj" fmla="val 34083"/>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0</xdr:col>
      <xdr:colOff>495300</xdr:colOff>
      <xdr:row>1</xdr:row>
      <xdr:rowOff>200025</xdr:rowOff>
    </xdr:to>
    <xdr:sp>
      <xdr:nvSpPr>
        <xdr:cNvPr id="1" name="Right Arrow 1">
          <a:hlinkClick r:id="rId1"/>
        </xdr:cNvPr>
        <xdr:cNvSpPr>
          <a:spLocks/>
        </xdr:cNvSpPr>
      </xdr:nvSpPr>
      <xdr:spPr>
        <a:xfrm flipH="1">
          <a:off x="114300" y="32385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180975</xdr:colOff>
      <xdr:row>1</xdr:row>
      <xdr:rowOff>152400</xdr:rowOff>
    </xdr:to>
    <xdr:sp>
      <xdr:nvSpPr>
        <xdr:cNvPr id="1" name="Right Arrow 1">
          <a:hlinkClick r:id="rId1"/>
        </xdr:cNvPr>
        <xdr:cNvSpPr>
          <a:spLocks/>
        </xdr:cNvSpPr>
      </xdr:nvSpPr>
      <xdr:spPr>
        <a:xfrm flipH="1">
          <a:off x="0" y="190500"/>
          <a:ext cx="180975" cy="152400"/>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371475</xdr:colOff>
      <xdr:row>1</xdr:row>
      <xdr:rowOff>142875</xdr:rowOff>
    </xdr:to>
    <xdr:sp>
      <xdr:nvSpPr>
        <xdr:cNvPr id="1" name="Right Arrow 1">
          <a:hlinkClick r:id="rId1"/>
        </xdr:cNvPr>
        <xdr:cNvSpPr>
          <a:spLocks/>
        </xdr:cNvSpPr>
      </xdr:nvSpPr>
      <xdr:spPr>
        <a:xfrm flipH="1">
          <a:off x="180975"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209550</xdr:colOff>
      <xdr:row>1</xdr:row>
      <xdr:rowOff>142875</xdr:rowOff>
    </xdr:to>
    <xdr:sp>
      <xdr:nvSpPr>
        <xdr:cNvPr id="1" name="Right Arrow 2">
          <a:hlinkClick r:id="rId1"/>
        </xdr:cNvPr>
        <xdr:cNvSpPr>
          <a:spLocks/>
        </xdr:cNvSpPr>
      </xdr:nvSpPr>
      <xdr:spPr>
        <a:xfrm flipH="1">
          <a:off x="0" y="190500"/>
          <a:ext cx="209550"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381000</xdr:colOff>
      <xdr:row>1</xdr:row>
      <xdr:rowOff>142875</xdr:rowOff>
    </xdr:to>
    <xdr:sp>
      <xdr:nvSpPr>
        <xdr:cNvPr id="1" name="Right Arrow 1">
          <a:hlinkClick r:id="rId1"/>
        </xdr:cNvPr>
        <xdr:cNvSpPr>
          <a:spLocks/>
        </xdr:cNvSpPr>
      </xdr:nvSpPr>
      <xdr:spPr>
        <a:xfrm flipH="1">
          <a:off x="0" y="190500"/>
          <a:ext cx="381000" cy="142875"/>
        </a:xfrm>
        <a:prstGeom prst="rightArrow">
          <a:avLst>
            <a:gd name="adj" fmla="val -1624"/>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266700</xdr:rowOff>
    </xdr:from>
    <xdr:to>
      <xdr:col>2</xdr:col>
      <xdr:colOff>28575</xdr:colOff>
      <xdr:row>1</xdr:row>
      <xdr:rowOff>142875</xdr:rowOff>
    </xdr:to>
    <xdr:sp>
      <xdr:nvSpPr>
        <xdr:cNvPr id="1" name="Right Arrow 1">
          <a:hlinkClick r:id="rId1"/>
        </xdr:cNvPr>
        <xdr:cNvSpPr>
          <a:spLocks/>
        </xdr:cNvSpPr>
      </xdr:nvSpPr>
      <xdr:spPr>
        <a:xfrm flipH="1">
          <a:off x="66675" y="266700"/>
          <a:ext cx="409575" cy="142875"/>
        </a:xfrm>
        <a:prstGeom prst="rightArrow">
          <a:avLst>
            <a:gd name="adj" fmla="val 23277"/>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304800</xdr:colOff>
      <xdr:row>1</xdr:row>
      <xdr:rowOff>142875</xdr:rowOff>
    </xdr:to>
    <xdr:sp>
      <xdr:nvSpPr>
        <xdr:cNvPr id="1" name="Right Arrow 1">
          <a:hlinkClick r:id="rId1"/>
        </xdr:cNvPr>
        <xdr:cNvSpPr>
          <a:spLocks/>
        </xdr:cNvSpPr>
      </xdr:nvSpPr>
      <xdr:spPr>
        <a:xfrm flipH="1">
          <a:off x="0" y="180975"/>
          <a:ext cx="304800" cy="142875"/>
        </a:xfrm>
        <a:prstGeom prst="rightArrow">
          <a:avLst>
            <a:gd name="adj" fmla="val 10152"/>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76200</xdr:colOff>
      <xdr:row>1</xdr:row>
      <xdr:rowOff>142875</xdr:rowOff>
    </xdr:to>
    <xdr:sp>
      <xdr:nvSpPr>
        <xdr:cNvPr id="1" name="Right Arrow 1">
          <a:hlinkClick r:id="rId1"/>
        </xdr:cNvPr>
        <xdr:cNvSpPr>
          <a:spLocks/>
        </xdr:cNvSpPr>
      </xdr:nvSpPr>
      <xdr:spPr>
        <a:xfrm flipH="1">
          <a:off x="0" y="266700"/>
          <a:ext cx="39052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371475</xdr:colOff>
      <xdr:row>1</xdr:row>
      <xdr:rowOff>142875</xdr:rowOff>
    </xdr:to>
    <xdr:sp>
      <xdr:nvSpPr>
        <xdr:cNvPr id="1" name="Right Arrow 1">
          <a:hlinkClick r:id="rId1"/>
        </xdr:cNvPr>
        <xdr:cNvSpPr>
          <a:spLocks/>
        </xdr:cNvSpPr>
      </xdr:nvSpPr>
      <xdr:spPr>
        <a:xfrm flipH="1">
          <a:off x="190500" y="1905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371475</xdr:colOff>
      <xdr:row>1</xdr:row>
      <xdr:rowOff>142875</xdr:rowOff>
    </xdr:to>
    <xdr:sp>
      <xdr:nvSpPr>
        <xdr:cNvPr id="1" name="Right Arrow 1">
          <a:hlinkClick r:id="rId1"/>
        </xdr:cNvPr>
        <xdr:cNvSpPr>
          <a:spLocks/>
        </xdr:cNvSpPr>
      </xdr:nvSpPr>
      <xdr:spPr>
        <a:xfrm flipH="1">
          <a:off x="0" y="266700"/>
          <a:ext cx="371475" cy="142875"/>
        </a:xfrm>
        <a:prstGeom prst="rightArrow">
          <a:avLst>
            <a:gd name="adj" fmla="val 17550"/>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304800</xdr:colOff>
      <xdr:row>1</xdr:row>
      <xdr:rowOff>142875</xdr:rowOff>
    </xdr:to>
    <xdr:sp>
      <xdr:nvSpPr>
        <xdr:cNvPr id="1" name="Right Arrow 2">
          <a:hlinkClick r:id="rId1"/>
        </xdr:cNvPr>
        <xdr:cNvSpPr>
          <a:spLocks/>
        </xdr:cNvSpPr>
      </xdr:nvSpPr>
      <xdr:spPr>
        <a:xfrm flipH="1">
          <a:off x="0" y="190500"/>
          <a:ext cx="304800" cy="142875"/>
        </a:xfrm>
        <a:prstGeom prst="rightArrow">
          <a:avLst>
            <a:gd name="adj" fmla="val 10152"/>
          </a:avLst>
        </a:prstGeom>
        <a:solidFill>
          <a:srgbClr val="D9D9D9"/>
        </a:solidFill>
        <a:ln w="25400" cmpd="sng">
          <a:solidFill>
            <a:srgbClr val="385D8A"/>
          </a:solidFill>
          <a:headEnd type="none"/>
          <a:tailEnd type="none"/>
        </a:ln>
      </xdr:spPr>
      <xdr:txBody>
        <a:bodyPr vertOverflow="clip" wrap="square" anchor="ctr"/>
        <a:p>
          <a:pPr algn="ctr">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pofs002\corpfinance$\Work%20Stuff\Nevada%20Energy\Very%20Final%20Numbers\Final%20Final%20(9-26-12)\Ex%20NPC%20-%2012%20Per%20I%20Final%20(9-26-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pofs002\corpfinance$\Documents%20and%20Settings\wtarnem\Local%20Settings\Temporary%20Internet%20Files\Content.Outlook\2SLD9MX9\2011%20Transm_COS_FERC_TE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A"/>
      <sheetName val="AB"/>
      <sheetName val="AC"/>
      <sheetName val="AD"/>
      <sheetName val="AE"/>
      <sheetName val="AF"/>
      <sheetName val="AF_WP1"/>
      <sheetName val="AF WP2"/>
      <sheetName val="AG"/>
      <sheetName val="AG WP1"/>
      <sheetName val="AG WP2"/>
      <sheetName val="AH"/>
      <sheetName val="AI"/>
      <sheetName val="AJ"/>
      <sheetName val="AK"/>
      <sheetName val="AL"/>
      <sheetName val="AL WP1 "/>
      <sheetName val="AM"/>
      <sheetName val="AN"/>
      <sheetName val="AO"/>
      <sheetName val="AP"/>
      <sheetName val="AQ"/>
      <sheetName val="AQ WP1"/>
      <sheetName val="AQ WP2"/>
      <sheetName val="AR"/>
      <sheetName val="AR WP1"/>
      <sheetName val="AS"/>
      <sheetName val="AT"/>
      <sheetName val="AU"/>
      <sheetName val="AU WP1"/>
      <sheetName val="AV"/>
      <sheetName val="AV WP1"/>
      <sheetName val="AV WP2"/>
      <sheetName val="AW"/>
      <sheetName val="AX"/>
      <sheetName val="AY"/>
      <sheetName val="BA"/>
      <sheetName val="BB"/>
      <sheetName val="BC"/>
      <sheetName val="BD"/>
      <sheetName val="BE"/>
      <sheetName val="BF"/>
      <sheetName val="BG BH"/>
      <sheetName val="BI"/>
      <sheetName val="BJ"/>
      <sheetName val="BK"/>
      <sheetName val="BL"/>
      <sheetName val="BM"/>
    </sheetNames>
    <sheetDataSet>
      <sheetData sheetId="45">
        <row r="462">
          <cell r="J462">
            <v>0.45782146347604424</v>
          </cell>
          <cell r="L462">
            <v>0.1529761887456722</v>
          </cell>
          <cell r="N462">
            <v>0.3892023477782836</v>
          </cell>
        </row>
        <row r="464">
          <cell r="J464">
            <v>0.44939965638234436</v>
          </cell>
          <cell r="L464">
            <v>0.15948868536199054</v>
          </cell>
          <cell r="N464">
            <v>0.3911116582556651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AA-Bal_Sht"/>
      <sheetName val="AB-Inc_Stmnt"/>
      <sheetName val="AC-Ret_Earn"/>
      <sheetName val="AD-EPIS"/>
      <sheetName val="AE-Acc_Depr"/>
      <sheetName val="AH-O&amp;M"/>
      <sheetName val="AI-Wages_Sal"/>
      <sheetName val="AJ-Depr-Exps"/>
      <sheetName val="AL-Work_Cap"/>
      <sheetName val="AM-CWIP"/>
      <sheetName val="AO-AFUDC"/>
      <sheetName val="AP-Int_Exps"/>
      <sheetName val="BK-Cost_Of_Svc"/>
      <sheetName val="BJ-Sum_Data"/>
      <sheetName val="AV-Cap_Struc"/>
      <sheetName val="Rev_Req"/>
      <sheetName val="Rate_Design"/>
      <sheetName val="Notes_Pay"/>
      <sheetName val="AR"/>
      <sheetName val="AS"/>
      <sheetName val="AT"/>
      <sheetName val="AU"/>
      <sheetName val="AK"/>
      <sheetName val="AW"/>
      <sheetName val="AX"/>
      <sheetName val="AY"/>
      <sheetName val="BA"/>
      <sheetName val="BB"/>
      <sheetName val="BD"/>
      <sheetName val="BC"/>
      <sheetName val="BE"/>
      <sheetName val="BF"/>
      <sheetName val="BH"/>
      <sheetName val="BI"/>
      <sheetName val="Summary"/>
      <sheetName val="AG"/>
      <sheetName val="AF"/>
      <sheetName val="AQ"/>
    </sheetNames>
    <sheetDataSet>
      <sheetData sheetId="13">
        <row r="595">
          <cell r="F59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view="pageBreakPreview" zoomScaleSheetLayoutView="100" zoomScalePageLayoutView="0" workbookViewId="0" topLeftCell="A7">
      <selection activeCell="B28" sqref="B28"/>
    </sheetView>
  </sheetViews>
  <sheetFormatPr defaultColWidth="8.875" defaultRowHeight="12.75"/>
  <cols>
    <col min="1" max="1" width="2.375" style="160" customWidth="1"/>
    <col min="2" max="2" width="29.125" style="160" bestFit="1" customWidth="1"/>
    <col min="3" max="3" width="5.75390625" style="160" customWidth="1"/>
    <col min="4" max="4" width="96.625" style="160" bestFit="1" customWidth="1"/>
    <col min="5" max="16384" width="8.875" style="160" customWidth="1"/>
  </cols>
  <sheetData>
    <row r="1" spans="1:6" ht="15">
      <c r="A1" s="1381" t="s">
        <v>1020</v>
      </c>
      <c r="B1" s="678"/>
      <c r="C1" s="677"/>
      <c r="D1" s="677"/>
      <c r="E1" s="27"/>
      <c r="F1" s="27"/>
    </row>
    <row r="2" spans="1:6" ht="12.75">
      <c r="A2" s="677"/>
      <c r="B2" s="678"/>
      <c r="C2" s="677"/>
      <c r="D2" s="677"/>
      <c r="E2" s="27"/>
      <c r="F2" s="27"/>
    </row>
    <row r="3" spans="1:6" ht="15">
      <c r="A3" s="271"/>
      <c r="B3" s="271"/>
      <c r="C3" s="271"/>
      <c r="D3" s="271"/>
      <c r="E3" s="27"/>
      <c r="F3" s="27"/>
    </row>
    <row r="4" spans="1:6" ht="15">
      <c r="A4" s="27"/>
      <c r="B4" s="1526" t="s">
        <v>359</v>
      </c>
      <c r="C4" s="1526"/>
      <c r="D4" s="1526"/>
      <c r="E4" s="27"/>
      <c r="F4" s="27"/>
    </row>
    <row r="5" spans="1:6" ht="15">
      <c r="A5" s="27"/>
      <c r="B5" s="1526" t="s">
        <v>227</v>
      </c>
      <c r="C5" s="1526"/>
      <c r="D5" s="1526"/>
      <c r="E5" s="27"/>
      <c r="F5" s="27"/>
    </row>
    <row r="6" spans="1:6" ht="15">
      <c r="A6" s="27"/>
      <c r="B6" s="1526" t="s">
        <v>111</v>
      </c>
      <c r="C6" s="1526"/>
      <c r="D6" s="1526"/>
      <c r="E6" s="27"/>
      <c r="F6" s="27"/>
    </row>
    <row r="7" spans="1:6" ht="15">
      <c r="A7" s="271"/>
      <c r="B7" s="271"/>
      <c r="C7" s="271"/>
      <c r="D7" s="271"/>
      <c r="E7" s="27"/>
      <c r="F7" s="27"/>
    </row>
    <row r="8" spans="1:6" ht="15">
      <c r="A8" s="440"/>
      <c r="B8" s="440"/>
      <c r="C8" s="440"/>
      <c r="D8" s="440"/>
      <c r="E8" s="27"/>
      <c r="F8" s="27"/>
    </row>
    <row r="9" spans="1:6" ht="12.75">
      <c r="A9" s="677"/>
      <c r="B9" s="678"/>
      <c r="C9" s="677"/>
      <c r="D9" s="677"/>
      <c r="E9" s="27"/>
      <c r="F9" s="27"/>
    </row>
    <row r="10" spans="1:6" ht="15.75" thickBot="1">
      <c r="A10" s="679"/>
      <c r="B10" s="680" t="s">
        <v>413</v>
      </c>
      <c r="C10" s="681"/>
      <c r="D10" s="682" t="s">
        <v>112</v>
      </c>
      <c r="E10" s="27"/>
      <c r="F10" s="27"/>
    </row>
    <row r="11" spans="1:6" ht="15" thickTop="1">
      <c r="A11" s="683"/>
      <c r="B11" s="684" t="s">
        <v>414</v>
      </c>
      <c r="C11" s="683"/>
      <c r="D11" s="685" t="s">
        <v>435</v>
      </c>
      <c r="E11" s="27"/>
      <c r="F11" s="27"/>
    </row>
    <row r="12" spans="1:6" ht="15">
      <c r="A12" s="683"/>
      <c r="B12" s="684" t="s">
        <v>1230</v>
      </c>
      <c r="C12" s="683"/>
      <c r="D12" s="685" t="s">
        <v>230</v>
      </c>
      <c r="E12" s="27"/>
      <c r="F12" s="27"/>
    </row>
    <row r="13" spans="1:6" ht="15">
      <c r="A13" s="683"/>
      <c r="B13" s="684" t="s">
        <v>1231</v>
      </c>
      <c r="C13" s="683"/>
      <c r="D13" s="685" t="s">
        <v>229</v>
      </c>
      <c r="E13" s="27"/>
      <c r="F13" s="27"/>
    </row>
    <row r="14" spans="1:6" ht="15">
      <c r="A14" s="683"/>
      <c r="B14" s="684" t="s">
        <v>1232</v>
      </c>
      <c r="C14" s="683"/>
      <c r="D14" s="685" t="s">
        <v>231</v>
      </c>
      <c r="E14" s="27"/>
      <c r="F14" s="27"/>
    </row>
    <row r="15" spans="1:6" ht="15">
      <c r="A15" s="683"/>
      <c r="B15" s="684" t="s">
        <v>1236</v>
      </c>
      <c r="C15" s="683"/>
      <c r="D15" s="685" t="s">
        <v>233</v>
      </c>
      <c r="E15" s="27"/>
      <c r="F15" s="27"/>
    </row>
    <row r="16" spans="1:6" ht="15">
      <c r="A16" s="683"/>
      <c r="B16" s="684" t="s">
        <v>1237</v>
      </c>
      <c r="C16" s="683"/>
      <c r="D16" s="685" t="s">
        <v>745</v>
      </c>
      <c r="E16" s="27"/>
      <c r="F16" s="27"/>
    </row>
    <row r="17" spans="1:6" ht="15">
      <c r="A17" s="683"/>
      <c r="B17" s="684" t="s">
        <v>1233</v>
      </c>
      <c r="C17" s="683"/>
      <c r="D17" s="685" t="s">
        <v>232</v>
      </c>
      <c r="E17" s="27"/>
      <c r="F17" s="27"/>
    </row>
    <row r="18" spans="1:6" ht="15">
      <c r="A18" s="683"/>
      <c r="B18" s="684" t="s">
        <v>1234</v>
      </c>
      <c r="C18" s="683"/>
      <c r="D18" s="685" t="s">
        <v>939</v>
      </c>
      <c r="E18" s="27"/>
      <c r="F18" s="27"/>
    </row>
    <row r="19" spans="1:6" ht="15">
      <c r="A19" s="683"/>
      <c r="B19" s="684" t="s">
        <v>1235</v>
      </c>
      <c r="C19" s="683"/>
      <c r="D19" s="685" t="s">
        <v>902</v>
      </c>
      <c r="E19" s="27"/>
      <c r="F19" s="27"/>
    </row>
    <row r="20" spans="1:6" ht="15">
      <c r="A20" s="683"/>
      <c r="B20" s="684" t="s">
        <v>1064</v>
      </c>
      <c r="C20" s="683"/>
      <c r="D20" s="685" t="s">
        <v>742</v>
      </c>
      <c r="E20" s="27"/>
      <c r="F20" s="27"/>
    </row>
    <row r="21" spans="1:7" ht="15">
      <c r="A21" s="683"/>
      <c r="B21" s="684" t="s">
        <v>1123</v>
      </c>
      <c r="C21" s="683"/>
      <c r="D21" s="685" t="s">
        <v>743</v>
      </c>
      <c r="E21" s="686"/>
      <c r="F21" s="686"/>
      <c r="G21" s="687"/>
    </row>
    <row r="22" spans="1:6" ht="15">
      <c r="A22" s="683"/>
      <c r="B22" s="684" t="s">
        <v>1132</v>
      </c>
      <c r="C22" s="683"/>
      <c r="D22" s="685" t="s">
        <v>744</v>
      </c>
      <c r="E22" s="27"/>
      <c r="F22" s="27"/>
    </row>
    <row r="23" spans="1:6" ht="15">
      <c r="A23" s="683"/>
      <c r="B23" s="684" t="s">
        <v>1241</v>
      </c>
      <c r="C23" s="683"/>
      <c r="D23" s="685" t="s">
        <v>883</v>
      </c>
      <c r="E23" s="27"/>
      <c r="F23" s="27"/>
    </row>
    <row r="24" spans="1:6" ht="15">
      <c r="A24" s="683"/>
      <c r="B24" s="684" t="s">
        <v>1242</v>
      </c>
      <c r="C24" s="683"/>
      <c r="D24" s="685" t="s">
        <v>884</v>
      </c>
      <c r="E24" s="27"/>
      <c r="F24" s="27"/>
    </row>
    <row r="25" spans="1:6" ht="15">
      <c r="A25" s="683"/>
      <c r="B25" s="684" t="s">
        <v>1253</v>
      </c>
      <c r="C25" s="683"/>
      <c r="D25" s="685" t="s">
        <v>940</v>
      </c>
      <c r="E25" s="27"/>
      <c r="F25" s="27"/>
    </row>
    <row r="26" spans="1:6" ht="15">
      <c r="A26" s="683"/>
      <c r="B26" s="684" t="s">
        <v>1255</v>
      </c>
      <c r="C26" s="683"/>
      <c r="D26" s="685" t="s">
        <v>941</v>
      </c>
      <c r="E26" s="27"/>
      <c r="F26" s="27"/>
    </row>
    <row r="27" spans="1:6" ht="15">
      <c r="A27" s="683"/>
      <c r="B27" s="684" t="s">
        <v>1260</v>
      </c>
      <c r="C27" s="677"/>
      <c r="D27" s="685" t="s">
        <v>911</v>
      </c>
      <c r="E27" s="27"/>
      <c r="F27" s="27"/>
    </row>
    <row r="28" spans="1:6" ht="15">
      <c r="A28" s="683"/>
      <c r="B28" s="684" t="s">
        <v>1254</v>
      </c>
      <c r="C28" s="677"/>
      <c r="D28" s="685" t="s">
        <v>987</v>
      </c>
      <c r="E28" s="27"/>
      <c r="F28" s="27"/>
    </row>
    <row r="29" spans="1:6" ht="15">
      <c r="A29" s="683"/>
      <c r="B29" s="684" t="s">
        <v>1257</v>
      </c>
      <c r="C29" s="677"/>
      <c r="D29" s="685" t="s">
        <v>418</v>
      </c>
      <c r="E29" s="27"/>
      <c r="F29" s="27"/>
    </row>
    <row r="30" spans="1:6" ht="15">
      <c r="A30" s="683"/>
      <c r="B30" s="684" t="s">
        <v>1258</v>
      </c>
      <c r="C30" s="677"/>
      <c r="D30" s="685" t="s">
        <v>428</v>
      </c>
      <c r="E30" s="27"/>
      <c r="F30" s="27"/>
    </row>
    <row r="31" spans="1:6" ht="15">
      <c r="A31" s="683"/>
      <c r="B31" s="684" t="s">
        <v>1256</v>
      </c>
      <c r="C31" s="677"/>
      <c r="D31" s="685" t="s">
        <v>942</v>
      </c>
      <c r="E31" s="27"/>
      <c r="F31" s="27"/>
    </row>
    <row r="32" spans="1:6" ht="15">
      <c r="A32" s="683"/>
      <c r="B32" s="684" t="s">
        <v>1245</v>
      </c>
      <c r="C32" s="683"/>
      <c r="D32" s="685" t="s">
        <v>319</v>
      </c>
      <c r="E32" s="27"/>
      <c r="F32" s="27"/>
    </row>
    <row r="33" spans="1:6" ht="15">
      <c r="A33" s="683"/>
      <c r="B33" s="684" t="s">
        <v>1239</v>
      </c>
      <c r="C33" s="683"/>
      <c r="D33" s="685" t="s">
        <v>885</v>
      </c>
      <c r="E33" s="27"/>
      <c r="F33" s="27"/>
    </row>
    <row r="34" spans="1:6" ht="15">
      <c r="A34" s="683"/>
      <c r="B34" s="684" t="s">
        <v>1238</v>
      </c>
      <c r="C34" s="683"/>
      <c r="D34" s="685" t="s">
        <v>888</v>
      </c>
      <c r="E34" s="27"/>
      <c r="F34" s="27"/>
    </row>
    <row r="35" spans="1:6" ht="15">
      <c r="A35" s="683"/>
      <c r="B35" s="684" t="s">
        <v>1251</v>
      </c>
      <c r="C35" s="683"/>
      <c r="D35" s="685" t="s">
        <v>746</v>
      </c>
      <c r="E35" s="27"/>
      <c r="F35" s="27"/>
    </row>
    <row r="36" spans="1:6" ht="15">
      <c r="A36" s="683"/>
      <c r="B36" s="684" t="s">
        <v>1249</v>
      </c>
      <c r="C36" s="683"/>
      <c r="D36" s="685" t="s">
        <v>354</v>
      </c>
      <c r="E36" s="27"/>
      <c r="F36" s="27"/>
    </row>
    <row r="37" spans="1:6" ht="15">
      <c r="A37" s="683"/>
      <c r="B37" s="684" t="s">
        <v>1247</v>
      </c>
      <c r="C37" s="683"/>
      <c r="D37" s="685" t="s">
        <v>455</v>
      </c>
      <c r="E37" s="27"/>
      <c r="F37" s="27"/>
    </row>
    <row r="38" spans="1:6" ht="15">
      <c r="A38" s="683"/>
      <c r="B38" s="684" t="s">
        <v>1248</v>
      </c>
      <c r="C38" s="683"/>
      <c r="D38" s="685" t="s">
        <v>314</v>
      </c>
      <c r="E38" s="27"/>
      <c r="F38" s="27"/>
    </row>
    <row r="39" spans="1:6" ht="15">
      <c r="A39" s="677"/>
      <c r="B39" s="684" t="s">
        <v>1246</v>
      </c>
      <c r="C39" s="683"/>
      <c r="D39" s="685" t="s">
        <v>1274</v>
      </c>
      <c r="E39" s="27"/>
      <c r="F39" s="27"/>
    </row>
    <row r="40" spans="1:6" ht="15">
      <c r="A40" s="677"/>
      <c r="B40" s="684" t="s">
        <v>1259</v>
      </c>
      <c r="C40" s="677"/>
      <c r="D40" s="685" t="s">
        <v>855</v>
      </c>
      <c r="E40" s="27"/>
      <c r="F40" s="27"/>
    </row>
    <row r="41" spans="1:6" ht="15">
      <c r="A41" s="677"/>
      <c r="B41" s="684" t="s">
        <v>1250</v>
      </c>
      <c r="C41" s="683"/>
      <c r="D41" s="685" t="s">
        <v>355</v>
      </c>
      <c r="E41" s="27"/>
      <c r="F41" s="27"/>
    </row>
    <row r="42" spans="1:6" ht="15">
      <c r="A42" s="677"/>
      <c r="B42" s="684" t="s">
        <v>1252</v>
      </c>
      <c r="C42" s="683"/>
      <c r="D42" s="685" t="s">
        <v>346</v>
      </c>
      <c r="E42" s="27"/>
      <c r="F42" s="27"/>
    </row>
    <row r="43" spans="1:6" ht="15">
      <c r="A43" s="683"/>
      <c r="B43" s="684" t="s">
        <v>1244</v>
      </c>
      <c r="C43" s="683"/>
      <c r="D43" s="685" t="s">
        <v>353</v>
      </c>
      <c r="E43" s="27"/>
      <c r="F43" s="27"/>
    </row>
    <row r="44" spans="1:6" ht="15">
      <c r="A44" s="677"/>
      <c r="B44" s="684" t="s">
        <v>1286</v>
      </c>
      <c r="C44" s="683"/>
      <c r="D44" s="685" t="s">
        <v>352</v>
      </c>
      <c r="E44" s="27"/>
      <c r="F44" s="27"/>
    </row>
    <row r="45" spans="1:6" ht="15">
      <c r="A45" s="677"/>
      <c r="B45" s="684" t="s">
        <v>1243</v>
      </c>
      <c r="C45" s="683"/>
      <c r="D45" s="685" t="s">
        <v>318</v>
      </c>
      <c r="E45" s="27"/>
      <c r="F45" s="27"/>
    </row>
    <row r="46" spans="1:6" ht="15">
      <c r="A46" s="683"/>
      <c r="B46" s="684" t="s">
        <v>1240</v>
      </c>
      <c r="C46" s="683"/>
      <c r="D46" s="685" t="s">
        <v>1281</v>
      </c>
      <c r="E46" s="27"/>
      <c r="F46" s="27"/>
    </row>
    <row r="47" spans="1:6" ht="15">
      <c r="A47" s="683"/>
      <c r="B47" s="684" t="s">
        <v>1275</v>
      </c>
      <c r="C47" s="683"/>
      <c r="D47" s="685" t="s">
        <v>1282</v>
      </c>
      <c r="E47" s="27"/>
      <c r="F47" s="27"/>
    </row>
    <row r="48" spans="1:6" ht="15">
      <c r="A48" s="683"/>
      <c r="B48" s="684" t="s">
        <v>1276</v>
      </c>
      <c r="C48" s="683"/>
      <c r="D48" s="685" t="s">
        <v>1283</v>
      </c>
      <c r="E48" s="27"/>
      <c r="F48" s="27"/>
    </row>
    <row r="49" spans="1:6" ht="15">
      <c r="A49" s="677"/>
      <c r="B49" s="684" t="s">
        <v>1261</v>
      </c>
      <c r="C49" s="677"/>
      <c r="D49" s="685" t="s">
        <v>1036</v>
      </c>
      <c r="E49" s="27"/>
      <c r="F49" s="27"/>
    </row>
  </sheetData>
  <sheetProtection/>
  <mergeCells count="3">
    <mergeCell ref="B4:D4"/>
    <mergeCell ref="B5:D5"/>
    <mergeCell ref="B6:D6"/>
  </mergeCells>
  <hyperlinks>
    <hyperlink ref="B11" location="SUMMARY!A1" display="Cost-of-Service Summary"/>
    <hyperlink ref="B12" location="'A1-O&amp;M'!A1" display="Schedule A"/>
    <hyperlink ref="B13" location="'A2-A&amp;G'!A1" display="Schedule A2"/>
    <hyperlink ref="B14" location="'B1-Depn'!A1" display="Schedule B1"/>
    <hyperlink ref="B17" location="'C1-Rate Base'!A1" display="Schedule C1"/>
    <hyperlink ref="B18" location="'D1-Cap Structure'!A1" display="Schedule D1"/>
    <hyperlink ref="B19" location="'E1-Labor Ratio'!A1" display="Schedule E1"/>
    <hyperlink ref="B15" location="'B2-Plant'!A1" display="Schedule B2"/>
    <hyperlink ref="B20" location="'F1-Proj RR'!A1" display="Schedule F1"/>
    <hyperlink ref="B21" location="'F2-Incentives'!A1" display="Schedule F2"/>
    <hyperlink ref="B22" location="'F3-True-Up'!A1" display="Schedule F3"/>
    <hyperlink ref="B16" location="'B3-Depn Rates'!A1" display="Schedule B3"/>
    <hyperlink ref="B33" location="'WP-BB'!A1" display="Work Paper-BB"/>
    <hyperlink ref="B34" location="'WP-BC'!A1" display="Work Paper-BC"/>
    <hyperlink ref="B46" location="'WP-AR-IS'!A1" display="Work Paper-AR-IS"/>
    <hyperlink ref="B47" location="'WP-AR-BS'!A1" display="Work Paper-AR-BS"/>
    <hyperlink ref="B48" location="'WP-AR-Cap Assets'!A1" display="Work Paper-AR-Cap Assets"/>
    <hyperlink ref="B23" location="'WP-AA'!A1" display="Work Paper-AA"/>
    <hyperlink ref="B24" location="'WP-AB'!A1" display="Work Paper-AB"/>
    <hyperlink ref="B45" location="'WP-EA'!A1" display="Work Paper-EA"/>
    <hyperlink ref="B44" location="'WP-DB'!A1" display="Work Paper-D1"/>
    <hyperlink ref="B43" location="'WP-DA'!A1" display="Work Paper-DA"/>
    <hyperlink ref="B32" location="'WP-BA'!A1" display="Work Paper-BA"/>
    <hyperlink ref="B39" location="'WP-BH'!A1" display="Work Paper-BH"/>
    <hyperlink ref="B37" location="'WP-BF'!A1" display="Work Paper-BF"/>
    <hyperlink ref="B38" location="'WP-BG'!A1" display="Work Paper-BG"/>
    <hyperlink ref="B36" location="'WP-BE'!A1" display="Work Paper-BE"/>
    <hyperlink ref="B41" location="'WP-CA'!A1" display="Work Paper-CA"/>
    <hyperlink ref="B35" location="'WP-BD'!A1" display="Work Paper-BD"/>
    <hyperlink ref="B42" location="'WP-CB'!A1" display="Work Paper-CB"/>
    <hyperlink ref="B26" location="'WP-AD'!A1" display="Work Paper-AD"/>
    <hyperlink ref="B29" location="'WP-AG'!A1" display="Work Paper-AG"/>
    <hyperlink ref="B40" location="'WP-BI'!A1" display="Work Paper-BI"/>
    <hyperlink ref="B25" location="'WP-AC'!A1" display="Work Paper-AC"/>
    <hyperlink ref="B31" location="'WP-AI'!A1" display="Work Paper-AI"/>
    <hyperlink ref="B30" location="'WP-AH'!A1" display="Work Paper-AH"/>
    <hyperlink ref="B28" location="'WP-AF'!A1" display="Work Paper-AF"/>
    <hyperlink ref="B27" location="'WP-AE'!A1" display="Work Paper-AE"/>
    <hyperlink ref="B49" location="'WP-Reconciliations'!A1" display="Work Paper-Reconciliations "/>
  </hyperlinks>
  <printOptions/>
  <pageMargins left="0.7" right="0.7" top="0.75" bottom="0.75" header="0.3" footer="0.3"/>
  <pageSetup fitToHeight="1"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sheetPr transitionEvaluation="1">
    <tabColor rgb="FFFFFF00"/>
    <pageSetUpPr fitToPage="1"/>
  </sheetPr>
  <dimension ref="A1:L26"/>
  <sheetViews>
    <sheetView showGridLines="0" defaultGridColor="0" view="pageBreakPreview" zoomScaleSheetLayoutView="100" zoomScalePageLayoutView="0" colorId="22" workbookViewId="0" topLeftCell="C1">
      <selection activeCell="B28" sqref="B28"/>
    </sheetView>
  </sheetViews>
  <sheetFormatPr defaultColWidth="9.625" defaultRowHeight="12.75"/>
  <cols>
    <col min="1" max="1" width="10.50390625" style="13" customWidth="1"/>
    <col min="2" max="2" width="19.50390625" style="13" customWidth="1"/>
    <col min="3" max="3" width="4.00390625" style="13" customWidth="1"/>
    <col min="4" max="4" width="17.375" style="13" customWidth="1"/>
    <col min="5" max="5" width="9.625" style="13" customWidth="1"/>
    <col min="6" max="6" width="23.50390625" style="13" customWidth="1"/>
    <col min="7" max="7" width="11.75390625" style="13" customWidth="1"/>
    <col min="8" max="8" width="19.00390625" style="13" customWidth="1"/>
    <col min="9" max="9" width="7.50390625" style="13" customWidth="1"/>
    <col min="10" max="10" width="20.125" style="13" customWidth="1"/>
    <col min="11" max="11" width="2.375" style="13" customWidth="1"/>
    <col min="12" max="12" width="11.125" style="13" bestFit="1" customWidth="1"/>
    <col min="13" max="16384" width="9.625" style="13" customWidth="1"/>
  </cols>
  <sheetData>
    <row r="1" spans="1:12" s="17" customFormat="1" ht="21">
      <c r="A1" s="690" t="s">
        <v>1112</v>
      </c>
      <c r="B1" s="105"/>
      <c r="L1" s="168"/>
    </row>
    <row r="2" spans="3:9" ht="15">
      <c r="C2" s="20"/>
      <c r="D2" s="20"/>
      <c r="E2" s="20"/>
      <c r="F2" s="20"/>
      <c r="G2" s="20"/>
      <c r="H2" s="20"/>
      <c r="I2" s="20"/>
    </row>
    <row r="3" spans="1:11" ht="15">
      <c r="A3" s="20"/>
      <c r="C3" s="20"/>
      <c r="D3" s="20"/>
      <c r="E3" s="20"/>
      <c r="F3" s="20"/>
      <c r="G3" s="20"/>
      <c r="H3" s="20"/>
      <c r="I3" s="20"/>
      <c r="J3" s="20"/>
      <c r="K3" s="20"/>
    </row>
    <row r="5" spans="1:11" ht="15">
      <c r="A5" s="20"/>
      <c r="B5" s="20"/>
      <c r="C5" s="20"/>
      <c r="D5" s="20"/>
      <c r="F5" s="20"/>
      <c r="G5" s="20"/>
      <c r="H5" s="20"/>
      <c r="I5" s="20"/>
      <c r="J5" s="20"/>
      <c r="K5" s="20"/>
    </row>
    <row r="6" spans="1:12" ht="15">
      <c r="A6" s="319" t="s">
        <v>227</v>
      </c>
      <c r="B6" s="319"/>
      <c r="C6" s="319"/>
      <c r="D6" s="319"/>
      <c r="E6" s="319"/>
      <c r="F6" s="319"/>
      <c r="G6" s="319"/>
      <c r="H6" s="319"/>
      <c r="I6" s="319"/>
      <c r="J6" s="319"/>
      <c r="K6" s="319"/>
      <c r="L6" s="319"/>
    </row>
    <row r="7" spans="1:12" ht="15">
      <c r="A7" s="319" t="s">
        <v>111</v>
      </c>
      <c r="B7" s="319"/>
      <c r="C7" s="319"/>
      <c r="D7" s="319"/>
      <c r="E7" s="319"/>
      <c r="F7" s="319"/>
      <c r="G7" s="319"/>
      <c r="H7" s="319"/>
      <c r="I7" s="319"/>
      <c r="J7" s="319"/>
      <c r="K7" s="319"/>
      <c r="L7" s="319"/>
    </row>
    <row r="8" spans="1:12" ht="15">
      <c r="A8" s="1528" t="s">
        <v>1377</v>
      </c>
      <c r="B8" s="1528"/>
      <c r="C8" s="1528"/>
      <c r="D8" s="1528"/>
      <c r="E8" s="1528"/>
      <c r="F8" s="1528"/>
      <c r="G8" s="1528"/>
      <c r="H8" s="1528"/>
      <c r="I8" s="1528"/>
      <c r="J8" s="1528"/>
      <c r="K8" s="1528"/>
      <c r="L8" s="1528"/>
    </row>
    <row r="9" spans="1:12" ht="12">
      <c r="A9" s="320"/>
      <c r="B9" s="320"/>
      <c r="C9" s="320"/>
      <c r="D9" s="320"/>
      <c r="E9" s="320"/>
      <c r="F9" s="320"/>
      <c r="G9" s="320"/>
      <c r="H9" s="320"/>
      <c r="I9" s="320"/>
      <c r="J9" s="320"/>
      <c r="K9" s="320"/>
      <c r="L9" s="320"/>
    </row>
    <row r="10" spans="1:12" ht="15">
      <c r="A10" s="321" t="s">
        <v>1313</v>
      </c>
      <c r="B10" s="321"/>
      <c r="C10" s="321"/>
      <c r="D10" s="321"/>
      <c r="E10" s="321"/>
      <c r="F10" s="321"/>
      <c r="G10" s="321"/>
      <c r="H10" s="321"/>
      <c r="I10" s="321"/>
      <c r="J10" s="321"/>
      <c r="K10" s="321"/>
      <c r="L10" s="321"/>
    </row>
    <row r="11" spans="1:12" ht="15">
      <c r="A11" s="319" t="s">
        <v>1312</v>
      </c>
      <c r="B11" s="319"/>
      <c r="C11" s="319"/>
      <c r="D11" s="319"/>
      <c r="E11" s="319"/>
      <c r="F11" s="319"/>
      <c r="G11" s="319"/>
      <c r="H11" s="319"/>
      <c r="I11" s="319"/>
      <c r="J11" s="319"/>
      <c r="K11" s="319"/>
      <c r="L11" s="319"/>
    </row>
    <row r="12" s="27" customFormat="1" ht="12.75"/>
    <row r="13" s="27" customFormat="1" ht="12.75"/>
    <row r="14" spans="1:12" s="27" customFormat="1" ht="15">
      <c r="A14" s="21"/>
      <c r="B14" s="21"/>
      <c r="C14" s="21"/>
      <c r="D14" s="21"/>
      <c r="E14" s="21"/>
      <c r="F14" s="21"/>
      <c r="G14" s="21"/>
      <c r="H14" s="831"/>
      <c r="I14" s="21"/>
      <c r="J14" s="21"/>
      <c r="K14" s="21"/>
      <c r="L14" s="1043"/>
    </row>
    <row r="15" spans="1:12" s="27" customFormat="1" ht="15">
      <c r="A15" s="831" t="s">
        <v>59</v>
      </c>
      <c r="B15" s="21"/>
      <c r="C15" s="21"/>
      <c r="D15" s="831" t="s">
        <v>974</v>
      </c>
      <c r="E15" s="21"/>
      <c r="F15" s="21"/>
      <c r="G15" s="21"/>
      <c r="H15" s="831" t="s">
        <v>25</v>
      </c>
      <c r="I15" s="21"/>
      <c r="J15" s="831" t="s">
        <v>1310</v>
      </c>
      <c r="K15" s="1043"/>
      <c r="L15" s="1043"/>
    </row>
    <row r="16" spans="1:12" s="27" customFormat="1" ht="15">
      <c r="A16" s="985" t="s">
        <v>60</v>
      </c>
      <c r="B16" s="985" t="s">
        <v>61</v>
      </c>
      <c r="C16" s="21"/>
      <c r="D16" s="1140" t="s">
        <v>1266</v>
      </c>
      <c r="E16" s="21"/>
      <c r="F16" s="985" t="s">
        <v>62</v>
      </c>
      <c r="G16" s="21"/>
      <c r="H16" s="985" t="s">
        <v>26</v>
      </c>
      <c r="I16" s="21"/>
      <c r="J16" s="1140" t="s">
        <v>1311</v>
      </c>
      <c r="K16" s="1043"/>
      <c r="L16" s="1043"/>
    </row>
    <row r="17" spans="1:12" s="27" customFormat="1" ht="15">
      <c r="A17" s="21"/>
      <c r="B17" s="21"/>
      <c r="C17" s="21"/>
      <c r="D17" s="831" t="s">
        <v>6</v>
      </c>
      <c r="E17" s="21"/>
      <c r="F17" s="831" t="s">
        <v>7</v>
      </c>
      <c r="G17" s="21"/>
      <c r="H17" s="831" t="s">
        <v>8</v>
      </c>
      <c r="I17" s="21"/>
      <c r="J17" s="831" t="s">
        <v>9</v>
      </c>
      <c r="K17" s="1043"/>
      <c r="L17" s="1043"/>
    </row>
    <row r="18" s="27" customFormat="1" ht="12.75"/>
    <row r="19" spans="1:10" s="27" customFormat="1" ht="15">
      <c r="A19" s="831">
        <v>1</v>
      </c>
      <c r="B19" s="20" t="s">
        <v>54</v>
      </c>
      <c r="C19" s="20"/>
      <c r="D19" s="1150">
        <f>'WP-EA'!F36</f>
        <v>98115379.43215601</v>
      </c>
      <c r="E19" s="1011"/>
      <c r="F19" s="1384">
        <f>D19/D23</f>
        <v>0.7239016766092345</v>
      </c>
      <c r="G19" s="1011"/>
      <c r="H19" s="20"/>
      <c r="I19" s="20"/>
      <c r="J19" s="20"/>
    </row>
    <row r="20" spans="1:10" s="27" customFormat="1" ht="15">
      <c r="A20" s="831"/>
      <c r="B20" s="20"/>
      <c r="C20" s="20"/>
      <c r="D20" s="1150"/>
      <c r="E20" s="1011"/>
      <c r="F20" s="1384"/>
      <c r="G20" s="1011"/>
      <c r="H20" s="20"/>
      <c r="I20" s="20"/>
      <c r="J20" s="20"/>
    </row>
    <row r="21" spans="1:10" s="27" customFormat="1" ht="15">
      <c r="A21" s="831">
        <f>A19+1</f>
        <v>2</v>
      </c>
      <c r="B21" s="20" t="s">
        <v>26</v>
      </c>
      <c r="C21" s="20"/>
      <c r="D21" s="1397">
        <f>'WP-EA'!F28</f>
        <v>37421507.14024399</v>
      </c>
      <c r="E21" s="1398"/>
      <c r="F21" s="1399">
        <f>D21/D23</f>
        <v>0.27609832339076545</v>
      </c>
      <c r="G21" s="1011"/>
      <c r="H21" s="1151">
        <f>F21</f>
        <v>0.27609832339076545</v>
      </c>
      <c r="I21" s="20"/>
      <c r="J21" s="20" t="s">
        <v>351</v>
      </c>
    </row>
    <row r="22" spans="1:10" s="27" customFormat="1" ht="15">
      <c r="A22" s="831"/>
      <c r="B22" s="20"/>
      <c r="C22" s="20"/>
      <c r="D22" s="1152"/>
      <c r="E22" s="1011"/>
      <c r="F22" s="1384"/>
      <c r="G22" s="1011"/>
      <c r="H22" s="1153"/>
      <c r="I22" s="20"/>
      <c r="J22" s="20"/>
    </row>
    <row r="23" spans="1:10" s="27" customFormat="1" ht="15">
      <c r="A23" s="831">
        <f>A21+1</f>
        <v>3</v>
      </c>
      <c r="B23" s="14" t="s">
        <v>63</v>
      </c>
      <c r="C23" s="14"/>
      <c r="D23" s="1154">
        <f>'WP-EA'!F34</f>
        <v>135536886.5724</v>
      </c>
      <c r="E23" s="1011"/>
      <c r="F23" s="1384">
        <f>D23/D23</f>
        <v>1</v>
      </c>
      <c r="G23" s="1011"/>
      <c r="H23" s="1144"/>
      <c r="I23" s="20"/>
      <c r="J23" s="20"/>
    </row>
    <row r="24" spans="1:10" s="63" customFormat="1" ht="15">
      <c r="A24" s="139"/>
      <c r="B24" s="138"/>
      <c r="C24" s="138"/>
      <c r="D24" s="144"/>
      <c r="E24" s="149"/>
      <c r="F24" s="149"/>
      <c r="G24" s="149"/>
      <c r="H24" s="147"/>
      <c r="I24" s="138"/>
      <c r="J24" s="138"/>
    </row>
    <row r="25" spans="1:10" s="63" customFormat="1" ht="15">
      <c r="A25" s="139"/>
      <c r="B25" s="142"/>
      <c r="C25" s="138"/>
      <c r="D25" s="141"/>
      <c r="E25" s="138"/>
      <c r="F25" s="150"/>
      <c r="G25" s="138"/>
      <c r="H25" s="164"/>
      <c r="I25" s="138"/>
      <c r="J25" s="138"/>
    </row>
    <row r="26" s="63" customFormat="1" ht="15">
      <c r="A26" s="139"/>
    </row>
    <row r="27" s="63" customFormat="1" ht="13.5"/>
    <row r="28" s="63" customFormat="1" ht="13.5"/>
  </sheetData>
  <sheetProtection/>
  <mergeCells count="1">
    <mergeCell ref="A8:L8"/>
  </mergeCells>
  <printOptions horizontalCentered="1"/>
  <pageMargins left="0.5" right="0.5" top="0.25" bottom="0.25" header="0.75" footer="0.75"/>
  <pageSetup fitToHeight="1" fitToWidth="1" horizontalDpi="600" verticalDpi="600" orientation="landscape" scale="83" r:id="rId2"/>
  <rowBreaks count="1" manualBreakCount="1">
    <brk id="33" max="255" man="1"/>
  </rowBreaks>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W92"/>
  <sheetViews>
    <sheetView view="pageBreakPreview" zoomScaleNormal="80" zoomScaleSheetLayoutView="100" zoomScalePageLayoutView="0" workbookViewId="0" topLeftCell="G1">
      <selection activeCell="B28" sqref="B28"/>
    </sheetView>
  </sheetViews>
  <sheetFormatPr defaultColWidth="10.00390625" defaultRowHeight="12.75"/>
  <cols>
    <col min="1" max="1" width="6.75390625" style="221" customWidth="1"/>
    <col min="2" max="2" width="1.625" style="221" customWidth="1"/>
    <col min="3" max="3" width="34.375" style="221" customWidth="1"/>
    <col min="4" max="4" width="8.75390625" style="221" customWidth="1"/>
    <col min="5" max="5" width="16.625" style="221" bestFit="1" customWidth="1"/>
    <col min="6" max="6" width="23.50390625" style="221" customWidth="1"/>
    <col min="7" max="7" width="19.625" style="221" customWidth="1"/>
    <col min="8" max="8" width="15.00390625" style="221" customWidth="1"/>
    <col min="9" max="9" width="15.50390625" style="221" customWidth="1"/>
    <col min="10" max="10" width="14.625" style="221" customWidth="1"/>
    <col min="11" max="11" width="19.25390625" style="221" bestFit="1" customWidth="1"/>
    <col min="12" max="12" width="13.875" style="221" customWidth="1"/>
    <col min="13" max="13" width="13.625" style="221" customWidth="1"/>
    <col min="14" max="14" width="10.75390625" style="221" customWidth="1"/>
    <col min="15" max="15" width="16.25390625" style="221" customWidth="1"/>
    <col min="16" max="16" width="14.375" style="221" customWidth="1"/>
    <col min="17" max="17" width="14.875" style="221" customWidth="1"/>
    <col min="18" max="18" width="13.625" style="221" customWidth="1"/>
    <col min="19" max="19" width="11.125" style="221" customWidth="1"/>
    <col min="20" max="20" width="13.625" style="221" customWidth="1"/>
    <col min="21" max="21" width="12.75390625" style="221" customWidth="1"/>
    <col min="22" max="22" width="11.50390625" style="221" customWidth="1"/>
    <col min="23" max="23" width="12.625" style="221" customWidth="1"/>
    <col min="24" max="16384" width="10.00390625" style="221" customWidth="1"/>
  </cols>
  <sheetData>
    <row r="1" spans="1:17" ht="15">
      <c r="A1" s="14" t="s">
        <v>1114</v>
      </c>
      <c r="Q1" s="222"/>
    </row>
    <row r="2" spans="17:18" ht="15">
      <c r="Q2" s="222"/>
      <c r="R2" s="828" t="s">
        <v>747</v>
      </c>
    </row>
    <row r="3" spans="4:12" ht="15">
      <c r="D3" s="265"/>
      <c r="E3" s="265"/>
      <c r="F3" s="265"/>
      <c r="G3" s="265"/>
      <c r="H3" s="265"/>
      <c r="I3" s="265"/>
      <c r="J3" s="265"/>
      <c r="K3" s="265"/>
      <c r="L3" s="265"/>
    </row>
    <row r="4" spans="1:18" ht="15">
      <c r="A4" s="1546" t="s">
        <v>1064</v>
      </c>
      <c r="B4" s="1546"/>
      <c r="C4" s="1546"/>
      <c r="D4" s="1546"/>
      <c r="E4" s="1546"/>
      <c r="F4" s="1546"/>
      <c r="G4" s="1546"/>
      <c r="H4" s="1546"/>
      <c r="I4" s="1546"/>
      <c r="J4" s="1546"/>
      <c r="K4" s="1546"/>
      <c r="L4" s="1546"/>
      <c r="M4" s="1546"/>
      <c r="N4" s="1546"/>
      <c r="O4" s="1546"/>
      <c r="P4" s="1546"/>
      <c r="Q4" s="1546"/>
      <c r="R4" s="1546"/>
    </row>
    <row r="5" spans="1:21" ht="15">
      <c r="A5" s="1546" t="s">
        <v>601</v>
      </c>
      <c r="B5" s="1546"/>
      <c r="C5" s="1546"/>
      <c r="D5" s="1546"/>
      <c r="E5" s="1546"/>
      <c r="F5" s="1546"/>
      <c r="G5" s="1546"/>
      <c r="H5" s="1546"/>
      <c r="I5" s="1546"/>
      <c r="J5" s="1546"/>
      <c r="K5" s="1546"/>
      <c r="L5" s="1546"/>
      <c r="M5" s="1546"/>
      <c r="N5" s="1546"/>
      <c r="O5" s="1546"/>
      <c r="P5" s="1546"/>
      <c r="Q5" s="1546"/>
      <c r="R5" s="1546"/>
      <c r="S5" s="226"/>
      <c r="T5" s="226"/>
      <c r="U5" s="225"/>
    </row>
    <row r="6" spans="1:21" ht="15">
      <c r="A6" s="1547" t="str">
        <f>+SUMMARY!A5</f>
        <v>NEW YORK POWER AUTHORITY</v>
      </c>
      <c r="B6" s="1547"/>
      <c r="C6" s="1547"/>
      <c r="D6" s="1547"/>
      <c r="E6" s="1547"/>
      <c r="F6" s="1547"/>
      <c r="G6" s="1547"/>
      <c r="H6" s="1547"/>
      <c r="I6" s="1547"/>
      <c r="J6" s="1547"/>
      <c r="K6" s="1547"/>
      <c r="L6" s="1547"/>
      <c r="M6" s="1547"/>
      <c r="N6" s="1547"/>
      <c r="O6" s="1547"/>
      <c r="P6" s="1547"/>
      <c r="Q6" s="1547"/>
      <c r="R6" s="1547"/>
      <c r="S6" s="228"/>
      <c r="T6" s="226"/>
      <c r="U6" s="225"/>
    </row>
    <row r="7" spans="1:21" ht="17.25" customHeight="1">
      <c r="A7" s="1548" t="str">
        <f>SUMMARY!A7</f>
        <v>YEAR ENDING DECEMBER 31, 2015</v>
      </c>
      <c r="B7" s="1548"/>
      <c r="C7" s="1548"/>
      <c r="D7" s="1548"/>
      <c r="E7" s="1548"/>
      <c r="F7" s="1548"/>
      <c r="G7" s="1548"/>
      <c r="H7" s="1548"/>
      <c r="I7" s="1548"/>
      <c r="J7" s="1548"/>
      <c r="K7" s="1548"/>
      <c r="L7" s="1548"/>
      <c r="M7" s="1548"/>
      <c r="N7" s="1548"/>
      <c r="O7" s="1548"/>
      <c r="P7" s="1548"/>
      <c r="Q7" s="1548"/>
      <c r="R7" s="1548"/>
      <c r="S7" s="226"/>
      <c r="T7" s="226"/>
      <c r="U7" s="225"/>
    </row>
    <row r="8" spans="1:21" ht="15">
      <c r="A8" s="223"/>
      <c r="C8" s="225"/>
      <c r="D8" s="266"/>
      <c r="E8" s="266"/>
      <c r="F8" s="266"/>
      <c r="G8" s="265"/>
      <c r="H8" s="266"/>
      <c r="I8" s="266"/>
      <c r="J8" s="266"/>
      <c r="K8" s="266"/>
      <c r="L8" s="266"/>
      <c r="M8" s="225"/>
      <c r="N8" s="225"/>
      <c r="O8" s="225"/>
      <c r="P8" s="225"/>
      <c r="Q8" s="225"/>
      <c r="R8" s="225"/>
      <c r="S8" s="226"/>
      <c r="T8" s="226"/>
      <c r="U8" s="225"/>
    </row>
    <row r="9" spans="1:21" ht="12.75">
      <c r="A9" s="223"/>
      <c r="C9" s="225"/>
      <c r="D9" s="225"/>
      <c r="E9" s="225"/>
      <c r="F9" s="225"/>
      <c r="G9" s="229"/>
      <c r="H9" s="225"/>
      <c r="I9" s="225"/>
      <c r="J9" s="225"/>
      <c r="K9" s="225"/>
      <c r="L9" s="225"/>
      <c r="M9" s="225"/>
      <c r="N9" s="225"/>
      <c r="O9" s="225"/>
      <c r="P9" s="225"/>
      <c r="Q9" s="225"/>
      <c r="R9" s="225"/>
      <c r="S9" s="226"/>
      <c r="T9" s="226"/>
      <c r="U9" s="225"/>
    </row>
    <row r="10" spans="1:21" ht="15">
      <c r="A10" s="261"/>
      <c r="B10" s="262"/>
      <c r="C10" s="263"/>
      <c r="D10" s="263"/>
      <c r="E10" s="263"/>
      <c r="F10" s="263"/>
      <c r="G10" s="263"/>
      <c r="H10" s="263"/>
      <c r="I10" s="263"/>
      <c r="J10" s="264"/>
      <c r="K10" s="264"/>
      <c r="L10" s="263"/>
      <c r="M10" s="263"/>
      <c r="N10" s="263"/>
      <c r="O10" s="263"/>
      <c r="P10" s="263"/>
      <c r="Q10" s="225"/>
      <c r="R10" s="225"/>
      <c r="S10" s="226"/>
      <c r="T10" s="226"/>
      <c r="U10" s="225"/>
    </row>
    <row r="11" spans="1:21" s="1158" customFormat="1" ht="15">
      <c r="A11" s="1155"/>
      <c r="B11" s="828"/>
      <c r="C11" s="231"/>
      <c r="D11" s="231"/>
      <c r="E11" s="231"/>
      <c r="F11" s="231"/>
      <c r="G11" s="231"/>
      <c r="H11" s="231"/>
      <c r="I11" s="231"/>
      <c r="J11" s="1156"/>
      <c r="K11" s="1156"/>
      <c r="L11" s="828"/>
      <c r="M11" s="231"/>
      <c r="N11" s="231"/>
      <c r="O11" s="231"/>
      <c r="P11" s="231"/>
      <c r="Q11" s="1157"/>
      <c r="R11" s="1157"/>
      <c r="S11" s="1157"/>
      <c r="T11" s="1157"/>
      <c r="U11" s="1157"/>
    </row>
    <row r="12" spans="1:21" s="1158" customFormat="1" ht="15">
      <c r="A12" s="1155"/>
      <c r="B12" s="828"/>
      <c r="C12" s="231"/>
      <c r="D12" s="231"/>
      <c r="E12" s="231"/>
      <c r="F12" s="231"/>
      <c r="G12" s="231"/>
      <c r="H12" s="231"/>
      <c r="I12" s="231"/>
      <c r="J12" s="231"/>
      <c r="K12" s="231"/>
      <c r="L12" s="828"/>
      <c r="M12" s="1159"/>
      <c r="N12" s="1159"/>
      <c r="O12" s="1159"/>
      <c r="P12" s="231"/>
      <c r="Q12" s="1157"/>
      <c r="R12" s="1157"/>
      <c r="S12" s="1157"/>
      <c r="T12" s="1157"/>
      <c r="U12" s="1157"/>
    </row>
    <row r="13" spans="1:21" s="1158" customFormat="1" ht="15">
      <c r="A13" s="833" t="s">
        <v>602</v>
      </c>
      <c r="B13" s="828"/>
      <c r="C13" s="687"/>
      <c r="D13" s="687"/>
      <c r="E13" s="687"/>
      <c r="F13" s="687"/>
      <c r="G13" s="833"/>
      <c r="H13" s="828"/>
      <c r="I13" s="833"/>
      <c r="J13" s="1160"/>
      <c r="K13" s="1160"/>
      <c r="L13" s="828"/>
      <c r="M13" s="828"/>
      <c r="N13" s="828"/>
      <c r="O13" s="828"/>
      <c r="P13" s="1160"/>
      <c r="R13" s="1161"/>
      <c r="S13" s="1162"/>
      <c r="T13" s="1162"/>
      <c r="U13" s="1163"/>
    </row>
    <row r="14" spans="1:21" s="1158" customFormat="1" ht="15">
      <c r="A14" s="1164" t="s">
        <v>60</v>
      </c>
      <c r="B14" s="1165"/>
      <c r="C14" s="1164" t="s">
        <v>260</v>
      </c>
      <c r="D14" s="1166"/>
      <c r="E14" s="1166"/>
      <c r="F14" s="1166"/>
      <c r="G14" s="1164" t="s">
        <v>603</v>
      </c>
      <c r="H14" s="1165"/>
      <c r="I14" s="1164"/>
      <c r="K14" s="1167" t="s">
        <v>423</v>
      </c>
      <c r="L14" s="1167"/>
      <c r="M14" s="1167" t="s">
        <v>569</v>
      </c>
      <c r="N14" s="832"/>
      <c r="O14" s="832"/>
      <c r="P14" s="1160"/>
      <c r="R14" s="1157"/>
      <c r="S14" s="1168"/>
      <c r="T14" s="1162"/>
      <c r="U14" s="1163"/>
    </row>
    <row r="15" spans="1:21" s="1158" customFormat="1" ht="15">
      <c r="A15" s="828"/>
      <c r="B15" s="828"/>
      <c r="D15" s="1169"/>
      <c r="E15" s="1169"/>
      <c r="F15" s="1169"/>
      <c r="G15" s="1169" t="s">
        <v>220</v>
      </c>
      <c r="H15" s="828"/>
      <c r="I15" s="1169"/>
      <c r="K15" s="1170" t="s">
        <v>221</v>
      </c>
      <c r="L15" s="1169"/>
      <c r="M15" s="1170" t="s">
        <v>222</v>
      </c>
      <c r="N15" s="1170"/>
      <c r="O15" s="1170"/>
      <c r="P15" s="1160"/>
      <c r="Q15" s="1171"/>
      <c r="R15" s="1161"/>
      <c r="S15" s="1171"/>
      <c r="T15" s="1161"/>
      <c r="U15" s="1163"/>
    </row>
    <row r="16" spans="2:21" s="1158" customFormat="1" ht="15">
      <c r="B16" s="828"/>
      <c r="C16" s="1172"/>
      <c r="D16" s="1172"/>
      <c r="E16" s="1172"/>
      <c r="F16" s="1172"/>
      <c r="G16" s="1160"/>
      <c r="H16" s="828"/>
      <c r="I16" s="1160"/>
      <c r="K16" s="1160"/>
      <c r="L16" s="1160"/>
      <c r="M16" s="1160"/>
      <c r="N16" s="1160"/>
      <c r="O16" s="1160"/>
      <c r="P16" s="1160"/>
      <c r="Q16" s="1161"/>
      <c r="R16" s="1157"/>
      <c r="S16" s="1161"/>
      <c r="T16" s="1161"/>
      <c r="U16" s="1163"/>
    </row>
    <row r="17" spans="1:21" s="1158" customFormat="1" ht="15">
      <c r="A17" s="1167"/>
      <c r="B17" s="828"/>
      <c r="C17" s="687"/>
      <c r="D17" s="687"/>
      <c r="E17" s="687"/>
      <c r="F17" s="687"/>
      <c r="G17" s="1160"/>
      <c r="H17" s="828"/>
      <c r="I17" s="1160"/>
      <c r="K17" s="1160"/>
      <c r="L17" s="1160"/>
      <c r="M17" s="1160"/>
      <c r="N17" s="1160"/>
      <c r="O17" s="1160"/>
      <c r="P17" s="1160"/>
      <c r="Q17" s="1161"/>
      <c r="R17" s="1157"/>
      <c r="S17" s="1161"/>
      <c r="T17" s="1161"/>
      <c r="U17" s="1163"/>
    </row>
    <row r="18" spans="1:21" s="1158" customFormat="1" ht="15">
      <c r="A18" s="1173">
        <v>1</v>
      </c>
      <c r="B18" s="828"/>
      <c r="C18" s="687" t="s">
        <v>604</v>
      </c>
      <c r="D18" s="687"/>
      <c r="E18" s="687"/>
      <c r="F18" s="687"/>
      <c r="G18" s="1174" t="s">
        <v>1264</v>
      </c>
      <c r="H18" s="828"/>
      <c r="I18" s="1173"/>
      <c r="K18" s="1175">
        <f>+'B2-Plant'!P40</f>
        <v>1560540897.1799998</v>
      </c>
      <c r="L18" s="828"/>
      <c r="M18" s="828"/>
      <c r="N18" s="828"/>
      <c r="O18" s="828"/>
      <c r="P18" s="1160"/>
      <c r="Q18" s="1161"/>
      <c r="R18" s="1157"/>
      <c r="S18" s="1161"/>
      <c r="T18" s="1161"/>
      <c r="U18" s="1163"/>
    </row>
    <row r="19" spans="1:21" s="1158" customFormat="1" ht="15">
      <c r="A19" s="1173" t="s">
        <v>605</v>
      </c>
      <c r="B19" s="828"/>
      <c r="C19" s="687" t="s">
        <v>606</v>
      </c>
      <c r="D19" s="687"/>
      <c r="E19" s="687"/>
      <c r="F19" s="687"/>
      <c r="G19" s="1174" t="s">
        <v>1116</v>
      </c>
      <c r="H19" s="828"/>
      <c r="I19" s="1173"/>
      <c r="K19" s="1176">
        <f>+'B2-Plant'!Q40</f>
        <v>1039500568.4838028</v>
      </c>
      <c r="L19" s="828"/>
      <c r="M19" s="828"/>
      <c r="N19" s="828"/>
      <c r="O19" s="828"/>
      <c r="P19" s="1160"/>
      <c r="Q19" s="1161"/>
      <c r="R19" s="1157"/>
      <c r="S19" s="1161"/>
      <c r="T19" s="1161"/>
      <c r="U19" s="1163"/>
    </row>
    <row r="20" spans="1:21" s="1158" customFormat="1" ht="15">
      <c r="A20" s="1173" t="s">
        <v>607</v>
      </c>
      <c r="B20" s="828"/>
      <c r="C20" s="687" t="s">
        <v>1005</v>
      </c>
      <c r="D20" s="687"/>
      <c r="E20" s="687"/>
      <c r="F20" s="687"/>
      <c r="G20" s="1174" t="s">
        <v>1122</v>
      </c>
      <c r="H20" s="828"/>
      <c r="I20" s="1173"/>
      <c r="K20" s="1177">
        <f>'C1-Rate Base'!D28+'C1-Rate Base'!D29+'C1-Rate Base'!D27</f>
        <v>0</v>
      </c>
      <c r="L20" s="828"/>
      <c r="M20" s="828"/>
      <c r="N20" s="828"/>
      <c r="O20" s="828"/>
      <c r="P20" s="1160"/>
      <c r="Q20" s="1161"/>
      <c r="R20" s="1157"/>
      <c r="S20" s="1161"/>
      <c r="T20" s="1161"/>
      <c r="U20" s="1163"/>
    </row>
    <row r="21" spans="1:21" s="1158" customFormat="1" ht="15">
      <c r="A21" s="1173">
        <v>2</v>
      </c>
      <c r="B21" s="828"/>
      <c r="C21" s="687" t="s">
        <v>608</v>
      </c>
      <c r="D21" s="687"/>
      <c r="E21" s="687"/>
      <c r="F21" s="687"/>
      <c r="G21" s="1174" t="s">
        <v>609</v>
      </c>
      <c r="H21" s="828"/>
      <c r="I21" s="1173"/>
      <c r="K21" s="1176">
        <f>+K18-K19+K20</f>
        <v>521040328.69619703</v>
      </c>
      <c r="L21" s="828"/>
      <c r="M21" s="828"/>
      <c r="N21" s="828"/>
      <c r="O21" s="828"/>
      <c r="P21" s="1160"/>
      <c r="Q21" s="1161"/>
      <c r="R21" s="1157"/>
      <c r="S21" s="1161"/>
      <c r="T21" s="1161"/>
      <c r="U21" s="1163"/>
    </row>
    <row r="22" spans="1:21" s="1158" customFormat="1" ht="15">
      <c r="A22" s="1173"/>
      <c r="B22" s="828"/>
      <c r="C22" s="828"/>
      <c r="D22" s="828"/>
      <c r="E22" s="828"/>
      <c r="F22" s="828"/>
      <c r="G22" s="1174"/>
      <c r="H22" s="828"/>
      <c r="I22" s="1173"/>
      <c r="K22" s="828"/>
      <c r="L22" s="828"/>
      <c r="M22" s="1178"/>
      <c r="N22" s="1160"/>
      <c r="O22" s="1160"/>
      <c r="P22" s="1160"/>
      <c r="Q22" s="1161"/>
      <c r="R22" s="1161"/>
      <c r="S22" s="1161"/>
      <c r="T22" s="1161"/>
      <c r="U22" s="1163"/>
    </row>
    <row r="23" spans="1:21" s="1158" customFormat="1" ht="15">
      <c r="A23" s="1173"/>
      <c r="B23" s="828"/>
      <c r="C23" s="687" t="s">
        <v>610</v>
      </c>
      <c r="D23" s="687"/>
      <c r="E23" s="687"/>
      <c r="F23" s="687"/>
      <c r="G23" s="1174"/>
      <c r="H23" s="828"/>
      <c r="I23" s="1173"/>
      <c r="K23" s="1160"/>
      <c r="L23" s="1160"/>
      <c r="M23" s="1178"/>
      <c r="N23" s="828"/>
      <c r="O23" s="828"/>
      <c r="P23" s="1160"/>
      <c r="Q23" s="1161"/>
      <c r="R23" s="1161"/>
      <c r="S23" s="1161"/>
      <c r="T23" s="1161"/>
      <c r="U23" s="1163"/>
    </row>
    <row r="24" spans="1:21" s="1158" customFormat="1" ht="15">
      <c r="A24" s="1173">
        <v>3</v>
      </c>
      <c r="B24" s="828"/>
      <c r="C24" s="687" t="s">
        <v>611</v>
      </c>
      <c r="D24" s="687"/>
      <c r="E24" s="687"/>
      <c r="F24" s="687"/>
      <c r="G24" s="1174" t="s">
        <v>1117</v>
      </c>
      <c r="H24" s="828"/>
      <c r="I24" s="1173"/>
      <c r="K24" s="1176">
        <f>+'A1-O&amp;M'!J37+'A2-A&amp;G'!J39</f>
        <v>103307077.07494089</v>
      </c>
      <c r="L24" s="1160"/>
      <c r="M24" s="1178"/>
      <c r="N24" s="1179"/>
      <c r="O24" s="1179"/>
      <c r="P24" s="1160"/>
      <c r="Q24" s="1180"/>
      <c r="R24" s="1181"/>
      <c r="S24" s="1182"/>
      <c r="T24" s="1161"/>
      <c r="U24" s="1163"/>
    </row>
    <row r="25" spans="1:21" s="1158" customFormat="1" ht="15">
      <c r="A25" s="1173"/>
      <c r="B25" s="828"/>
      <c r="C25" s="687"/>
      <c r="D25" s="687"/>
      <c r="E25" s="687"/>
      <c r="F25" s="687"/>
      <c r="G25" s="1174"/>
      <c r="H25" s="828"/>
      <c r="I25" s="1173"/>
      <c r="K25" s="1183"/>
      <c r="L25" s="1183"/>
      <c r="M25" s="1178"/>
      <c r="N25" s="828"/>
      <c r="O25" s="828"/>
      <c r="P25" s="1160"/>
      <c r="Q25" s="1168"/>
      <c r="R25" s="1161"/>
      <c r="S25" s="1184"/>
      <c r="T25" s="1162"/>
      <c r="U25" s="1163"/>
    </row>
    <row r="26" spans="1:21" s="1158" customFormat="1" ht="15">
      <c r="A26" s="1170"/>
      <c r="B26" s="828"/>
      <c r="C26" s="687" t="s">
        <v>712</v>
      </c>
      <c r="D26" s="687"/>
      <c r="E26" s="687"/>
      <c r="F26" s="687"/>
      <c r="G26" s="1185"/>
      <c r="H26" s="828"/>
      <c r="I26" s="1186"/>
      <c r="K26" s="1183"/>
      <c r="L26" s="1183"/>
      <c r="M26" s="1178"/>
      <c r="N26" s="1187"/>
      <c r="O26" s="1187"/>
      <c r="P26" s="1160"/>
      <c r="T26" s="1161"/>
      <c r="U26" s="1163"/>
    </row>
    <row r="27" spans="1:21" s="1158" customFormat="1" ht="15">
      <c r="A27" s="1170" t="s">
        <v>612</v>
      </c>
      <c r="B27" s="828"/>
      <c r="C27" s="687" t="s">
        <v>713</v>
      </c>
      <c r="D27" s="687"/>
      <c r="E27" s="687"/>
      <c r="F27" s="687"/>
      <c r="G27" s="1174" t="s">
        <v>1265</v>
      </c>
      <c r="H27" s="828"/>
      <c r="I27" s="1173"/>
      <c r="K27" s="1176">
        <f>+'B1-Depn'!N47</f>
        <v>7509880.862451554</v>
      </c>
      <c r="L27" s="1183"/>
      <c r="M27" s="1178"/>
      <c r="N27" s="1160"/>
      <c r="O27" s="1160"/>
      <c r="P27" s="1160"/>
      <c r="Q27" s="1161"/>
      <c r="R27" s="1161"/>
      <c r="S27" s="1188"/>
      <c r="T27" s="1161"/>
      <c r="U27" s="1163"/>
    </row>
    <row r="28" spans="1:21" s="1158" customFormat="1" ht="15">
      <c r="A28" s="1170"/>
      <c r="B28" s="828"/>
      <c r="C28" s="687"/>
      <c r="D28" s="687"/>
      <c r="E28" s="687"/>
      <c r="F28" s="687"/>
      <c r="G28" s="1174"/>
      <c r="H28" s="828"/>
      <c r="I28" s="1173"/>
      <c r="K28" s="1189"/>
      <c r="L28" s="1183"/>
      <c r="M28" s="1178"/>
      <c r="N28" s="1160"/>
      <c r="O28" s="1160"/>
      <c r="P28" s="1160"/>
      <c r="Q28" s="1161"/>
      <c r="R28" s="1161"/>
      <c r="S28" s="1188"/>
      <c r="T28" s="1161"/>
      <c r="U28" s="1163"/>
    </row>
    <row r="29" spans="1:21" s="1158" customFormat="1" ht="15">
      <c r="A29" s="1170" t="s">
        <v>613</v>
      </c>
      <c r="B29" s="828"/>
      <c r="C29" s="1172" t="s">
        <v>716</v>
      </c>
      <c r="D29" s="1172"/>
      <c r="E29" s="687"/>
      <c r="F29" s="687"/>
      <c r="G29" s="1174" t="s">
        <v>1376</v>
      </c>
      <c r="H29" s="828"/>
      <c r="I29" s="1173"/>
      <c r="K29" s="1190">
        <f>(K24+K27)/K18</f>
        <v>0.07101188961958381</v>
      </c>
      <c r="L29" s="1191"/>
      <c r="M29" s="1192">
        <f>K29</f>
        <v>0.07101188961958381</v>
      </c>
      <c r="N29" s="1160"/>
      <c r="O29" s="1160"/>
      <c r="P29" s="1193"/>
      <c r="Q29" s="1194"/>
      <c r="T29" s="1162"/>
      <c r="U29" s="1161" t="s">
        <v>32</v>
      </c>
    </row>
    <row r="30" spans="1:21" s="1158" customFormat="1" ht="18.75" customHeight="1">
      <c r="A30" s="1170"/>
      <c r="B30" s="828"/>
      <c r="C30" s="687"/>
      <c r="D30" s="687"/>
      <c r="E30" s="687"/>
      <c r="F30" s="687"/>
      <c r="G30" s="1174"/>
      <c r="H30" s="828"/>
      <c r="I30" s="1173"/>
      <c r="K30" s="1183"/>
      <c r="L30" s="1183"/>
      <c r="M30" s="1178"/>
      <c r="N30" s="1160"/>
      <c r="O30" s="1160"/>
      <c r="P30" s="1160"/>
      <c r="Q30" s="1195"/>
      <c r="R30" s="1161"/>
      <c r="S30" s="1161"/>
      <c r="T30" s="1161"/>
      <c r="U30" s="1163"/>
    </row>
    <row r="31" spans="1:21" s="1158" customFormat="1" ht="15">
      <c r="A31" s="1170"/>
      <c r="B31" s="828"/>
      <c r="C31" s="687" t="s">
        <v>616</v>
      </c>
      <c r="D31" s="687"/>
      <c r="E31" s="687"/>
      <c r="F31" s="687"/>
      <c r="G31" s="1196"/>
      <c r="H31" s="828"/>
      <c r="I31" s="1197"/>
      <c r="K31" s="1183"/>
      <c r="L31" s="1183"/>
      <c r="M31" s="1178"/>
      <c r="N31" s="828"/>
      <c r="O31" s="828"/>
      <c r="P31" s="1198"/>
      <c r="Q31" s="1199"/>
      <c r="R31" s="1161"/>
      <c r="S31" s="1161"/>
      <c r="T31" s="1161"/>
      <c r="U31" s="1163"/>
    </row>
    <row r="32" spans="1:21" s="1158" customFormat="1" ht="15">
      <c r="A32" s="1170" t="s">
        <v>614</v>
      </c>
      <c r="B32" s="828"/>
      <c r="C32" s="687" t="s">
        <v>104</v>
      </c>
      <c r="D32" s="687"/>
      <c r="E32" s="687"/>
      <c r="F32" s="687"/>
      <c r="G32" s="1174" t="s">
        <v>1118</v>
      </c>
      <c r="H32" s="828"/>
      <c r="I32" s="1173"/>
      <c r="K32" s="1176">
        <f>+'C1-Rate Base'!P31</f>
        <v>48584525.83793238</v>
      </c>
      <c r="L32" s="1183"/>
      <c r="M32" s="1178"/>
      <c r="N32" s="828"/>
      <c r="O32" s="828"/>
      <c r="P32" s="1198"/>
      <c r="Q32" s="1199"/>
      <c r="R32" s="1161"/>
      <c r="S32" s="1161"/>
      <c r="T32" s="1161"/>
      <c r="U32" s="1163"/>
    </row>
    <row r="33" spans="1:21" s="1158" customFormat="1" ht="15">
      <c r="A33" s="1170"/>
      <c r="B33" s="828"/>
      <c r="C33" s="687"/>
      <c r="D33" s="687"/>
      <c r="E33" s="687"/>
      <c r="F33" s="687"/>
      <c r="G33" s="1174"/>
      <c r="H33" s="828"/>
      <c r="I33" s="1173"/>
      <c r="K33" s="1183"/>
      <c r="L33" s="1183"/>
      <c r="M33" s="1178"/>
      <c r="N33" s="828"/>
      <c r="O33" s="828"/>
      <c r="P33" s="1198"/>
      <c r="Q33" s="1199"/>
      <c r="R33" s="1161"/>
      <c r="S33" s="1161"/>
      <c r="T33" s="1161"/>
      <c r="U33" s="1163"/>
    </row>
    <row r="34" spans="1:21" s="1158" customFormat="1" ht="15">
      <c r="A34" s="1170" t="s">
        <v>615</v>
      </c>
      <c r="B34" s="1200"/>
      <c r="C34" s="1201" t="s">
        <v>617</v>
      </c>
      <c r="D34" s="1160"/>
      <c r="E34" s="1160"/>
      <c r="F34" s="1160"/>
      <c r="G34" s="1174" t="s">
        <v>1375</v>
      </c>
      <c r="H34" s="828"/>
      <c r="I34" s="1173"/>
      <c r="K34" s="1202">
        <f>IF(K21=0,0,K32/K21)</f>
        <v>0.09324523105439034</v>
      </c>
      <c r="L34" s="1191"/>
      <c r="M34" s="1192">
        <f>K34</f>
        <v>0.09324523105439034</v>
      </c>
      <c r="N34" s="828"/>
      <c r="O34" s="828"/>
      <c r="P34" s="1198"/>
      <c r="Q34" s="1199"/>
      <c r="R34" s="1161"/>
      <c r="S34" s="1161"/>
      <c r="T34" s="1161"/>
      <c r="U34" s="1163"/>
    </row>
    <row r="35" spans="1:21" s="1158" customFormat="1" ht="15">
      <c r="A35" s="1170"/>
      <c r="B35" s="828"/>
      <c r="C35" s="687"/>
      <c r="D35" s="687"/>
      <c r="E35" s="687"/>
      <c r="F35" s="687"/>
      <c r="G35" s="1174"/>
      <c r="H35" s="828"/>
      <c r="I35" s="1173"/>
      <c r="K35" s="1183"/>
      <c r="L35" s="1183"/>
      <c r="M35" s="1178"/>
      <c r="N35" s="828"/>
      <c r="O35" s="828"/>
      <c r="P35" s="1198"/>
      <c r="Q35" s="1199"/>
      <c r="R35" s="1161"/>
      <c r="S35" s="1161"/>
      <c r="T35" s="1161"/>
      <c r="U35" s="1163"/>
    </row>
    <row r="36" spans="4:20" s="1158" customFormat="1" ht="15">
      <c r="D36" s="828"/>
      <c r="E36" s="828"/>
      <c r="F36" s="828"/>
      <c r="G36" s="828"/>
      <c r="H36" s="828"/>
      <c r="I36" s="828"/>
      <c r="J36" s="828"/>
      <c r="K36" s="828"/>
      <c r="L36" s="828"/>
      <c r="M36" s="828"/>
      <c r="N36" s="828"/>
      <c r="O36" s="828"/>
      <c r="P36" s="828"/>
      <c r="Q36" s="1203"/>
      <c r="R36" s="828"/>
      <c r="S36" s="828"/>
      <c r="T36" s="828"/>
    </row>
    <row r="37" spans="1:20" s="839" customFormat="1" ht="21">
      <c r="A37" s="841" t="s">
        <v>1115</v>
      </c>
      <c r="D37" s="838"/>
      <c r="E37" s="838"/>
      <c r="F37" s="838"/>
      <c r="G37" s="838"/>
      <c r="H37" s="838"/>
      <c r="I37" s="838"/>
      <c r="J37" s="838"/>
      <c r="K37" s="838"/>
      <c r="L37" s="838"/>
      <c r="M37" s="838"/>
      <c r="N37" s="838"/>
      <c r="O37" s="838"/>
      <c r="P37" s="838"/>
      <c r="Q37" s="840"/>
      <c r="R37" s="838" t="s">
        <v>748</v>
      </c>
      <c r="T37" s="838"/>
    </row>
    <row r="38" spans="1:20" s="1158" customFormat="1" ht="15">
      <c r="A38" s="1544" t="str">
        <f>A4</f>
        <v>Schedule F1</v>
      </c>
      <c r="B38" s="1544"/>
      <c r="C38" s="1544"/>
      <c r="D38" s="1544"/>
      <c r="E38" s="1544"/>
      <c r="F38" s="1544"/>
      <c r="G38" s="1544"/>
      <c r="H38" s="1544"/>
      <c r="I38" s="1544"/>
      <c r="J38" s="1544"/>
      <c r="K38" s="1544"/>
      <c r="L38" s="1544"/>
      <c r="M38" s="1544"/>
      <c r="N38" s="1544"/>
      <c r="O38" s="1544"/>
      <c r="P38" s="1544"/>
      <c r="Q38" s="1544"/>
      <c r="R38" s="1544"/>
      <c r="S38" s="828"/>
      <c r="T38" s="828"/>
    </row>
    <row r="39" spans="1:21" s="1158" customFormat="1" ht="15">
      <c r="A39" s="1544" t="str">
        <f>A5</f>
        <v>Project Revenue Requirement Worksheet</v>
      </c>
      <c r="B39" s="1544"/>
      <c r="C39" s="1544"/>
      <c r="D39" s="1544"/>
      <c r="E39" s="1544"/>
      <c r="F39" s="1544"/>
      <c r="G39" s="1544"/>
      <c r="H39" s="1544"/>
      <c r="I39" s="1544"/>
      <c r="J39" s="1544"/>
      <c r="K39" s="1544"/>
      <c r="L39" s="1544"/>
      <c r="M39" s="1544"/>
      <c r="N39" s="1544"/>
      <c r="O39" s="1544"/>
      <c r="P39" s="1544"/>
      <c r="Q39" s="1544"/>
      <c r="R39" s="1544"/>
      <c r="S39" s="231"/>
      <c r="T39" s="1160"/>
      <c r="U39" s="1163"/>
    </row>
    <row r="40" spans="1:21" s="1158" customFormat="1" ht="15">
      <c r="A40" s="1545" t="str">
        <f>A6</f>
        <v>NEW YORK POWER AUTHORITY</v>
      </c>
      <c r="B40" s="1545"/>
      <c r="C40" s="1545"/>
      <c r="D40" s="1545"/>
      <c r="E40" s="1545"/>
      <c r="F40" s="1545"/>
      <c r="G40" s="1545"/>
      <c r="H40" s="1545"/>
      <c r="I40" s="1545"/>
      <c r="J40" s="1545"/>
      <c r="K40" s="1545"/>
      <c r="L40" s="1545"/>
      <c r="M40" s="1545"/>
      <c r="N40" s="1545"/>
      <c r="O40" s="1545"/>
      <c r="P40" s="1545"/>
      <c r="Q40" s="1545"/>
      <c r="R40" s="1545"/>
      <c r="S40" s="231"/>
      <c r="T40" s="1160"/>
      <c r="U40" s="1163"/>
    </row>
    <row r="41" spans="1:21" s="1158" customFormat="1" ht="15">
      <c r="A41" s="1204"/>
      <c r="C41" s="1163"/>
      <c r="D41" s="687"/>
      <c r="E41" s="828"/>
      <c r="F41" s="828"/>
      <c r="G41" s="828"/>
      <c r="H41" s="828"/>
      <c r="I41" s="828"/>
      <c r="J41" s="828"/>
      <c r="K41" s="828"/>
      <c r="L41" s="828"/>
      <c r="M41" s="1160"/>
      <c r="N41" s="1160"/>
      <c r="O41" s="1160"/>
      <c r="P41" s="1160"/>
      <c r="Q41" s="828"/>
      <c r="R41" s="1160"/>
      <c r="S41" s="231"/>
      <c r="T41" s="1160"/>
      <c r="U41" s="1163"/>
    </row>
    <row r="42" spans="1:21" s="1158" customFormat="1" ht="12.75">
      <c r="A42" s="1204"/>
      <c r="E42" s="1205"/>
      <c r="F42" s="1205"/>
      <c r="H42" s="1157"/>
      <c r="I42" s="1157"/>
      <c r="J42" s="1157"/>
      <c r="K42" s="1157"/>
      <c r="L42" s="1157"/>
      <c r="M42" s="1157"/>
      <c r="N42" s="1157"/>
      <c r="O42" s="1157"/>
      <c r="P42" s="1161"/>
      <c r="Q42" s="1161"/>
      <c r="R42" s="1161"/>
      <c r="S42" s="1157"/>
      <c r="T42" s="1161"/>
      <c r="U42" s="1163"/>
    </row>
    <row r="43" spans="1:23" s="1158" customFormat="1" ht="12.75">
      <c r="A43" s="1204"/>
      <c r="C43" s="1206">
        <v>-1</v>
      </c>
      <c r="D43" s="1206">
        <v>-2</v>
      </c>
      <c r="E43" s="1206">
        <v>-3</v>
      </c>
      <c r="F43" s="1206">
        <v>-4</v>
      </c>
      <c r="G43" s="1206">
        <v>-5</v>
      </c>
      <c r="H43" s="1206">
        <v>-6</v>
      </c>
      <c r="I43" s="1206">
        <v>-7</v>
      </c>
      <c r="J43" s="1206">
        <v>-8</v>
      </c>
      <c r="K43" s="1206">
        <v>-9</v>
      </c>
      <c r="L43" s="1206">
        <v>-10</v>
      </c>
      <c r="M43" s="1206">
        <v>-11</v>
      </c>
      <c r="N43" s="1206">
        <v>-12</v>
      </c>
      <c r="O43" s="1206">
        <v>-13</v>
      </c>
      <c r="P43" s="1207" t="s">
        <v>619</v>
      </c>
      <c r="Q43" s="1207" t="s">
        <v>620</v>
      </c>
      <c r="R43" s="1207" t="s">
        <v>621</v>
      </c>
      <c r="S43" s="1207"/>
      <c r="T43" s="1207"/>
      <c r="U43" s="1207"/>
      <c r="V43" s="1207"/>
      <c r="W43" s="1207"/>
    </row>
    <row r="44" spans="1:18" s="1158" customFormat="1" ht="67.5" customHeight="1">
      <c r="A44" s="1208" t="s">
        <v>1</v>
      </c>
      <c r="B44" s="1209"/>
      <c r="C44" s="1209" t="s">
        <v>622</v>
      </c>
      <c r="D44" s="1210" t="s">
        <v>623</v>
      </c>
      <c r="E44" s="1211" t="s">
        <v>963</v>
      </c>
      <c r="F44" s="1210" t="s">
        <v>964</v>
      </c>
      <c r="G44" s="1210" t="str">
        <f>+C29</f>
        <v>Annual Allocation Factor for Expenses</v>
      </c>
      <c r="H44" s="1211" t="s">
        <v>965</v>
      </c>
      <c r="I44" s="1212" t="s">
        <v>966</v>
      </c>
      <c r="J44" s="1212" t="s">
        <v>618</v>
      </c>
      <c r="K44" s="1213" t="s">
        <v>967</v>
      </c>
      <c r="L44" s="1212" t="s">
        <v>968</v>
      </c>
      <c r="M44" s="1214" t="s">
        <v>969</v>
      </c>
      <c r="N44" s="1214" t="s">
        <v>624</v>
      </c>
      <c r="O44" s="1214" t="s">
        <v>970</v>
      </c>
      <c r="P44" s="1214" t="s">
        <v>971</v>
      </c>
      <c r="Q44" s="1214" t="s">
        <v>972</v>
      </c>
      <c r="R44" s="1214" t="s">
        <v>973</v>
      </c>
    </row>
    <row r="45" spans="1:18" s="1158" customFormat="1" ht="58.5" customHeight="1">
      <c r="A45" s="1215"/>
      <c r="B45" s="1216"/>
      <c r="C45" s="1217"/>
      <c r="D45" s="1217"/>
      <c r="E45" s="1218" t="s">
        <v>1357</v>
      </c>
      <c r="F45" s="1218"/>
      <c r="G45" s="1218" t="s">
        <v>1374</v>
      </c>
      <c r="H45" s="1219" t="s">
        <v>625</v>
      </c>
      <c r="I45" s="1218" t="s">
        <v>1358</v>
      </c>
      <c r="J45" s="1218" t="s">
        <v>932</v>
      </c>
      <c r="K45" s="1220" t="s">
        <v>933</v>
      </c>
      <c r="L45" s="1218" t="s">
        <v>626</v>
      </c>
      <c r="M45" s="1220" t="s">
        <v>717</v>
      </c>
      <c r="N45" s="1218" t="s">
        <v>731</v>
      </c>
      <c r="O45" s="1221" t="s">
        <v>1120</v>
      </c>
      <c r="P45" s="1222" t="s">
        <v>718</v>
      </c>
      <c r="Q45" s="1223" t="s">
        <v>627</v>
      </c>
      <c r="R45" s="1222" t="s">
        <v>719</v>
      </c>
    </row>
    <row r="46" spans="1:18" s="1158" customFormat="1" ht="12.75">
      <c r="A46" s="1224"/>
      <c r="B46" s="1225"/>
      <c r="C46" s="1225"/>
      <c r="D46" s="1225"/>
      <c r="E46" s="1225"/>
      <c r="F46" s="1226"/>
      <c r="G46" s="1225"/>
      <c r="H46" s="1226"/>
      <c r="I46" s="1225"/>
      <c r="J46" s="1225"/>
      <c r="K46" s="1227"/>
      <c r="L46" s="1225"/>
      <c r="M46" s="1227"/>
      <c r="N46" s="1227"/>
      <c r="O46" s="1225"/>
      <c r="P46" s="1227"/>
      <c r="Q46" s="1228"/>
      <c r="R46" s="1229"/>
    </row>
    <row r="47" spans="1:18" s="1158" customFormat="1" ht="12.75">
      <c r="A47" s="1230" t="s">
        <v>605</v>
      </c>
      <c r="B47" s="1231"/>
      <c r="C47" s="1232" t="str">
        <f>+'F3-True-Up'!B20</f>
        <v>NTAC Facilities</v>
      </c>
      <c r="D47" s="1233">
        <v>0</v>
      </c>
      <c r="E47" s="1440">
        <f>+'B2-Plant'!P40-SUM(E48:E65)</f>
        <v>1560540897.1799998</v>
      </c>
      <c r="F47" s="1441">
        <f>+'B2-Plant'!Q40-SUM(F48:F65)</f>
        <v>1039500568.4838028</v>
      </c>
      <c r="G47" s="1235">
        <f>+K29</f>
        <v>0.07101188961958381</v>
      </c>
      <c r="H47" s="1236">
        <f>+E47*G47</f>
        <v>110816957.93739243</v>
      </c>
      <c r="I47" s="1234">
        <f>'B2-Plant'!S40-SUM(I48:I65)</f>
        <v>521040328.6961971</v>
      </c>
      <c r="J47" s="1235">
        <f>+M34</f>
        <v>0.09324523105439034</v>
      </c>
      <c r="K47" s="1237">
        <f>I47*J47</f>
        <v>48584525.837932386</v>
      </c>
      <c r="L47" s="1238">
        <f>'B1-Depn'!H47-SUM(L48:L65)</f>
        <v>38823921.11</v>
      </c>
      <c r="M47" s="1237">
        <f>+H47+K47+L47</f>
        <v>198225404.88532484</v>
      </c>
      <c r="N47" s="1237">
        <v>0</v>
      </c>
      <c r="O47" s="1239">
        <f>+'F2-Incentives'!K$25*'F1-Proj RR'!N47/100*'F1-Proj RR'!I47</f>
        <v>0</v>
      </c>
      <c r="P47" s="1237">
        <f>+M47+O47</f>
        <v>198225404.88532484</v>
      </c>
      <c r="Q47" s="1240">
        <v>0</v>
      </c>
      <c r="R47" s="1237">
        <f>+P47+Q47</f>
        <v>198225404.88532484</v>
      </c>
    </row>
    <row r="48" spans="1:18" s="1158" customFormat="1" ht="12.75">
      <c r="A48" s="1230" t="s">
        <v>607</v>
      </c>
      <c r="B48" s="1231"/>
      <c r="C48" s="1233" t="s">
        <v>1367</v>
      </c>
      <c r="D48" s="1233">
        <v>0</v>
      </c>
      <c r="E48" s="1240">
        <v>0</v>
      </c>
      <c r="F48" s="1234">
        <v>0</v>
      </c>
      <c r="G48" s="1235">
        <f>+G47</f>
        <v>0.07101188961958381</v>
      </c>
      <c r="H48" s="1236">
        <f aca="true" t="shared" si="0" ref="H48:H65">+E48*G48</f>
        <v>0</v>
      </c>
      <c r="I48" s="1234">
        <v>0</v>
      </c>
      <c r="J48" s="1235">
        <f>+J47</f>
        <v>0.09324523105439034</v>
      </c>
      <c r="K48" s="1237">
        <f aca="true" t="shared" si="1" ref="K48:K65">I48*J48</f>
        <v>0</v>
      </c>
      <c r="L48" s="1238"/>
      <c r="M48" s="1237">
        <f aca="true" t="shared" si="2" ref="M48:M65">+H48+K48+L48</f>
        <v>0</v>
      </c>
      <c r="N48" s="1241">
        <v>0</v>
      </c>
      <c r="O48" s="1239">
        <f>+'F2-Incentives'!K$25*'F1-Proj RR'!N48/100*'F1-Proj RR'!I48</f>
        <v>0</v>
      </c>
      <c r="P48" s="1237">
        <f aca="true" t="shared" si="3" ref="P48:P65">+M48+O48</f>
        <v>0</v>
      </c>
      <c r="Q48" s="1240">
        <v>0</v>
      </c>
      <c r="R48" s="1237">
        <f>+P48+Q48</f>
        <v>0</v>
      </c>
    </row>
    <row r="49" spans="1:18" s="1158" customFormat="1" ht="12.75">
      <c r="A49" s="1230" t="s">
        <v>628</v>
      </c>
      <c r="B49" s="1231"/>
      <c r="C49" s="1233" t="s">
        <v>715</v>
      </c>
      <c r="D49" s="1233">
        <v>0</v>
      </c>
      <c r="E49" s="1240">
        <v>0</v>
      </c>
      <c r="F49" s="1234">
        <v>0</v>
      </c>
      <c r="G49" s="1235">
        <f>+G48</f>
        <v>0.07101188961958381</v>
      </c>
      <c r="H49" s="1236">
        <f t="shared" si="0"/>
        <v>0</v>
      </c>
      <c r="I49" s="1234">
        <v>0</v>
      </c>
      <c r="J49" s="1235">
        <f>+J48</f>
        <v>0.09324523105439034</v>
      </c>
      <c r="K49" s="1237">
        <f t="shared" si="1"/>
        <v>0</v>
      </c>
      <c r="L49" s="1238">
        <v>0</v>
      </c>
      <c r="M49" s="1237">
        <f t="shared" si="2"/>
        <v>0</v>
      </c>
      <c r="N49" s="1241">
        <v>0</v>
      </c>
      <c r="O49" s="1239">
        <f>+'F2-Incentives'!K$25*'F1-Proj RR'!N49/100*'F1-Proj RR'!I49</f>
        <v>0</v>
      </c>
      <c r="P49" s="1237">
        <f t="shared" si="3"/>
        <v>0</v>
      </c>
      <c r="Q49" s="1240">
        <v>0</v>
      </c>
      <c r="R49" s="1237">
        <f>+P49+Q49</f>
        <v>0</v>
      </c>
    </row>
    <row r="50" spans="1:18" s="1158" customFormat="1" ht="12.75">
      <c r="A50" s="1230" t="s">
        <v>629</v>
      </c>
      <c r="B50" s="1231"/>
      <c r="C50" s="1233">
        <v>0</v>
      </c>
      <c r="D50" s="1233">
        <v>0</v>
      </c>
      <c r="E50" s="1240">
        <v>0</v>
      </c>
      <c r="F50" s="1234">
        <v>0</v>
      </c>
      <c r="G50" s="1235">
        <f aca="true" t="shared" si="4" ref="G50:G65">+G49</f>
        <v>0.07101188961958381</v>
      </c>
      <c r="H50" s="1236">
        <f t="shared" si="0"/>
        <v>0</v>
      </c>
      <c r="I50" s="1234">
        <v>0</v>
      </c>
      <c r="J50" s="1235">
        <f aca="true" t="shared" si="5" ref="J50:J65">+J49</f>
        <v>0.09324523105439034</v>
      </c>
      <c r="K50" s="1237">
        <f t="shared" si="1"/>
        <v>0</v>
      </c>
      <c r="L50" s="1238">
        <v>0</v>
      </c>
      <c r="M50" s="1237">
        <f t="shared" si="2"/>
        <v>0</v>
      </c>
      <c r="N50" s="1241">
        <v>0</v>
      </c>
      <c r="O50" s="1239">
        <f>+'F2-Incentives'!K$25*'F1-Proj RR'!N50/100*'F1-Proj RR'!I50</f>
        <v>0</v>
      </c>
      <c r="P50" s="1237">
        <f t="shared" si="3"/>
        <v>0</v>
      </c>
      <c r="Q50" s="1240">
        <v>0</v>
      </c>
      <c r="R50" s="1237">
        <f>+P50+Q50</f>
        <v>0</v>
      </c>
    </row>
    <row r="51" spans="1:18" s="1158" customFormat="1" ht="12.75">
      <c r="A51" s="1230" t="s">
        <v>630</v>
      </c>
      <c r="B51" s="1231"/>
      <c r="C51" s="1233">
        <v>0</v>
      </c>
      <c r="D51" s="1233">
        <v>0</v>
      </c>
      <c r="E51" s="1240">
        <v>0</v>
      </c>
      <c r="F51" s="1234">
        <v>0</v>
      </c>
      <c r="G51" s="1235">
        <f t="shared" si="4"/>
        <v>0.07101188961958381</v>
      </c>
      <c r="H51" s="1236">
        <f t="shared" si="0"/>
        <v>0</v>
      </c>
      <c r="I51" s="1234">
        <v>0</v>
      </c>
      <c r="J51" s="1235">
        <f t="shared" si="5"/>
        <v>0.09324523105439034</v>
      </c>
      <c r="K51" s="1237">
        <f t="shared" si="1"/>
        <v>0</v>
      </c>
      <c r="L51" s="1238">
        <v>0</v>
      </c>
      <c r="M51" s="1237">
        <f t="shared" si="2"/>
        <v>0</v>
      </c>
      <c r="N51" s="1241">
        <v>0</v>
      </c>
      <c r="O51" s="1239">
        <f>+'F2-Incentives'!K$25*'F1-Proj RR'!N51/100*'F1-Proj RR'!I51</f>
        <v>0</v>
      </c>
      <c r="P51" s="1237">
        <f t="shared" si="3"/>
        <v>0</v>
      </c>
      <c r="Q51" s="1240">
        <v>0</v>
      </c>
      <c r="R51" s="1237">
        <f>+P51+Q51</f>
        <v>0</v>
      </c>
    </row>
    <row r="52" spans="1:18" s="1158" customFormat="1" ht="12.75">
      <c r="A52" s="1230" t="s">
        <v>631</v>
      </c>
      <c r="B52" s="1231"/>
      <c r="C52" s="1233">
        <v>0</v>
      </c>
      <c r="D52" s="1233">
        <v>0</v>
      </c>
      <c r="E52" s="1240">
        <v>0</v>
      </c>
      <c r="F52" s="1234">
        <v>0</v>
      </c>
      <c r="G52" s="1235">
        <f t="shared" si="4"/>
        <v>0.07101188961958381</v>
      </c>
      <c r="H52" s="1236">
        <f t="shared" si="0"/>
        <v>0</v>
      </c>
      <c r="I52" s="1234">
        <v>0</v>
      </c>
      <c r="J52" s="1235">
        <f t="shared" si="5"/>
        <v>0.09324523105439034</v>
      </c>
      <c r="K52" s="1237">
        <f t="shared" si="1"/>
        <v>0</v>
      </c>
      <c r="L52" s="1238">
        <v>0</v>
      </c>
      <c r="M52" s="1237">
        <f t="shared" si="2"/>
        <v>0</v>
      </c>
      <c r="N52" s="1241">
        <v>0</v>
      </c>
      <c r="O52" s="1239">
        <f>+'F2-Incentives'!K$25*'F1-Proj RR'!N52/100*'F1-Proj RR'!I52</f>
        <v>0</v>
      </c>
      <c r="P52" s="1237">
        <f t="shared" si="3"/>
        <v>0</v>
      </c>
      <c r="Q52" s="1240">
        <v>0</v>
      </c>
      <c r="R52" s="1237">
        <f aca="true" t="shared" si="6" ref="R52:R66">M52+Q52</f>
        <v>0</v>
      </c>
    </row>
    <row r="53" spans="1:18" s="1158" customFormat="1" ht="12.75">
      <c r="A53" s="1230" t="s">
        <v>632</v>
      </c>
      <c r="B53" s="1231"/>
      <c r="C53" s="1233">
        <v>0</v>
      </c>
      <c r="D53" s="1233">
        <v>0</v>
      </c>
      <c r="E53" s="1240">
        <v>0</v>
      </c>
      <c r="F53" s="1234">
        <v>0</v>
      </c>
      <c r="G53" s="1235">
        <f t="shared" si="4"/>
        <v>0.07101188961958381</v>
      </c>
      <c r="H53" s="1236">
        <f t="shared" si="0"/>
        <v>0</v>
      </c>
      <c r="I53" s="1234">
        <v>0</v>
      </c>
      <c r="J53" s="1235">
        <f t="shared" si="5"/>
        <v>0.09324523105439034</v>
      </c>
      <c r="K53" s="1237">
        <f t="shared" si="1"/>
        <v>0</v>
      </c>
      <c r="L53" s="1238">
        <v>0</v>
      </c>
      <c r="M53" s="1237">
        <f t="shared" si="2"/>
        <v>0</v>
      </c>
      <c r="N53" s="1241">
        <v>0</v>
      </c>
      <c r="O53" s="1239">
        <f>+'F2-Incentives'!K$25*'F1-Proj RR'!N53/100*'F1-Proj RR'!I53</f>
        <v>0</v>
      </c>
      <c r="P53" s="1237">
        <f t="shared" si="3"/>
        <v>0</v>
      </c>
      <c r="Q53" s="1240">
        <v>0</v>
      </c>
      <c r="R53" s="1237">
        <f t="shared" si="6"/>
        <v>0</v>
      </c>
    </row>
    <row r="54" spans="1:18" s="1158" customFormat="1" ht="12.75">
      <c r="A54" s="1230" t="s">
        <v>633</v>
      </c>
      <c r="B54" s="1231"/>
      <c r="C54" s="1233">
        <v>0</v>
      </c>
      <c r="D54" s="1233">
        <v>0</v>
      </c>
      <c r="E54" s="1240">
        <v>0</v>
      </c>
      <c r="F54" s="1234">
        <v>0</v>
      </c>
      <c r="G54" s="1235">
        <f t="shared" si="4"/>
        <v>0.07101188961958381</v>
      </c>
      <c r="H54" s="1236">
        <f t="shared" si="0"/>
        <v>0</v>
      </c>
      <c r="I54" s="1234">
        <v>0</v>
      </c>
      <c r="J54" s="1235">
        <f t="shared" si="5"/>
        <v>0.09324523105439034</v>
      </c>
      <c r="K54" s="1237">
        <f t="shared" si="1"/>
        <v>0</v>
      </c>
      <c r="L54" s="1238">
        <v>0</v>
      </c>
      <c r="M54" s="1237">
        <f t="shared" si="2"/>
        <v>0</v>
      </c>
      <c r="N54" s="1241">
        <v>0</v>
      </c>
      <c r="O54" s="1239">
        <f>+'F2-Incentives'!K$25*'F1-Proj RR'!N54/100*'F1-Proj RR'!I54</f>
        <v>0</v>
      </c>
      <c r="P54" s="1237">
        <f t="shared" si="3"/>
        <v>0</v>
      </c>
      <c r="Q54" s="1240">
        <v>0</v>
      </c>
      <c r="R54" s="1237">
        <f t="shared" si="6"/>
        <v>0</v>
      </c>
    </row>
    <row r="55" spans="1:18" s="1158" customFormat="1" ht="12.75">
      <c r="A55" s="1230" t="s">
        <v>634</v>
      </c>
      <c r="B55" s="1231"/>
      <c r="C55" s="1233">
        <v>0</v>
      </c>
      <c r="D55" s="1233">
        <v>0</v>
      </c>
      <c r="E55" s="1240">
        <v>0</v>
      </c>
      <c r="F55" s="1234">
        <v>0</v>
      </c>
      <c r="G55" s="1235">
        <f t="shared" si="4"/>
        <v>0.07101188961958381</v>
      </c>
      <c r="H55" s="1236">
        <f t="shared" si="0"/>
        <v>0</v>
      </c>
      <c r="I55" s="1234">
        <v>0</v>
      </c>
      <c r="J55" s="1235">
        <f t="shared" si="5"/>
        <v>0.09324523105439034</v>
      </c>
      <c r="K55" s="1237">
        <f t="shared" si="1"/>
        <v>0</v>
      </c>
      <c r="L55" s="1238">
        <v>0</v>
      </c>
      <c r="M55" s="1237">
        <f t="shared" si="2"/>
        <v>0</v>
      </c>
      <c r="N55" s="1241">
        <v>0</v>
      </c>
      <c r="O55" s="1239">
        <f>+'F2-Incentives'!K$25*'F1-Proj RR'!N55/100*'F1-Proj RR'!I55</f>
        <v>0</v>
      </c>
      <c r="P55" s="1237">
        <f t="shared" si="3"/>
        <v>0</v>
      </c>
      <c r="Q55" s="1240">
        <v>0</v>
      </c>
      <c r="R55" s="1237">
        <f t="shared" si="6"/>
        <v>0</v>
      </c>
    </row>
    <row r="56" spans="1:18" s="1158" customFormat="1" ht="12.75">
      <c r="A56" s="1230" t="s">
        <v>635</v>
      </c>
      <c r="B56" s="1231"/>
      <c r="C56" s="1233">
        <v>0</v>
      </c>
      <c r="D56" s="1233">
        <v>0</v>
      </c>
      <c r="E56" s="1233">
        <v>0</v>
      </c>
      <c r="F56" s="1234">
        <v>0</v>
      </c>
      <c r="G56" s="1235">
        <f t="shared" si="4"/>
        <v>0.07101188961958381</v>
      </c>
      <c r="H56" s="1236">
        <f t="shared" si="0"/>
        <v>0</v>
      </c>
      <c r="I56" s="1234">
        <v>0</v>
      </c>
      <c r="J56" s="1235">
        <f t="shared" si="5"/>
        <v>0.09324523105439034</v>
      </c>
      <c r="K56" s="1237">
        <f t="shared" si="1"/>
        <v>0</v>
      </c>
      <c r="L56" s="1238">
        <v>0</v>
      </c>
      <c r="M56" s="1237">
        <f t="shared" si="2"/>
        <v>0</v>
      </c>
      <c r="N56" s="1241">
        <v>0</v>
      </c>
      <c r="O56" s="1239">
        <f>+'F2-Incentives'!K$25*'F1-Proj RR'!N56/100*'F1-Proj RR'!I56</f>
        <v>0</v>
      </c>
      <c r="P56" s="1237">
        <f t="shared" si="3"/>
        <v>0</v>
      </c>
      <c r="Q56" s="1240">
        <v>0</v>
      </c>
      <c r="R56" s="1237">
        <f t="shared" si="6"/>
        <v>0</v>
      </c>
    </row>
    <row r="57" spans="1:18" s="1158" customFormat="1" ht="12.75">
      <c r="A57" s="1230" t="s">
        <v>636</v>
      </c>
      <c r="B57" s="1231"/>
      <c r="C57" s="1233">
        <v>0</v>
      </c>
      <c r="D57" s="1233">
        <v>0</v>
      </c>
      <c r="E57" s="1233">
        <v>0</v>
      </c>
      <c r="F57" s="1234">
        <v>0</v>
      </c>
      <c r="G57" s="1235">
        <f t="shared" si="4"/>
        <v>0.07101188961958381</v>
      </c>
      <c r="H57" s="1236">
        <f t="shared" si="0"/>
        <v>0</v>
      </c>
      <c r="I57" s="1234">
        <v>0</v>
      </c>
      <c r="J57" s="1235">
        <f t="shared" si="5"/>
        <v>0.09324523105439034</v>
      </c>
      <c r="K57" s="1237">
        <f t="shared" si="1"/>
        <v>0</v>
      </c>
      <c r="L57" s="1238">
        <v>0</v>
      </c>
      <c r="M57" s="1237">
        <f t="shared" si="2"/>
        <v>0</v>
      </c>
      <c r="N57" s="1241">
        <v>0</v>
      </c>
      <c r="O57" s="1239">
        <f>+'F2-Incentives'!K$25*'F1-Proj RR'!N57/100*'F1-Proj RR'!I57</f>
        <v>0</v>
      </c>
      <c r="P57" s="1237">
        <f t="shared" si="3"/>
        <v>0</v>
      </c>
      <c r="Q57" s="1240">
        <v>0</v>
      </c>
      <c r="R57" s="1237">
        <f t="shared" si="6"/>
        <v>0</v>
      </c>
    </row>
    <row r="58" spans="1:18" s="1158" customFormat="1" ht="12.75">
      <c r="A58" s="1230" t="s">
        <v>637</v>
      </c>
      <c r="B58" s="1231"/>
      <c r="C58" s="1233">
        <v>0</v>
      </c>
      <c r="D58" s="1233">
        <v>0</v>
      </c>
      <c r="E58" s="1233">
        <v>0</v>
      </c>
      <c r="F58" s="1234">
        <v>0</v>
      </c>
      <c r="G58" s="1235">
        <f t="shared" si="4"/>
        <v>0.07101188961958381</v>
      </c>
      <c r="H58" s="1236">
        <f t="shared" si="0"/>
        <v>0</v>
      </c>
      <c r="I58" s="1234">
        <v>0</v>
      </c>
      <c r="J58" s="1235">
        <f t="shared" si="5"/>
        <v>0.09324523105439034</v>
      </c>
      <c r="K58" s="1237">
        <f t="shared" si="1"/>
        <v>0</v>
      </c>
      <c r="L58" s="1238">
        <v>0</v>
      </c>
      <c r="M58" s="1237">
        <f t="shared" si="2"/>
        <v>0</v>
      </c>
      <c r="N58" s="1241">
        <v>0</v>
      </c>
      <c r="O58" s="1239">
        <f>+'F2-Incentives'!K$25*'F1-Proj RR'!N58/100*'F1-Proj RR'!I58</f>
        <v>0</v>
      </c>
      <c r="P58" s="1237">
        <f t="shared" si="3"/>
        <v>0</v>
      </c>
      <c r="Q58" s="1240">
        <v>0</v>
      </c>
      <c r="R58" s="1237">
        <f t="shared" si="6"/>
        <v>0</v>
      </c>
    </row>
    <row r="59" spans="1:18" s="1158" customFormat="1" ht="12.75">
      <c r="A59" s="1230" t="s">
        <v>638</v>
      </c>
      <c r="B59" s="1231"/>
      <c r="C59" s="1233">
        <v>0</v>
      </c>
      <c r="D59" s="1233">
        <v>0</v>
      </c>
      <c r="E59" s="1233">
        <v>0</v>
      </c>
      <c r="F59" s="1234">
        <v>0</v>
      </c>
      <c r="G59" s="1235">
        <f t="shared" si="4"/>
        <v>0.07101188961958381</v>
      </c>
      <c r="H59" s="1236">
        <f t="shared" si="0"/>
        <v>0</v>
      </c>
      <c r="I59" s="1234">
        <v>0</v>
      </c>
      <c r="J59" s="1235">
        <f t="shared" si="5"/>
        <v>0.09324523105439034</v>
      </c>
      <c r="K59" s="1237">
        <f t="shared" si="1"/>
        <v>0</v>
      </c>
      <c r="L59" s="1238">
        <v>0</v>
      </c>
      <c r="M59" s="1237">
        <f t="shared" si="2"/>
        <v>0</v>
      </c>
      <c r="N59" s="1241">
        <v>0</v>
      </c>
      <c r="O59" s="1239">
        <f>+'F2-Incentives'!K$25*'F1-Proj RR'!N59/100*'F1-Proj RR'!I59</f>
        <v>0</v>
      </c>
      <c r="P59" s="1237">
        <f t="shared" si="3"/>
        <v>0</v>
      </c>
      <c r="Q59" s="1240">
        <v>0</v>
      </c>
      <c r="R59" s="1237">
        <f t="shared" si="6"/>
        <v>0</v>
      </c>
    </row>
    <row r="60" spans="1:18" s="1158" customFormat="1" ht="12.75">
      <c r="A60" s="1230" t="s">
        <v>639</v>
      </c>
      <c r="B60" s="1231"/>
      <c r="C60" s="1233">
        <v>0</v>
      </c>
      <c r="D60" s="1233">
        <v>0</v>
      </c>
      <c r="E60" s="1233">
        <v>0</v>
      </c>
      <c r="F60" s="1234">
        <v>0</v>
      </c>
      <c r="G60" s="1235">
        <f t="shared" si="4"/>
        <v>0.07101188961958381</v>
      </c>
      <c r="H60" s="1236">
        <f t="shared" si="0"/>
        <v>0</v>
      </c>
      <c r="I60" s="1234">
        <v>0</v>
      </c>
      <c r="J60" s="1235">
        <f t="shared" si="5"/>
        <v>0.09324523105439034</v>
      </c>
      <c r="K60" s="1237">
        <f t="shared" si="1"/>
        <v>0</v>
      </c>
      <c r="L60" s="1240">
        <v>0</v>
      </c>
      <c r="M60" s="1237">
        <f t="shared" si="2"/>
        <v>0</v>
      </c>
      <c r="N60" s="1241">
        <v>0</v>
      </c>
      <c r="O60" s="1239">
        <f>+'F2-Incentives'!K$25*'F1-Proj RR'!N60/100*'F1-Proj RR'!I60</f>
        <v>0</v>
      </c>
      <c r="P60" s="1237">
        <f t="shared" si="3"/>
        <v>0</v>
      </c>
      <c r="Q60" s="1240">
        <v>0</v>
      </c>
      <c r="R60" s="1237">
        <f t="shared" si="6"/>
        <v>0</v>
      </c>
    </row>
    <row r="61" spans="1:18" s="1158" customFormat="1" ht="12.75">
      <c r="A61" s="1230" t="s">
        <v>640</v>
      </c>
      <c r="B61" s="1231"/>
      <c r="C61" s="1233">
        <v>0</v>
      </c>
      <c r="D61" s="1233">
        <v>0</v>
      </c>
      <c r="E61" s="1233">
        <v>0</v>
      </c>
      <c r="F61" s="1234">
        <v>0</v>
      </c>
      <c r="G61" s="1235">
        <f t="shared" si="4"/>
        <v>0.07101188961958381</v>
      </c>
      <c r="H61" s="1236">
        <f t="shared" si="0"/>
        <v>0</v>
      </c>
      <c r="I61" s="1234">
        <v>0</v>
      </c>
      <c r="J61" s="1235">
        <f t="shared" si="5"/>
        <v>0.09324523105439034</v>
      </c>
      <c r="K61" s="1237">
        <f t="shared" si="1"/>
        <v>0</v>
      </c>
      <c r="L61" s="1240">
        <v>0</v>
      </c>
      <c r="M61" s="1242">
        <f t="shared" si="2"/>
        <v>0</v>
      </c>
      <c r="N61" s="1241">
        <v>0</v>
      </c>
      <c r="O61" s="1239">
        <f>+'F2-Incentives'!K$25*'F1-Proj RR'!N61/100*'F1-Proj RR'!I61</f>
        <v>0</v>
      </c>
      <c r="P61" s="1237">
        <f t="shared" si="3"/>
        <v>0</v>
      </c>
      <c r="Q61" s="1240">
        <v>0</v>
      </c>
      <c r="R61" s="1237">
        <f t="shared" si="6"/>
        <v>0</v>
      </c>
    </row>
    <row r="62" spans="1:18" s="1158" customFormat="1" ht="12.75">
      <c r="A62" s="1243"/>
      <c r="C62" s="1233">
        <v>0</v>
      </c>
      <c r="D62" s="1233">
        <v>0</v>
      </c>
      <c r="E62" s="1233">
        <v>0</v>
      </c>
      <c r="F62" s="1234">
        <v>0</v>
      </c>
      <c r="G62" s="1235">
        <f t="shared" si="4"/>
        <v>0.07101188961958381</v>
      </c>
      <c r="H62" s="1236">
        <f t="shared" si="0"/>
        <v>0</v>
      </c>
      <c r="I62" s="1234">
        <v>0</v>
      </c>
      <c r="J62" s="1235">
        <f t="shared" si="5"/>
        <v>0.09324523105439034</v>
      </c>
      <c r="K62" s="1237">
        <f t="shared" si="1"/>
        <v>0</v>
      </c>
      <c r="L62" s="1240">
        <v>0</v>
      </c>
      <c r="M62" s="1242">
        <f t="shared" si="2"/>
        <v>0</v>
      </c>
      <c r="N62" s="1241">
        <v>0</v>
      </c>
      <c r="O62" s="1239">
        <f>+'F2-Incentives'!K$25*'F1-Proj RR'!N62/100*'F1-Proj RR'!I62</f>
        <v>0</v>
      </c>
      <c r="P62" s="1237">
        <f t="shared" si="3"/>
        <v>0</v>
      </c>
      <c r="Q62" s="1240">
        <v>0</v>
      </c>
      <c r="R62" s="1237">
        <f t="shared" si="6"/>
        <v>0</v>
      </c>
    </row>
    <row r="63" spans="1:18" s="1158" customFormat="1" ht="12.75">
      <c r="A63" s="1243"/>
      <c r="C63" s="1233">
        <v>0</v>
      </c>
      <c r="D63" s="1233">
        <v>0</v>
      </c>
      <c r="E63" s="1233">
        <v>0</v>
      </c>
      <c r="F63" s="1234">
        <v>0</v>
      </c>
      <c r="G63" s="1235">
        <f t="shared" si="4"/>
        <v>0.07101188961958381</v>
      </c>
      <c r="H63" s="1236">
        <f t="shared" si="0"/>
        <v>0</v>
      </c>
      <c r="I63" s="1234">
        <v>0</v>
      </c>
      <c r="J63" s="1235">
        <f t="shared" si="5"/>
        <v>0.09324523105439034</v>
      </c>
      <c r="K63" s="1237">
        <f t="shared" si="1"/>
        <v>0</v>
      </c>
      <c r="L63" s="1240">
        <v>0</v>
      </c>
      <c r="M63" s="1242">
        <f t="shared" si="2"/>
        <v>0</v>
      </c>
      <c r="N63" s="1241">
        <v>0</v>
      </c>
      <c r="O63" s="1239">
        <f>+'F2-Incentives'!K$25*'F1-Proj RR'!N63/100*'F1-Proj RR'!I63</f>
        <v>0</v>
      </c>
      <c r="P63" s="1237">
        <f t="shared" si="3"/>
        <v>0</v>
      </c>
      <c r="Q63" s="1240">
        <v>0</v>
      </c>
      <c r="R63" s="1237">
        <f t="shared" si="6"/>
        <v>0</v>
      </c>
    </row>
    <row r="64" spans="1:18" s="1158" customFormat="1" ht="12.75">
      <c r="A64" s="1243"/>
      <c r="C64" s="1233">
        <v>0</v>
      </c>
      <c r="D64" s="1233">
        <v>0</v>
      </c>
      <c r="E64" s="1233">
        <v>0</v>
      </c>
      <c r="F64" s="1234">
        <v>0</v>
      </c>
      <c r="G64" s="1235">
        <f t="shared" si="4"/>
        <v>0.07101188961958381</v>
      </c>
      <c r="H64" s="1236">
        <f t="shared" si="0"/>
        <v>0</v>
      </c>
      <c r="I64" s="1234">
        <v>0</v>
      </c>
      <c r="J64" s="1235">
        <f t="shared" si="5"/>
        <v>0.09324523105439034</v>
      </c>
      <c r="K64" s="1237">
        <f t="shared" si="1"/>
        <v>0</v>
      </c>
      <c r="L64" s="1240">
        <v>0</v>
      </c>
      <c r="M64" s="1242">
        <f t="shared" si="2"/>
        <v>0</v>
      </c>
      <c r="N64" s="1241">
        <v>0</v>
      </c>
      <c r="O64" s="1239">
        <f>+'F2-Incentives'!K$25*'F1-Proj RR'!N64/100*'F1-Proj RR'!I64</f>
        <v>0</v>
      </c>
      <c r="P64" s="1237">
        <f t="shared" si="3"/>
        <v>0</v>
      </c>
      <c r="Q64" s="1240">
        <v>0</v>
      </c>
      <c r="R64" s="1237">
        <f t="shared" si="6"/>
        <v>0</v>
      </c>
    </row>
    <row r="65" spans="1:18" s="1158" customFormat="1" ht="12.75">
      <c r="A65" s="1243"/>
      <c r="C65" s="1233">
        <v>0</v>
      </c>
      <c r="D65" s="1233">
        <v>0</v>
      </c>
      <c r="E65" s="1233">
        <v>0</v>
      </c>
      <c r="F65" s="1234">
        <v>0</v>
      </c>
      <c r="G65" s="1235">
        <f t="shared" si="4"/>
        <v>0.07101188961958381</v>
      </c>
      <c r="H65" s="1236">
        <f t="shared" si="0"/>
        <v>0</v>
      </c>
      <c r="I65" s="1234">
        <v>0</v>
      </c>
      <c r="J65" s="1235">
        <f t="shared" si="5"/>
        <v>0.09324523105439034</v>
      </c>
      <c r="K65" s="1237">
        <f t="shared" si="1"/>
        <v>0</v>
      </c>
      <c r="L65" s="1240">
        <v>0</v>
      </c>
      <c r="M65" s="1242">
        <f t="shared" si="2"/>
        <v>0</v>
      </c>
      <c r="N65" s="1241">
        <v>0</v>
      </c>
      <c r="O65" s="1239">
        <f>+'F2-Incentives'!K$25*'F1-Proj RR'!N65/100*'F1-Proj RR'!I65</f>
        <v>0</v>
      </c>
      <c r="P65" s="1237">
        <f t="shared" si="3"/>
        <v>0</v>
      </c>
      <c r="Q65" s="1240">
        <v>0</v>
      </c>
      <c r="R65" s="1237">
        <f t="shared" si="6"/>
        <v>0</v>
      </c>
    </row>
    <row r="66" spans="1:18" s="1158" customFormat="1" ht="12.75">
      <c r="A66" s="1244"/>
      <c r="B66" s="1245"/>
      <c r="C66" s="1245"/>
      <c r="D66" s="1245"/>
      <c r="E66" s="1245"/>
      <c r="F66" s="1245"/>
      <c r="G66" s="1246"/>
      <c r="H66" s="1247"/>
      <c r="I66" s="1245"/>
      <c r="J66" s="1245"/>
      <c r="K66" s="1248"/>
      <c r="L66" s="1245"/>
      <c r="M66" s="1249"/>
      <c r="N66" s="1250"/>
      <c r="O66" s="1251"/>
      <c r="P66" s="1250"/>
      <c r="Q66" s="1245"/>
      <c r="R66" s="1252">
        <f t="shared" si="6"/>
        <v>0</v>
      </c>
    </row>
    <row r="67" spans="1:18" s="1158" customFormat="1" ht="12.75">
      <c r="A67" s="1171" t="s">
        <v>641</v>
      </c>
      <c r="B67" s="1194"/>
      <c r="C67" s="1163" t="s">
        <v>4</v>
      </c>
      <c r="D67" s="1163"/>
      <c r="E67" s="1253">
        <f>SUM(E47:E65)</f>
        <v>1560540897.1799998</v>
      </c>
      <c r="F67" s="1253">
        <f>SUM(F47:F65)</f>
        <v>1039500568.4838028</v>
      </c>
      <c r="G67" s="1253"/>
      <c r="H67" s="1253">
        <f>SUM(H47:H65)</f>
        <v>110816957.93739243</v>
      </c>
      <c r="I67" s="1253">
        <f>SUM(I47:I65)</f>
        <v>521040328.6961971</v>
      </c>
      <c r="J67" s="1161"/>
      <c r="K67" s="1161"/>
      <c r="L67" s="1236">
        <f>SUM(L47:L66)</f>
        <v>38823921.11</v>
      </c>
      <c r="M67" s="1236">
        <f>SUM(M47:M66)</f>
        <v>198225404.88532484</v>
      </c>
      <c r="N67" s="1254"/>
      <c r="O67" s="1236">
        <f>SUM(O47:O66)</f>
        <v>0</v>
      </c>
      <c r="P67" s="1236">
        <f>SUM(P47:P66)</f>
        <v>198225404.88532484</v>
      </c>
      <c r="Q67" s="1236">
        <f>SUM(Q47:Q66)</f>
        <v>0</v>
      </c>
      <c r="R67" s="1236">
        <f>SUM(R47:R66)</f>
        <v>198225404.88532484</v>
      </c>
    </row>
    <row r="68" spans="5:23" s="1158" customFormat="1" ht="12.75">
      <c r="E68" s="1236"/>
      <c r="F68" s="1236"/>
      <c r="H68" s="1236"/>
      <c r="K68" s="1236"/>
      <c r="L68" s="1236"/>
      <c r="O68" s="1236"/>
      <c r="P68" s="1236"/>
      <c r="S68" s="1255"/>
      <c r="W68" s="1236"/>
    </row>
    <row r="69" spans="1:20" s="1158" customFormat="1" ht="12.75">
      <c r="A69" s="1256"/>
      <c r="L69" s="1232"/>
      <c r="M69" s="1254"/>
      <c r="N69" s="1254"/>
      <c r="O69" s="1254"/>
      <c r="S69" s="1257"/>
      <c r="T69" s="1257"/>
    </row>
    <row r="70" spans="11:15" s="1158" customFormat="1" ht="12.75">
      <c r="K70" s="1194"/>
      <c r="L70" s="1194"/>
      <c r="M70" s="1194"/>
      <c r="N70" s="1194"/>
      <c r="O70" s="1194"/>
    </row>
    <row r="71" spans="11:19" s="1158" customFormat="1" ht="12.75">
      <c r="K71" s="1194"/>
      <c r="L71" s="1194"/>
      <c r="M71" s="1194"/>
      <c r="N71" s="1194"/>
      <c r="O71" s="1194"/>
      <c r="S71" s="1258"/>
    </row>
    <row r="72" s="1158" customFormat="1" ht="12.75">
      <c r="A72" s="1158" t="s">
        <v>642</v>
      </c>
    </row>
    <row r="73" s="1158" customFormat="1" ht="13.5" thickBot="1">
      <c r="A73" s="1259" t="s">
        <v>643</v>
      </c>
    </row>
    <row r="74" spans="1:17" s="1158" customFormat="1" ht="12.75" customHeight="1">
      <c r="A74" s="1260" t="s">
        <v>589</v>
      </c>
      <c r="C74" s="1550" t="s">
        <v>1119</v>
      </c>
      <c r="D74" s="1550"/>
      <c r="E74" s="1550"/>
      <c r="F74" s="1550"/>
      <c r="G74" s="1550"/>
      <c r="H74" s="1550"/>
      <c r="I74" s="1550"/>
      <c r="J74" s="1550"/>
      <c r="K74" s="1550"/>
      <c r="L74" s="1550"/>
      <c r="M74" s="1550"/>
      <c r="N74" s="1550"/>
      <c r="O74" s="1550"/>
      <c r="P74" s="1550"/>
      <c r="Q74" s="1550"/>
    </row>
    <row r="75" spans="1:17" s="1158" customFormat="1" ht="12.75" customHeight="1">
      <c r="A75" s="1260" t="s">
        <v>590</v>
      </c>
      <c r="C75" s="1550" t="s">
        <v>1006</v>
      </c>
      <c r="D75" s="1550"/>
      <c r="E75" s="1550"/>
      <c r="F75" s="1550"/>
      <c r="G75" s="1550"/>
      <c r="H75" s="1550"/>
      <c r="I75" s="1550"/>
      <c r="J75" s="1550"/>
      <c r="K75" s="1550"/>
      <c r="L75" s="1550"/>
      <c r="M75" s="1550"/>
      <c r="N75" s="1550"/>
      <c r="O75" s="1550"/>
      <c r="P75" s="1550"/>
      <c r="Q75" s="1550"/>
    </row>
    <row r="76" spans="1:17" s="1158" customFormat="1" ht="27" customHeight="1">
      <c r="A76" s="1260" t="s">
        <v>591</v>
      </c>
      <c r="C76" s="1551" t="s">
        <v>1372</v>
      </c>
      <c r="D76" s="1551"/>
      <c r="E76" s="1551"/>
      <c r="F76" s="1551"/>
      <c r="G76" s="1551"/>
      <c r="H76" s="1551"/>
      <c r="I76" s="1551"/>
      <c r="J76" s="1551"/>
      <c r="K76" s="1551"/>
      <c r="L76" s="1551"/>
      <c r="M76" s="1551"/>
      <c r="N76" s="1551"/>
      <c r="O76" s="1551"/>
      <c r="P76" s="1551"/>
      <c r="Q76" s="1451"/>
    </row>
    <row r="77" spans="1:17" s="1158" customFormat="1" ht="12.75">
      <c r="A77" s="1260" t="s">
        <v>592</v>
      </c>
      <c r="C77" s="1550" t="s">
        <v>1007</v>
      </c>
      <c r="D77" s="1550"/>
      <c r="E77" s="1550"/>
      <c r="F77" s="1550"/>
      <c r="G77" s="1550"/>
      <c r="H77" s="1550"/>
      <c r="I77" s="1550"/>
      <c r="J77" s="1550"/>
      <c r="K77" s="1550"/>
      <c r="L77" s="1550"/>
      <c r="M77" s="1550"/>
      <c r="N77" s="1550"/>
      <c r="O77" s="1550"/>
      <c r="P77" s="1550"/>
      <c r="Q77" s="1550"/>
    </row>
    <row r="78" spans="1:17" s="1158" customFormat="1" ht="25.5" customHeight="1">
      <c r="A78" s="1260" t="s">
        <v>593</v>
      </c>
      <c r="C78" s="1551" t="s">
        <v>1373</v>
      </c>
      <c r="D78" s="1551"/>
      <c r="E78" s="1551"/>
      <c r="F78" s="1551"/>
      <c r="G78" s="1551"/>
      <c r="H78" s="1551"/>
      <c r="I78" s="1551"/>
      <c r="J78" s="1551"/>
      <c r="K78" s="1551"/>
      <c r="L78" s="1551"/>
      <c r="M78" s="1551"/>
      <c r="N78" s="1551"/>
      <c r="O78" s="1551"/>
      <c r="P78" s="1551"/>
      <c r="Q78" s="1451"/>
    </row>
    <row r="79" spans="1:17" s="1158" customFormat="1" ht="12.75" customHeight="1">
      <c r="A79" s="1261" t="s">
        <v>594</v>
      </c>
      <c r="C79" s="1549" t="s">
        <v>733</v>
      </c>
      <c r="D79" s="1549"/>
      <c r="E79" s="1549"/>
      <c r="F79" s="1549"/>
      <c r="G79" s="1549"/>
      <c r="H79" s="1549"/>
      <c r="I79" s="1549"/>
      <c r="J79" s="1549"/>
      <c r="K79" s="1549"/>
      <c r="L79" s="1549"/>
      <c r="M79" s="1549"/>
      <c r="N79" s="1549"/>
      <c r="O79" s="1549"/>
      <c r="P79" s="1549"/>
      <c r="Q79" s="1549"/>
    </row>
    <row r="80" spans="1:17" s="1158" customFormat="1" ht="13.5" customHeight="1">
      <c r="A80" s="1261" t="s">
        <v>283</v>
      </c>
      <c r="C80" s="1262" t="s">
        <v>732</v>
      </c>
      <c r="D80" s="1262"/>
      <c r="E80" s="1262"/>
      <c r="F80" s="1262"/>
      <c r="G80" s="1262"/>
      <c r="H80" s="1262"/>
      <c r="I80" s="1262"/>
      <c r="J80" s="1262"/>
      <c r="K80" s="1262"/>
      <c r="L80" s="1262"/>
      <c r="M80" s="1262"/>
      <c r="N80" s="1262"/>
      <c r="O80" s="1262"/>
      <c r="P80" s="1262"/>
      <c r="Q80" s="1262"/>
    </row>
    <row r="81" spans="1:17" s="1158" customFormat="1" ht="12.75">
      <c r="A81" s="1260" t="s">
        <v>595</v>
      </c>
      <c r="C81" s="1158" t="s">
        <v>644</v>
      </c>
      <c r="D81" s="1263"/>
      <c r="E81" s="1263"/>
      <c r="F81" s="1263"/>
      <c r="G81" s="1263"/>
      <c r="H81" s="1263"/>
      <c r="I81" s="1263"/>
      <c r="J81" s="1263"/>
      <c r="K81" s="1263"/>
      <c r="L81" s="1263"/>
      <c r="M81" s="1263"/>
      <c r="N81" s="1263"/>
      <c r="O81" s="1263"/>
      <c r="P81" s="1263"/>
      <c r="Q81" s="1263"/>
    </row>
    <row r="82" s="839" customFormat="1" ht="12.75" customHeight="1">
      <c r="A82" s="842"/>
    </row>
    <row r="83" spans="1:17" s="236" customFormat="1" ht="13.5">
      <c r="A83" s="238"/>
      <c r="D83" s="238"/>
      <c r="E83" s="239"/>
      <c r="F83" s="239"/>
      <c r="G83" s="237"/>
      <c r="J83" s="241"/>
      <c r="P83" s="237"/>
      <c r="Q83" s="242"/>
    </row>
    <row r="84" spans="1:17" s="236" customFormat="1" ht="13.5">
      <c r="A84" s="243"/>
      <c r="C84" s="1553"/>
      <c r="D84" s="1553"/>
      <c r="E84" s="1553"/>
      <c r="F84" s="1553"/>
      <c r="G84" s="1553"/>
      <c r="H84" s="1553"/>
      <c r="I84" s="1553"/>
      <c r="J84" s="1553"/>
      <c r="K84" s="1553"/>
      <c r="L84" s="1553"/>
      <c r="M84" s="1553"/>
      <c r="N84" s="1553"/>
      <c r="O84" s="1553"/>
      <c r="P84" s="1553"/>
      <c r="Q84" s="1553"/>
    </row>
    <row r="85" spans="3:17" s="236" customFormat="1" ht="13.5">
      <c r="C85" s="1553"/>
      <c r="D85" s="1553"/>
      <c r="E85" s="1553"/>
      <c r="F85" s="1553"/>
      <c r="G85" s="1553"/>
      <c r="H85" s="1553"/>
      <c r="I85" s="1553"/>
      <c r="J85" s="1553"/>
      <c r="K85" s="1553"/>
      <c r="L85" s="1553"/>
      <c r="M85" s="1553"/>
      <c r="N85" s="1553"/>
      <c r="O85" s="1553"/>
      <c r="P85" s="1553"/>
      <c r="Q85" s="1553"/>
    </row>
    <row r="86" spans="3:23" s="236" customFormat="1" ht="13.5">
      <c r="C86" s="1554"/>
      <c r="D86" s="1554"/>
      <c r="E86" s="1554"/>
      <c r="F86" s="1554"/>
      <c r="G86" s="1554"/>
      <c r="H86" s="1554"/>
      <c r="I86" s="1554"/>
      <c r="J86" s="1554"/>
      <c r="K86" s="1554"/>
      <c r="L86" s="1554"/>
      <c r="M86" s="1554"/>
      <c r="N86" s="1554"/>
      <c r="O86" s="1554"/>
      <c r="P86" s="1554"/>
      <c r="Q86" s="1554"/>
      <c r="R86" s="1554"/>
      <c r="S86" s="1554"/>
      <c r="T86" s="1554"/>
      <c r="U86" s="1554"/>
      <c r="V86" s="1554"/>
      <c r="W86" s="1554"/>
    </row>
    <row r="87" spans="3:23" ht="13.5">
      <c r="C87" s="1554"/>
      <c r="D87" s="1554"/>
      <c r="E87" s="1554"/>
      <c r="F87" s="1554"/>
      <c r="G87" s="1554"/>
      <c r="H87" s="1554"/>
      <c r="I87" s="1554"/>
      <c r="J87" s="1554"/>
      <c r="K87" s="1554"/>
      <c r="L87" s="1554"/>
      <c r="M87" s="1554"/>
      <c r="N87" s="1554"/>
      <c r="O87" s="1554"/>
      <c r="P87" s="1554"/>
      <c r="Q87" s="1554"/>
      <c r="R87" s="236"/>
      <c r="S87" s="236"/>
      <c r="T87" s="236"/>
      <c r="U87" s="236"/>
      <c r="V87" s="236"/>
      <c r="W87" s="236"/>
    </row>
    <row r="88" spans="3:23" ht="13.5">
      <c r="C88" s="1554"/>
      <c r="D88" s="1554"/>
      <c r="E88" s="1554"/>
      <c r="F88" s="1554"/>
      <c r="G88" s="1554"/>
      <c r="H88" s="1554"/>
      <c r="I88" s="1554"/>
      <c r="J88" s="1554"/>
      <c r="K88" s="1554"/>
      <c r="L88" s="1554"/>
      <c r="M88" s="1554"/>
      <c r="N88" s="1554"/>
      <c r="O88" s="1554"/>
      <c r="P88" s="1554"/>
      <c r="Q88" s="1554"/>
      <c r="R88" s="1554"/>
      <c r="S88" s="1554"/>
      <c r="T88" s="1554"/>
      <c r="U88" s="1554"/>
      <c r="V88" s="1554"/>
      <c r="W88" s="1554"/>
    </row>
    <row r="89" spans="3:23" ht="13.5">
      <c r="C89" s="1552"/>
      <c r="D89" s="1552"/>
      <c r="E89" s="1552"/>
      <c r="F89" s="1552"/>
      <c r="G89" s="1552"/>
      <c r="H89" s="1552"/>
      <c r="I89" s="1552"/>
      <c r="J89" s="1552"/>
      <c r="K89" s="1552"/>
      <c r="L89" s="1552"/>
      <c r="M89" s="1552"/>
      <c r="N89" s="1552"/>
      <c r="O89" s="1552"/>
      <c r="P89" s="1552"/>
      <c r="Q89" s="1552"/>
      <c r="R89" s="236"/>
      <c r="S89" s="236"/>
      <c r="T89" s="236"/>
      <c r="U89" s="236"/>
      <c r="V89" s="236"/>
      <c r="W89" s="236"/>
    </row>
    <row r="90" spans="3:23" ht="13.5">
      <c r="C90" s="240"/>
      <c r="D90" s="240"/>
      <c r="E90" s="240"/>
      <c r="F90" s="240"/>
      <c r="G90" s="240"/>
      <c r="H90" s="240"/>
      <c r="I90" s="240"/>
      <c r="J90" s="240"/>
      <c r="K90" s="240"/>
      <c r="L90" s="240"/>
      <c r="M90" s="240"/>
      <c r="N90" s="240"/>
      <c r="O90" s="240"/>
      <c r="P90" s="240"/>
      <c r="Q90" s="240"/>
      <c r="R90" s="236"/>
      <c r="S90" s="236"/>
      <c r="T90" s="236"/>
      <c r="U90" s="236"/>
      <c r="V90" s="236"/>
      <c r="W90" s="236"/>
    </row>
    <row r="91" spans="3:23" ht="13.5">
      <c r="C91" s="244"/>
      <c r="D91" s="236"/>
      <c r="E91" s="236"/>
      <c r="F91" s="236"/>
      <c r="G91" s="236"/>
      <c r="H91" s="236"/>
      <c r="I91" s="236"/>
      <c r="J91" s="236"/>
      <c r="K91" s="236"/>
      <c r="L91" s="236"/>
      <c r="M91" s="236"/>
      <c r="N91" s="236"/>
      <c r="O91" s="236"/>
      <c r="P91" s="236"/>
      <c r="Q91" s="236"/>
      <c r="R91" s="236"/>
      <c r="S91" s="236"/>
      <c r="T91" s="236"/>
      <c r="U91" s="236"/>
      <c r="V91" s="236"/>
      <c r="W91" s="236"/>
    </row>
    <row r="92" spans="3:23" ht="13.5">
      <c r="C92" s="236"/>
      <c r="D92" s="236"/>
      <c r="E92" s="236"/>
      <c r="F92" s="236"/>
      <c r="G92" s="236"/>
      <c r="H92" s="236"/>
      <c r="I92" s="236"/>
      <c r="J92" s="236"/>
      <c r="K92" s="236"/>
      <c r="L92" s="236"/>
      <c r="M92" s="236"/>
      <c r="N92" s="236"/>
      <c r="O92" s="236"/>
      <c r="P92" s="236"/>
      <c r="Q92" s="236"/>
      <c r="R92" s="236"/>
      <c r="S92" s="236"/>
      <c r="T92" s="236"/>
      <c r="U92" s="236"/>
      <c r="V92" s="236"/>
      <c r="W92" s="236"/>
    </row>
  </sheetData>
  <sheetProtection/>
  <mergeCells count="19">
    <mergeCell ref="C89:Q89"/>
    <mergeCell ref="C84:Q84"/>
    <mergeCell ref="C85:Q85"/>
    <mergeCell ref="C86:W86"/>
    <mergeCell ref="C87:Q87"/>
    <mergeCell ref="C88:W88"/>
    <mergeCell ref="C79:Q79"/>
    <mergeCell ref="C74:Q74"/>
    <mergeCell ref="C75:Q75"/>
    <mergeCell ref="C77:Q77"/>
    <mergeCell ref="C76:P76"/>
    <mergeCell ref="C78:P78"/>
    <mergeCell ref="A38:R38"/>
    <mergeCell ref="A39:R39"/>
    <mergeCell ref="A40:R40"/>
    <mergeCell ref="A4:R4"/>
    <mergeCell ref="A5:R5"/>
    <mergeCell ref="A6:R6"/>
    <mergeCell ref="A7:R7"/>
  </mergeCells>
  <printOptions/>
  <pageMargins left="0.7" right="0.7" top="0.75" bottom="0.75" header="0.3" footer="0.3"/>
  <pageSetup fitToHeight="0" fitToWidth="1" horizontalDpi="600" verticalDpi="600" orientation="landscape" scale="45" r:id="rId2"/>
  <rowBreaks count="1" manualBreakCount="1">
    <brk id="36" max="255" man="1"/>
  </rowBreaks>
  <colBreaks count="1" manualBreakCount="1">
    <brk id="12" max="82" man="1"/>
  </colBreaks>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IV33"/>
  <sheetViews>
    <sheetView view="pageBreakPreview" zoomScale="90" zoomScaleSheetLayoutView="90" zoomScalePageLayoutView="0" workbookViewId="0" topLeftCell="A10">
      <selection activeCell="B28" sqref="B28"/>
    </sheetView>
  </sheetViews>
  <sheetFormatPr defaultColWidth="9.00390625" defaultRowHeight="12.75"/>
  <cols>
    <col min="1" max="1" width="6.25390625" style="245" customWidth="1"/>
    <col min="2" max="2" width="27.625" style="246" customWidth="1"/>
    <col min="3" max="4" width="34.375" style="246" customWidth="1"/>
    <col min="5" max="5" width="15.25390625" style="246" customWidth="1"/>
    <col min="6" max="6" width="23.50390625" style="246" customWidth="1"/>
    <col min="7" max="7" width="4.75390625" style="246" customWidth="1"/>
    <col min="8" max="8" width="10.125" style="246" bestFit="1" customWidth="1"/>
    <col min="9" max="9" width="4.50390625" style="246" customWidth="1"/>
    <col min="10" max="10" width="13.875" style="246" customWidth="1"/>
    <col min="11" max="11" width="27.125" style="252" bestFit="1" customWidth="1"/>
    <col min="12" max="16384" width="9.00390625" style="250" customWidth="1"/>
  </cols>
  <sheetData>
    <row r="1" spans="1:256" ht="15">
      <c r="A1" s="14" t="s">
        <v>1124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row>
    <row r="2" spans="3:11" ht="15">
      <c r="C2" s="247"/>
      <c r="D2" s="247"/>
      <c r="E2" s="247"/>
      <c r="F2" s="247"/>
      <c r="G2" s="248"/>
      <c r="H2" s="247"/>
      <c r="I2" s="247"/>
      <c r="J2" s="247"/>
      <c r="K2" s="249"/>
    </row>
    <row r="3" spans="2:11" ht="15">
      <c r="B3" s="245"/>
      <c r="C3" s="247"/>
      <c r="D3" s="247"/>
      <c r="E3" s="247"/>
      <c r="F3" s="247"/>
      <c r="G3" s="248"/>
      <c r="H3" s="247"/>
      <c r="I3" s="247"/>
      <c r="J3" s="247"/>
      <c r="K3" s="249"/>
    </row>
    <row r="4" spans="1:12" ht="15.75" customHeight="1">
      <c r="A4" s="1555" t="s">
        <v>1123</v>
      </c>
      <c r="B4" s="1555"/>
      <c r="C4" s="1555"/>
      <c r="D4" s="1555"/>
      <c r="E4" s="1555"/>
      <c r="F4" s="1555"/>
      <c r="G4" s="1555"/>
      <c r="H4" s="1555"/>
      <c r="I4" s="1555"/>
      <c r="J4" s="1555"/>
      <c r="K4" s="1555"/>
      <c r="L4" s="230"/>
    </row>
    <row r="5" spans="1:12" ht="15.75" customHeight="1">
      <c r="A5" s="1545" t="s">
        <v>645</v>
      </c>
      <c r="B5" s="1545"/>
      <c r="C5" s="1545"/>
      <c r="D5" s="1545"/>
      <c r="E5" s="1545"/>
      <c r="F5" s="1545"/>
      <c r="G5" s="1545"/>
      <c r="H5" s="1545"/>
      <c r="I5" s="1545"/>
      <c r="J5" s="1545"/>
      <c r="K5" s="1545"/>
      <c r="L5" s="230"/>
    </row>
    <row r="6" spans="1:12" ht="15">
      <c r="A6" s="1556" t="str">
        <f>+'F1-Proj RR'!A6</f>
        <v>NEW YORK POWER AUTHORITY</v>
      </c>
      <c r="B6" s="1556"/>
      <c r="C6" s="1556"/>
      <c r="D6" s="1556"/>
      <c r="E6" s="1556"/>
      <c r="F6" s="1556"/>
      <c r="G6" s="1556"/>
      <c r="H6" s="1556"/>
      <c r="I6" s="1556"/>
      <c r="J6" s="1556"/>
      <c r="K6" s="1556"/>
      <c r="L6" s="231"/>
    </row>
    <row r="7" spans="1:12" ht="15">
      <c r="A7" s="1557" t="str">
        <f>SUMMARY!A7</f>
        <v>YEAR ENDING DECEMBER 31, 2015</v>
      </c>
      <c r="B7" s="1557"/>
      <c r="C7" s="1557"/>
      <c r="D7" s="1557"/>
      <c r="E7" s="1557"/>
      <c r="F7" s="1557"/>
      <c r="G7" s="1557"/>
      <c r="H7" s="1557"/>
      <c r="I7" s="1557"/>
      <c r="J7" s="1557"/>
      <c r="K7" s="1557"/>
      <c r="L7" s="231"/>
    </row>
    <row r="8" spans="1:11" s="258" customFormat="1" ht="15">
      <c r="A8" s="833" t="s">
        <v>602</v>
      </c>
      <c r="B8" s="1264"/>
      <c r="C8" s="1264"/>
      <c r="K8" s="1265"/>
    </row>
    <row r="9" spans="1:11" s="258" customFormat="1" ht="15.75" thickBot="1">
      <c r="A9" s="1164" t="s">
        <v>60</v>
      </c>
      <c r="B9" s="1164" t="s">
        <v>260</v>
      </c>
      <c r="C9" s="1164" t="s">
        <v>925</v>
      </c>
      <c r="K9" s="1266" t="s">
        <v>648</v>
      </c>
    </row>
    <row r="10" spans="1:11" s="258" customFormat="1" ht="15">
      <c r="A10" s="1267"/>
      <c r="B10" s="1264"/>
      <c r="C10" s="1264"/>
      <c r="K10" s="1265"/>
    </row>
    <row r="11" spans="1:11" s="258" customFormat="1" ht="15">
      <c r="A11" s="1267">
        <v>1</v>
      </c>
      <c r="B11" s="1264" t="s">
        <v>646</v>
      </c>
      <c r="C11" s="1264" t="s">
        <v>1125</v>
      </c>
      <c r="K11" s="1267">
        <f>+'C1-Rate Base'!L31</f>
        <v>656767179.5609475</v>
      </c>
    </row>
    <row r="12" spans="1:11" s="258" customFormat="1" ht="15">
      <c r="A12" s="1267"/>
      <c r="B12" s="1264"/>
      <c r="C12" s="1264"/>
      <c r="K12" s="1265"/>
    </row>
    <row r="13" spans="1:11" s="258" customFormat="1" ht="15" thickBot="1">
      <c r="A13" s="1268">
        <f>+A11+1</f>
        <v>2</v>
      </c>
      <c r="B13" s="1269" t="s">
        <v>647</v>
      </c>
      <c r="C13" s="1270"/>
      <c r="D13" s="1271"/>
      <c r="E13" s="1271"/>
      <c r="F13" s="1271"/>
      <c r="G13" s="1271"/>
      <c r="H13" s="1271"/>
      <c r="I13" s="1271"/>
      <c r="J13" s="1266" t="s">
        <v>648</v>
      </c>
      <c r="K13" s="1265"/>
    </row>
    <row r="14" spans="1:11" s="258" customFormat="1" ht="15">
      <c r="A14" s="1268"/>
      <c r="B14" s="1272"/>
      <c r="C14" s="1270"/>
      <c r="D14" s="1271"/>
      <c r="E14" s="1271"/>
      <c r="F14" s="1271"/>
      <c r="G14" s="1271"/>
      <c r="H14" s="1273"/>
      <c r="I14" s="1271"/>
      <c r="J14" s="1274" t="s">
        <v>194</v>
      </c>
      <c r="K14" s="1265"/>
    </row>
    <row r="15" spans="1:11" s="258" customFormat="1" ht="15.75" thickBot="1">
      <c r="A15" s="1268"/>
      <c r="B15" s="1272"/>
      <c r="C15" s="1270"/>
      <c r="D15" s="1271"/>
      <c r="E15" s="1271"/>
      <c r="F15" s="1275" t="s">
        <v>649</v>
      </c>
      <c r="G15" s="1271"/>
      <c r="H15" s="1275" t="s">
        <v>193</v>
      </c>
      <c r="I15" s="1271"/>
      <c r="J15" s="1275" t="s">
        <v>193</v>
      </c>
      <c r="K15" s="1265"/>
    </row>
    <row r="16" spans="1:11" s="258" customFormat="1" ht="15">
      <c r="A16" s="1268">
        <f>+A13+1</f>
        <v>3</v>
      </c>
      <c r="B16" s="1269" t="s">
        <v>650</v>
      </c>
      <c r="C16" s="1276" t="s">
        <v>1126</v>
      </c>
      <c r="D16" s="1276"/>
      <c r="E16" s="1271"/>
      <c r="F16" s="1385">
        <f>+'D1-Cap Structure'!D21</f>
        <v>0.4</v>
      </c>
      <c r="G16" s="1277"/>
      <c r="H16" s="1278">
        <f>+'D1-Cap Structure'!F21</f>
        <v>0.04768816130706849</v>
      </c>
      <c r="I16" s="1279"/>
      <c r="J16" s="1279">
        <f>F16*H16</f>
        <v>0.019075264522827397</v>
      </c>
      <c r="K16" s="1265"/>
    </row>
    <row r="17" spans="1:11" s="258" customFormat="1" ht="39.75" customHeight="1" thickBot="1">
      <c r="A17" s="1268">
        <f>+A16+1</f>
        <v>4</v>
      </c>
      <c r="B17" s="1269" t="s">
        <v>651</v>
      </c>
      <c r="C17" s="1276" t="s">
        <v>1127</v>
      </c>
      <c r="D17" s="1280" t="s">
        <v>734</v>
      </c>
      <c r="E17" s="1271"/>
      <c r="F17" s="1385">
        <f>+'D1-Cap Structure'!D23</f>
        <v>0.6</v>
      </c>
      <c r="G17" s="1277"/>
      <c r="H17" s="1281">
        <f>+'D1-Cap Structure'!F23+0.01</f>
        <v>0.1015</v>
      </c>
      <c r="I17" s="1279"/>
      <c r="J17" s="1282">
        <f>F17*H17</f>
        <v>0.0609</v>
      </c>
      <c r="K17" s="1265"/>
    </row>
    <row r="18" spans="1:11" s="258" customFormat="1" ht="15">
      <c r="A18" s="1268">
        <f>+A17+1</f>
        <v>5</v>
      </c>
      <c r="B18" s="1272" t="s">
        <v>652</v>
      </c>
      <c r="C18" s="1276"/>
      <c r="D18" s="1283"/>
      <c r="E18" s="1271"/>
      <c r="F18" s="1284" t="s">
        <v>32</v>
      </c>
      <c r="G18" s="1284"/>
      <c r="H18" s="1279"/>
      <c r="I18" s="1279"/>
      <c r="J18" s="1279">
        <f>SUM(J16:J17)</f>
        <v>0.0799752645228274</v>
      </c>
      <c r="K18" s="1265"/>
    </row>
    <row r="19" spans="1:11" s="258" customFormat="1" ht="15">
      <c r="A19" s="1268">
        <f aca="true" t="shared" si="0" ref="A19:A25">+A18+1</f>
        <v>6</v>
      </c>
      <c r="B19" s="1272" t="s">
        <v>653</v>
      </c>
      <c r="C19" s="1276"/>
      <c r="D19" s="1283"/>
      <c r="E19" s="1271"/>
      <c r="F19" s="1271"/>
      <c r="G19" s="1271"/>
      <c r="H19" s="1271"/>
      <c r="I19" s="1271"/>
      <c r="J19" s="1285"/>
      <c r="K19" s="1286">
        <f>+J18*K11</f>
        <v>52525128.91529806</v>
      </c>
    </row>
    <row r="20" spans="1:11" s="258" customFormat="1" ht="15">
      <c r="A20" s="1268"/>
      <c r="K20" s="1286"/>
    </row>
    <row r="21" spans="1:11" s="258" customFormat="1" ht="15">
      <c r="A21" s="1268"/>
      <c r="K21" s="1286"/>
    </row>
    <row r="22" spans="1:11" s="258" customFormat="1" ht="15">
      <c r="A22" s="1268">
        <f>+A19+1</f>
        <v>7</v>
      </c>
      <c r="B22" s="258" t="s">
        <v>1130</v>
      </c>
      <c r="K22" s="1286">
        <f>+'C1-Rate Base'!P31</f>
        <v>48584525.83793238</v>
      </c>
    </row>
    <row r="23" spans="1:11" s="258" customFormat="1" ht="15">
      <c r="A23" s="1268">
        <f>+A22+1</f>
        <v>8</v>
      </c>
      <c r="B23" s="1276" t="s">
        <v>654</v>
      </c>
      <c r="E23" s="258" t="s">
        <v>655</v>
      </c>
      <c r="K23" s="1286">
        <f>+K19-K22</f>
        <v>3940603.0773656815</v>
      </c>
    </row>
    <row r="24" spans="1:11" s="258" customFormat="1" ht="15">
      <c r="A24" s="1268">
        <f t="shared" si="0"/>
        <v>9</v>
      </c>
      <c r="B24" s="258" t="s">
        <v>1018</v>
      </c>
      <c r="E24" s="258" t="s">
        <v>1128</v>
      </c>
      <c r="K24" s="1287">
        <f>+'C1-Rate Base'!D19</f>
        <v>521040328.6961971</v>
      </c>
    </row>
    <row r="25" spans="1:11" s="258" customFormat="1" ht="15">
      <c r="A25" s="1268">
        <f t="shared" si="0"/>
        <v>10</v>
      </c>
      <c r="B25" s="258" t="s">
        <v>656</v>
      </c>
      <c r="E25" s="258" t="s">
        <v>657</v>
      </c>
      <c r="K25" s="1288">
        <f>IF(K24=0,0,K23/K24)</f>
        <v>0.0075629521561724035</v>
      </c>
    </row>
    <row r="26" spans="1:11" s="258" customFormat="1" ht="15">
      <c r="A26" s="1267"/>
      <c r="K26" s="1265"/>
    </row>
    <row r="27" spans="1:11" s="258" customFormat="1" ht="15">
      <c r="A27" s="1267" t="s">
        <v>658</v>
      </c>
      <c r="K27" s="1265"/>
    </row>
    <row r="28" spans="1:11" s="258" customFormat="1" ht="15">
      <c r="A28" s="1289" t="s">
        <v>589</v>
      </c>
      <c r="B28" s="1264" t="s">
        <v>659</v>
      </c>
      <c r="K28" s="1265"/>
    </row>
    <row r="29" spans="1:11" s="258" customFormat="1" ht="15">
      <c r="A29" s="1289"/>
      <c r="B29" s="1264" t="s">
        <v>1370</v>
      </c>
      <c r="K29" s="1265"/>
    </row>
    <row r="30" spans="1:11" s="258" customFormat="1" ht="15">
      <c r="A30" s="1289"/>
      <c r="B30" s="1264" t="s">
        <v>1314</v>
      </c>
      <c r="K30" s="1265"/>
    </row>
    <row r="31" spans="1:11" s="258" customFormat="1" ht="15">
      <c r="A31" s="1289"/>
      <c r="B31" s="1264" t="s">
        <v>1129</v>
      </c>
      <c r="K31" s="1265"/>
    </row>
    <row r="32" spans="1:2" ht="15">
      <c r="A32" s="253"/>
      <c r="B32" s="251"/>
    </row>
    <row r="33" spans="2:3" ht="15">
      <c r="B33" s="251"/>
      <c r="C33" s="251"/>
    </row>
  </sheetData>
  <sheetProtection/>
  <mergeCells count="4">
    <mergeCell ref="A4:K4"/>
    <mergeCell ref="A5:K5"/>
    <mergeCell ref="A6:K6"/>
    <mergeCell ref="A7:K7"/>
  </mergeCells>
  <printOptions/>
  <pageMargins left="0.7" right="0.7" top="0.75" bottom="0.75" header="0.3" footer="0.3"/>
  <pageSetup fitToHeight="1" fitToWidth="1" horizontalDpi="600" verticalDpi="600" orientation="landscape" scale="62"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N84"/>
  <sheetViews>
    <sheetView view="pageBreakPreview" zoomScaleNormal="70" zoomScaleSheetLayoutView="100" zoomScalePageLayoutView="0" workbookViewId="0" topLeftCell="A1">
      <selection activeCell="B28" sqref="B28"/>
    </sheetView>
  </sheetViews>
  <sheetFormatPr defaultColWidth="10.00390625" defaultRowHeight="12.75"/>
  <cols>
    <col min="1" max="1" width="6.75390625" style="221" customWidth="1"/>
    <col min="2" max="2" width="30.50390625" style="221" customWidth="1"/>
    <col min="3" max="3" width="16.00390625" style="221" bestFit="1" customWidth="1"/>
    <col min="4" max="4" width="21.00390625" style="221" customWidth="1"/>
    <col min="5" max="5" width="26.00390625" style="221" customWidth="1"/>
    <col min="6" max="6" width="23.50390625" style="221" customWidth="1"/>
    <col min="7" max="7" width="14.75390625" style="221" customWidth="1"/>
    <col min="8" max="8" width="16.25390625" style="221" customWidth="1"/>
    <col min="9" max="9" width="20.875" style="221" customWidth="1"/>
    <col min="10" max="10" width="15.50390625" style="221" customWidth="1"/>
    <col min="11" max="11" width="16.25390625" style="221" customWidth="1"/>
    <col min="12" max="12" width="15.25390625" style="221" customWidth="1"/>
    <col min="13" max="16384" width="10.00390625" style="221" customWidth="1"/>
  </cols>
  <sheetData>
    <row r="1" ht="15">
      <c r="A1" s="14" t="s">
        <v>1131</v>
      </c>
    </row>
    <row r="2" ht="12.75">
      <c r="J2" s="824" t="s">
        <v>747</v>
      </c>
    </row>
    <row r="4" ht="12.75">
      <c r="E4" s="234"/>
    </row>
    <row r="5" spans="1:12" ht="15">
      <c r="A5" s="1546" t="s">
        <v>1132</v>
      </c>
      <c r="B5" s="1546"/>
      <c r="C5" s="1546"/>
      <c r="D5" s="1546"/>
      <c r="E5" s="1546"/>
      <c r="F5" s="1546"/>
      <c r="G5" s="1546"/>
      <c r="H5" s="1546"/>
      <c r="I5" s="1546"/>
      <c r="J5" s="1546"/>
      <c r="K5" s="224"/>
      <c r="L5" s="227"/>
    </row>
    <row r="6" spans="1:12" ht="15">
      <c r="A6" s="1546" t="s">
        <v>660</v>
      </c>
      <c r="B6" s="1546"/>
      <c r="C6" s="1546"/>
      <c r="D6" s="1546"/>
      <c r="E6" s="1546"/>
      <c r="F6" s="1546"/>
      <c r="G6" s="1546"/>
      <c r="H6" s="1546"/>
      <c r="I6" s="1546"/>
      <c r="J6" s="1546"/>
      <c r="K6" s="232"/>
      <c r="L6" s="227"/>
    </row>
    <row r="7" spans="1:12" ht="15">
      <c r="A7" s="1547" t="str">
        <f>'F2-Incentives'!A5</f>
        <v>Incentives</v>
      </c>
      <c r="B7" s="1547"/>
      <c r="C7" s="1547"/>
      <c r="D7" s="1547"/>
      <c r="E7" s="1547"/>
      <c r="F7" s="1547"/>
      <c r="G7" s="1547"/>
      <c r="H7" s="1547"/>
      <c r="I7" s="1547"/>
      <c r="J7" s="1547"/>
      <c r="K7" s="225"/>
      <c r="L7" s="225"/>
    </row>
    <row r="8" spans="1:12" ht="15">
      <c r="A8" s="1557" t="str">
        <f>SUMMARY!A7</f>
        <v>YEAR ENDING DECEMBER 31, 2015</v>
      </c>
      <c r="B8" s="1557"/>
      <c r="C8" s="1557"/>
      <c r="D8" s="1557"/>
      <c r="E8" s="1557"/>
      <c r="F8" s="1557"/>
      <c r="G8" s="1557"/>
      <c r="H8" s="1557"/>
      <c r="I8" s="1557"/>
      <c r="J8" s="1557"/>
      <c r="K8" s="225"/>
      <c r="L8" s="225"/>
    </row>
    <row r="9" spans="1:12" ht="12.75">
      <c r="A9" s="223"/>
      <c r="C9" s="225"/>
      <c r="D9" s="225"/>
      <c r="E9" s="233" t="s">
        <v>945</v>
      </c>
      <c r="F9" s="225"/>
      <c r="G9" s="225"/>
      <c r="H9" s="229"/>
      <c r="I9" s="225"/>
      <c r="J9" s="225"/>
      <c r="K9" s="225"/>
      <c r="L9" s="225"/>
    </row>
    <row r="10" spans="1:12" ht="12.75">
      <c r="A10" s="223"/>
      <c r="E10" s="235"/>
      <c r="F10" s="235"/>
      <c r="G10" s="235"/>
      <c r="I10" s="225"/>
      <c r="J10" s="225"/>
      <c r="K10" s="225"/>
      <c r="L10" s="225"/>
    </row>
    <row r="11" spans="1:12" s="1158" customFormat="1" ht="15">
      <c r="A11" s="1290" t="s">
        <v>220</v>
      </c>
      <c r="B11" s="1290" t="s">
        <v>221</v>
      </c>
      <c r="C11" s="1290" t="s">
        <v>222</v>
      </c>
      <c r="D11" s="1290" t="s">
        <v>223</v>
      </c>
      <c r="E11" s="1290" t="s">
        <v>224</v>
      </c>
      <c r="F11" s="1290" t="s">
        <v>456</v>
      </c>
      <c r="G11" s="1290" t="s">
        <v>457</v>
      </c>
      <c r="H11" s="1290" t="s">
        <v>1087</v>
      </c>
      <c r="I11" s="1290" t="s">
        <v>1088</v>
      </c>
      <c r="J11" s="1290" t="s">
        <v>1089</v>
      </c>
      <c r="K11" s="1291"/>
      <c r="L11" s="1291"/>
    </row>
    <row r="12" spans="1:10" s="1158" customFormat="1" ht="12.75">
      <c r="A12" s="1292"/>
      <c r="B12" s="1293"/>
      <c r="C12" s="1293"/>
      <c r="E12" s="1294" t="s">
        <v>560</v>
      </c>
      <c r="F12" s="1294" t="s">
        <v>663</v>
      </c>
      <c r="H12" s="1294" t="s">
        <v>664</v>
      </c>
      <c r="I12" s="1294" t="s">
        <v>663</v>
      </c>
      <c r="J12" s="1295"/>
    </row>
    <row r="13" spans="1:10" s="1158" customFormat="1" ht="12.75">
      <c r="A13" s="1292"/>
      <c r="B13" s="1293"/>
      <c r="C13" s="1294" t="s">
        <v>924</v>
      </c>
      <c r="E13" s="1294" t="s">
        <v>244</v>
      </c>
      <c r="F13" s="1294" t="s">
        <v>665</v>
      </c>
      <c r="G13" s="1294"/>
      <c r="H13" s="1294" t="s">
        <v>666</v>
      </c>
      <c r="I13" s="1294" t="s">
        <v>665</v>
      </c>
      <c r="J13" s="1296" t="s">
        <v>4</v>
      </c>
    </row>
    <row r="14" spans="1:10" s="1158" customFormat="1" ht="12.75">
      <c r="A14" s="1297" t="s">
        <v>602</v>
      </c>
      <c r="B14" s="1294" t="s">
        <v>667</v>
      </c>
      <c r="C14" s="1294" t="s">
        <v>735</v>
      </c>
      <c r="D14" s="1294" t="s">
        <v>892</v>
      </c>
      <c r="E14" s="1294" t="s">
        <v>668</v>
      </c>
      <c r="F14" s="1294" t="s">
        <v>669</v>
      </c>
      <c r="G14" s="1298" t="s">
        <v>670</v>
      </c>
      <c r="H14" s="1294" t="s">
        <v>671</v>
      </c>
      <c r="I14" s="1294" t="s">
        <v>666</v>
      </c>
      <c r="J14" s="1296" t="s">
        <v>663</v>
      </c>
    </row>
    <row r="15" spans="1:10" s="1158" customFormat="1" ht="12.75">
      <c r="A15" s="1299" t="s">
        <v>60</v>
      </c>
      <c r="B15" s="1300" t="s">
        <v>413</v>
      </c>
      <c r="C15" s="1300" t="s">
        <v>672</v>
      </c>
      <c r="D15" s="1300" t="s">
        <v>893</v>
      </c>
      <c r="E15" s="1300" t="s">
        <v>894</v>
      </c>
      <c r="F15" s="1300" t="s">
        <v>673</v>
      </c>
      <c r="G15" s="1300" t="s">
        <v>665</v>
      </c>
      <c r="H15" s="1300" t="s">
        <v>673</v>
      </c>
      <c r="I15" s="1300" t="s">
        <v>673</v>
      </c>
      <c r="J15" s="1301" t="s">
        <v>665</v>
      </c>
    </row>
    <row r="16" spans="1:10" s="1158" customFormat="1" ht="12.75">
      <c r="A16" s="1292"/>
      <c r="B16" s="1293"/>
      <c r="C16" s="1293"/>
      <c r="D16" s="1261"/>
      <c r="E16" s="1261"/>
      <c r="F16" s="1293"/>
      <c r="G16" s="1293"/>
      <c r="H16" s="1293"/>
      <c r="I16" s="1293"/>
      <c r="J16" s="1295"/>
    </row>
    <row r="17" spans="1:10" s="1158" customFormat="1" ht="12.75">
      <c r="A17" s="1292"/>
      <c r="B17" s="1293"/>
      <c r="C17" s="1293"/>
      <c r="D17" s="1294" t="s">
        <v>32</v>
      </c>
      <c r="E17" s="1261"/>
      <c r="F17" s="1293"/>
      <c r="G17" s="1261" t="s">
        <v>1016</v>
      </c>
      <c r="H17" s="1261"/>
      <c r="I17" s="1261" t="s">
        <v>674</v>
      </c>
      <c r="J17" s="1295" t="s">
        <v>675</v>
      </c>
    </row>
    <row r="18" spans="1:10" s="1158" customFormat="1" ht="26.25" customHeight="1">
      <c r="A18" s="1302"/>
      <c r="B18" s="1303"/>
      <c r="C18" s="1303"/>
      <c r="D18" s="1304" t="s">
        <v>984</v>
      </c>
      <c r="E18" s="1305" t="s">
        <v>1133</v>
      </c>
      <c r="F18" s="1306" t="s">
        <v>676</v>
      </c>
      <c r="G18" s="1261" t="s">
        <v>895</v>
      </c>
      <c r="H18" s="1261" t="s">
        <v>677</v>
      </c>
      <c r="I18" s="1261" t="s">
        <v>678</v>
      </c>
      <c r="J18" s="1307" t="s">
        <v>679</v>
      </c>
    </row>
    <row r="19" spans="1:10" s="1158" customFormat="1" ht="12.75">
      <c r="A19" s="1308"/>
      <c r="B19" s="1309"/>
      <c r="C19" s="1309"/>
      <c r="D19" s="1309"/>
      <c r="E19" s="1309"/>
      <c r="F19" s="1309"/>
      <c r="G19" s="1309"/>
      <c r="H19" s="1309"/>
      <c r="I19" s="1309"/>
      <c r="J19" s="1310"/>
    </row>
    <row r="20" spans="1:10" s="1158" customFormat="1" ht="12.75">
      <c r="A20" s="1311" t="s">
        <v>605</v>
      </c>
      <c r="B20" s="1232" t="str">
        <f>+SUMMARY!B40</f>
        <v>NTAC Facilities</v>
      </c>
      <c r="C20" s="1234">
        <v>0</v>
      </c>
      <c r="D20" s="1312">
        <v>0</v>
      </c>
      <c r="E20" s="1312">
        <v>0</v>
      </c>
      <c r="F20" s="1313">
        <f>+E20-D20</f>
        <v>0</v>
      </c>
      <c r="G20" s="1312">
        <v>0</v>
      </c>
      <c r="H20" s="1312">
        <f>+H$68</f>
        <v>0</v>
      </c>
      <c r="I20" s="1313">
        <f>(F20+G20)*H20*24</f>
        <v>0</v>
      </c>
      <c r="J20" s="1314">
        <f>+I20+F20+G20</f>
        <v>0</v>
      </c>
    </row>
    <row r="21" spans="1:10" s="1158" customFormat="1" ht="12.75">
      <c r="A21" s="1315" t="s">
        <v>607</v>
      </c>
      <c r="B21" s="1316" t="s">
        <v>714</v>
      </c>
      <c r="C21" s="1312">
        <v>0</v>
      </c>
      <c r="D21" s="1312">
        <v>0</v>
      </c>
      <c r="E21" s="1317">
        <v>0</v>
      </c>
      <c r="F21" s="1313">
        <f>+E21-D21</f>
        <v>0</v>
      </c>
      <c r="G21" s="1312">
        <v>0</v>
      </c>
      <c r="H21" s="1312">
        <f>+H$68</f>
        <v>0</v>
      </c>
      <c r="I21" s="1313">
        <f>(F21+G21)*H21*24</f>
        <v>0</v>
      </c>
      <c r="J21" s="1314">
        <f>+I21+F21+G21</f>
        <v>0</v>
      </c>
    </row>
    <row r="22" spans="1:10" s="1158" customFormat="1" ht="12.75">
      <c r="A22" s="1315" t="s">
        <v>628</v>
      </c>
      <c r="B22" s="1316" t="s">
        <v>715</v>
      </c>
      <c r="C22" s="1312">
        <v>0</v>
      </c>
      <c r="D22" s="1312">
        <v>0</v>
      </c>
      <c r="E22" s="1317">
        <v>0</v>
      </c>
      <c r="F22" s="1313">
        <f>+E22-D22</f>
        <v>0</v>
      </c>
      <c r="G22" s="1312">
        <v>0</v>
      </c>
      <c r="H22" s="1312">
        <f>+H$68</f>
        <v>0</v>
      </c>
      <c r="I22" s="1313">
        <f>(F22+G22)*H22*24</f>
        <v>0</v>
      </c>
      <c r="J22" s="1314">
        <f>+I22+F22+G22</f>
        <v>0</v>
      </c>
    </row>
    <row r="23" spans="1:10" s="1158" customFormat="1" ht="12.75">
      <c r="A23" s="1315" t="s">
        <v>629</v>
      </c>
      <c r="B23" s="1316">
        <v>0</v>
      </c>
      <c r="C23" s="1312">
        <v>0</v>
      </c>
      <c r="D23" s="1312">
        <v>0</v>
      </c>
      <c r="E23" s="1317">
        <v>0</v>
      </c>
      <c r="F23" s="1313">
        <f>+E23-D23</f>
        <v>0</v>
      </c>
      <c r="G23" s="1312">
        <v>0</v>
      </c>
      <c r="H23" s="1312">
        <f>+H$68</f>
        <v>0</v>
      </c>
      <c r="I23" s="1313">
        <f>(F23+G23)*H23*24</f>
        <v>0</v>
      </c>
      <c r="J23" s="1314">
        <f>+I23+F23+G23</f>
        <v>0</v>
      </c>
    </row>
    <row r="24" spans="1:10" s="1158" customFormat="1" ht="12.75">
      <c r="A24" s="1315" t="s">
        <v>630</v>
      </c>
      <c r="B24" s="1316">
        <v>0</v>
      </c>
      <c r="C24" s="1312">
        <v>0</v>
      </c>
      <c r="D24" s="1312">
        <v>0</v>
      </c>
      <c r="E24" s="1317">
        <v>0</v>
      </c>
      <c r="F24" s="1313">
        <f>+E24-D24</f>
        <v>0</v>
      </c>
      <c r="G24" s="1312">
        <v>0</v>
      </c>
      <c r="H24" s="1312">
        <f>+H$68</f>
        <v>0</v>
      </c>
      <c r="I24" s="1313">
        <f>(F24+G24)*H24*24</f>
        <v>0</v>
      </c>
      <c r="J24" s="1314">
        <f>+I24+F24+G24</f>
        <v>0</v>
      </c>
    </row>
    <row r="25" spans="1:10" s="1158" customFormat="1" ht="12.75">
      <c r="A25" s="1297" t="s">
        <v>681</v>
      </c>
      <c r="B25" s="1316"/>
      <c r="C25" s="1312"/>
      <c r="D25" s="1312"/>
      <c r="E25" s="1312"/>
      <c r="F25" s="1313"/>
      <c r="G25" s="1312"/>
      <c r="H25" s="1312"/>
      <c r="I25" s="1313"/>
      <c r="J25" s="1314"/>
    </row>
    <row r="26" spans="1:10" s="1158" customFormat="1" ht="12.75">
      <c r="A26" s="1297" t="s">
        <v>681</v>
      </c>
      <c r="B26" s="1318"/>
      <c r="C26" s="1318"/>
      <c r="D26" s="1318"/>
      <c r="E26" s="1318"/>
      <c r="F26" s="1313"/>
      <c r="G26" s="1312"/>
      <c r="H26" s="1316"/>
      <c r="I26" s="1313"/>
      <c r="J26" s="1314"/>
    </row>
    <row r="27" spans="1:10" s="1158" customFormat="1" ht="12.75">
      <c r="A27" s="1299"/>
      <c r="B27" s="1303"/>
      <c r="C27" s="1303"/>
      <c r="D27" s="1303"/>
      <c r="E27" s="1303"/>
      <c r="F27" s="1303"/>
      <c r="G27" s="1303"/>
      <c r="H27" s="1303"/>
      <c r="I27" s="1303"/>
      <c r="J27" s="1319"/>
    </row>
    <row r="28" spans="1:11" s="1158" customFormat="1" ht="15">
      <c r="A28" s="1320">
        <v>2</v>
      </c>
      <c r="B28" s="1321" t="s">
        <v>682</v>
      </c>
      <c r="C28" s="1321"/>
      <c r="D28" s="1322"/>
      <c r="E28" s="1322"/>
      <c r="F28" s="1323">
        <f>SUM(E21:E27)</f>
        <v>0</v>
      </c>
      <c r="G28" s="1323"/>
      <c r="H28" s="1322"/>
      <c r="I28" s="1324">
        <f>SUM(I20:I27)</f>
        <v>0</v>
      </c>
      <c r="J28" s="1323">
        <f>SUM(J20:J26)</f>
        <v>0</v>
      </c>
      <c r="K28" s="1325"/>
    </row>
    <row r="29" spans="1:12" s="1158" customFormat="1" ht="15">
      <c r="A29" s="1320"/>
      <c r="B29" s="1321"/>
      <c r="C29" s="1321"/>
      <c r="D29" s="1321"/>
      <c r="E29" s="1321"/>
      <c r="F29" s="1321"/>
      <c r="G29" s="1321"/>
      <c r="H29" s="1321"/>
      <c r="I29" s="1321"/>
      <c r="J29" s="1321"/>
      <c r="K29" s="1325"/>
      <c r="L29" s="1325"/>
    </row>
    <row r="30" spans="1:12" s="1158" customFormat="1" ht="12.75">
      <c r="A30" s="1320">
        <v>3</v>
      </c>
      <c r="B30" s="1321" t="s">
        <v>683</v>
      </c>
      <c r="C30" s="1321"/>
      <c r="D30" s="1321"/>
      <c r="E30" s="1321"/>
      <c r="F30" s="1323"/>
      <c r="G30" s="1323"/>
      <c r="H30" s="1321"/>
      <c r="I30" s="1322"/>
      <c r="J30" s="1326">
        <f>+J28</f>
        <v>0</v>
      </c>
      <c r="K30" s="1322"/>
      <c r="L30" s="1322"/>
    </row>
    <row r="31" spans="1:12" s="1158" customFormat="1" ht="12.75">
      <c r="A31" s="1320"/>
      <c r="B31" s="1321"/>
      <c r="C31" s="1321"/>
      <c r="D31" s="1321"/>
      <c r="E31" s="1321"/>
      <c r="F31" s="1323"/>
      <c r="G31" s="1323"/>
      <c r="H31" s="1321"/>
      <c r="I31" s="1322"/>
      <c r="J31" s="1326"/>
      <c r="K31" s="1322"/>
      <c r="L31" s="1322"/>
    </row>
    <row r="32" spans="1:12" s="1158" customFormat="1" ht="12.75">
      <c r="A32" s="1320"/>
      <c r="B32" s="160" t="s">
        <v>711</v>
      </c>
      <c r="C32" s="1321"/>
      <c r="D32" s="1575"/>
      <c r="E32" s="1575"/>
      <c r="F32" s="1575"/>
      <c r="G32" s="1575"/>
      <c r="H32" s="1575"/>
      <c r="I32" s="1575"/>
      <c r="J32" s="1575"/>
      <c r="K32" s="1575"/>
      <c r="L32" s="1322"/>
    </row>
    <row r="33" spans="1:12" s="1158" customFormat="1" ht="12.75">
      <c r="A33" s="1320"/>
      <c r="B33" s="1158" t="s">
        <v>1315</v>
      </c>
      <c r="C33" s="1321"/>
      <c r="D33" s="1321"/>
      <c r="E33" s="1321"/>
      <c r="F33" s="1323"/>
      <c r="G33" s="1323"/>
      <c r="H33" s="1321"/>
      <c r="I33" s="1322"/>
      <c r="J33" s="1326"/>
      <c r="K33" s="1322"/>
      <c r="L33" s="1322"/>
    </row>
    <row r="34" spans="1:12" s="1158" customFormat="1" ht="12.75">
      <c r="A34" s="1320"/>
      <c r="B34" s="1400" t="s">
        <v>1316</v>
      </c>
      <c r="C34" s="1321"/>
      <c r="D34" s="1321"/>
      <c r="E34" s="1321"/>
      <c r="F34" s="1323"/>
      <c r="G34" s="1323"/>
      <c r="H34" s="1321"/>
      <c r="I34" s="1322"/>
      <c r="J34" s="1326"/>
      <c r="K34" s="1322"/>
      <c r="L34" s="1322"/>
    </row>
    <row r="35" spans="1:12" s="1158" customFormat="1" ht="12.75">
      <c r="A35" s="1320"/>
      <c r="B35" s="1158" t="s">
        <v>1134</v>
      </c>
      <c r="C35" s="1321"/>
      <c r="D35" s="1321"/>
      <c r="E35" s="1321"/>
      <c r="F35" s="1323"/>
      <c r="G35" s="1323"/>
      <c r="H35" s="1321"/>
      <c r="I35" s="1322"/>
      <c r="J35" s="1326"/>
      <c r="K35" s="1322"/>
      <c r="L35" s="1322"/>
    </row>
    <row r="36" spans="1:12" s="1158" customFormat="1" ht="12.75">
      <c r="A36" s="1320"/>
      <c r="C36" s="1321"/>
      <c r="D36" s="1321"/>
      <c r="E36" s="1321"/>
      <c r="F36" s="1323"/>
      <c r="G36" s="1323"/>
      <c r="H36" s="1321"/>
      <c r="I36" s="1322"/>
      <c r="J36" s="1326"/>
      <c r="K36" s="1322"/>
      <c r="L36" s="1322"/>
    </row>
    <row r="37" spans="1:12" s="236" customFormat="1" ht="15">
      <c r="A37" s="254"/>
      <c r="B37" s="324"/>
      <c r="C37" s="255"/>
      <c r="D37" s="255"/>
      <c r="E37" s="255"/>
      <c r="F37" s="255"/>
      <c r="G37" s="255"/>
      <c r="H37" s="255"/>
      <c r="I37" s="255"/>
      <c r="J37" s="255"/>
      <c r="K37" s="256"/>
      <c r="L37" s="256"/>
    </row>
    <row r="38" spans="1:12" ht="21">
      <c r="A38" s="690" t="s">
        <v>1131</v>
      </c>
      <c r="B38" s="236"/>
      <c r="L38" s="236"/>
    </row>
    <row r="39" spans="5:12" ht="15">
      <c r="E39" s="826" t="str">
        <f>+A5</f>
        <v>Schedule F3</v>
      </c>
      <c r="J39" s="824" t="s">
        <v>748</v>
      </c>
      <c r="L39" s="236"/>
    </row>
    <row r="40" spans="5:12" ht="15">
      <c r="E40" s="827" t="s">
        <v>660</v>
      </c>
      <c r="L40" s="236"/>
    </row>
    <row r="41" spans="5:12" ht="15">
      <c r="E41" s="825" t="str">
        <f>+A7</f>
        <v>Incentives</v>
      </c>
      <c r="L41" s="236"/>
    </row>
    <row r="42" ht="13.5">
      <c r="L42" s="236"/>
    </row>
    <row r="43" ht="13.5">
      <c r="L43" s="236"/>
    </row>
    <row r="44" s="1158" customFormat="1" ht="12.75">
      <c r="A44" s="1327" t="s">
        <v>684</v>
      </c>
    </row>
    <row r="45" s="1158" customFormat="1" ht="12.75"/>
    <row r="46" s="1158" customFormat="1" ht="12.75"/>
    <row r="47" spans="1:14" s="1158" customFormat="1" ht="27.75" customHeight="1">
      <c r="A47" s="1328">
        <f>+A30+1</f>
        <v>4</v>
      </c>
      <c r="B47" s="1329" t="s">
        <v>685</v>
      </c>
      <c r="C47" s="1330"/>
      <c r="D47" s="1330" t="s">
        <v>219</v>
      </c>
      <c r="E47" s="1331" t="s">
        <v>686</v>
      </c>
      <c r="F47" s="1332"/>
      <c r="G47" s="1332"/>
      <c r="H47" s="1332"/>
      <c r="I47" s="1332"/>
      <c r="J47" s="1332"/>
      <c r="K47" s="258"/>
      <c r="L47" s="258"/>
      <c r="M47" s="258"/>
      <c r="N47" s="258"/>
    </row>
    <row r="48" spans="1:14" s="1158" customFormat="1" ht="12.75" customHeight="1">
      <c r="A48" s="1328">
        <f>+A47+1</f>
        <v>5</v>
      </c>
      <c r="B48" s="1332" t="s">
        <v>687</v>
      </c>
      <c r="C48" s="1333"/>
      <c r="D48" s="1334">
        <v>0</v>
      </c>
      <c r="E48" s="1334">
        <v>0</v>
      </c>
      <c r="F48" s="1335"/>
      <c r="G48" s="1335"/>
      <c r="H48" s="1335"/>
      <c r="I48" s="1332"/>
      <c r="J48" s="1332"/>
      <c r="K48" s="258"/>
      <c r="L48" s="258"/>
      <c r="M48" s="258"/>
      <c r="N48" s="258"/>
    </row>
    <row r="49" spans="1:14" s="1158" customFormat="1" ht="12.75" customHeight="1">
      <c r="A49" s="1328">
        <f aca="true" t="shared" si="0" ref="A49:A66">+A48+1</f>
        <v>6</v>
      </c>
      <c r="B49" s="1332" t="s">
        <v>688</v>
      </c>
      <c r="C49" s="1333"/>
      <c r="D49" s="1334">
        <v>0</v>
      </c>
      <c r="E49" s="1334">
        <v>0</v>
      </c>
      <c r="F49" s="1335"/>
      <c r="G49" s="1335"/>
      <c r="H49" s="1335"/>
      <c r="I49" s="1332"/>
      <c r="J49" s="1332"/>
      <c r="K49" s="258"/>
      <c r="L49" s="258"/>
      <c r="M49" s="258"/>
      <c r="N49" s="258"/>
    </row>
    <row r="50" spans="1:14" s="1158" customFormat="1" ht="12.75" customHeight="1">
      <c r="A50" s="1328">
        <f t="shared" si="0"/>
        <v>7</v>
      </c>
      <c r="B50" s="1332" t="s">
        <v>689</v>
      </c>
      <c r="C50" s="1333"/>
      <c r="D50" s="1334">
        <v>0</v>
      </c>
      <c r="E50" s="1334">
        <v>0</v>
      </c>
      <c r="F50" s="1335"/>
      <c r="G50" s="1335"/>
      <c r="H50" s="1335"/>
      <c r="I50" s="1332"/>
      <c r="J50" s="1332"/>
      <c r="K50" s="258"/>
      <c r="L50" s="258"/>
      <c r="M50" s="258"/>
      <c r="N50" s="258"/>
    </row>
    <row r="51" spans="1:14" s="1158" customFormat="1" ht="12.75" customHeight="1">
      <c r="A51" s="1328">
        <f t="shared" si="0"/>
        <v>8</v>
      </c>
      <c r="B51" s="1332" t="s">
        <v>690</v>
      </c>
      <c r="C51" s="1333"/>
      <c r="D51" s="1334">
        <v>0</v>
      </c>
      <c r="E51" s="1334">
        <v>0</v>
      </c>
      <c r="F51" s="1335"/>
      <c r="G51" s="1335"/>
      <c r="H51" s="1335"/>
      <c r="I51" s="1332"/>
      <c r="J51" s="1332"/>
      <c r="K51" s="258"/>
      <c r="L51" s="258"/>
      <c r="M51" s="258"/>
      <c r="N51" s="258"/>
    </row>
    <row r="52" spans="1:14" s="1158" customFormat="1" ht="12.75" customHeight="1">
      <c r="A52" s="1328">
        <f t="shared" si="0"/>
        <v>9</v>
      </c>
      <c r="B52" s="1332" t="s">
        <v>691</v>
      </c>
      <c r="C52" s="1333"/>
      <c r="D52" s="1334">
        <v>0</v>
      </c>
      <c r="E52" s="1334">
        <v>0</v>
      </c>
      <c r="F52" s="1335"/>
      <c r="G52" s="1335"/>
      <c r="H52" s="1335"/>
      <c r="I52" s="1332"/>
      <c r="J52" s="1332"/>
      <c r="K52" s="258"/>
      <c r="L52" s="258"/>
      <c r="M52" s="258"/>
      <c r="N52" s="258"/>
    </row>
    <row r="53" spans="1:14" s="1158" customFormat="1" ht="12.75" customHeight="1">
      <c r="A53" s="1328">
        <f t="shared" si="0"/>
        <v>10</v>
      </c>
      <c r="B53" s="1332" t="s">
        <v>692</v>
      </c>
      <c r="C53" s="1333"/>
      <c r="D53" s="1334">
        <v>0</v>
      </c>
      <c r="E53" s="1334">
        <v>0</v>
      </c>
      <c r="F53" s="1335"/>
      <c r="G53" s="1335"/>
      <c r="H53" s="1335"/>
      <c r="I53" s="1332"/>
      <c r="J53" s="1332"/>
      <c r="K53" s="258"/>
      <c r="L53" s="258"/>
      <c r="M53" s="258"/>
      <c r="N53" s="258"/>
    </row>
    <row r="54" spans="1:14" s="1158" customFormat="1" ht="12.75" customHeight="1">
      <c r="A54" s="1328">
        <f t="shared" si="0"/>
        <v>11</v>
      </c>
      <c r="B54" s="1332" t="s">
        <v>693</v>
      </c>
      <c r="C54" s="1333"/>
      <c r="D54" s="1334">
        <v>0</v>
      </c>
      <c r="E54" s="1334">
        <v>0</v>
      </c>
      <c r="F54" s="1335"/>
      <c r="G54" s="1335"/>
      <c r="H54" s="1335"/>
      <c r="I54" s="1332"/>
      <c r="J54" s="1332"/>
      <c r="K54" s="258"/>
      <c r="L54" s="258"/>
      <c r="M54" s="258"/>
      <c r="N54" s="258"/>
    </row>
    <row r="55" spans="1:14" s="1158" customFormat="1" ht="12.75" customHeight="1">
      <c r="A55" s="1328">
        <f t="shared" si="0"/>
        <v>12</v>
      </c>
      <c r="B55" s="1332" t="s">
        <v>694</v>
      </c>
      <c r="C55" s="1333"/>
      <c r="D55" s="1334">
        <v>0</v>
      </c>
      <c r="E55" s="1334">
        <v>0</v>
      </c>
      <c r="F55" s="1335"/>
      <c r="G55" s="1335"/>
      <c r="H55" s="1335"/>
      <c r="I55" s="1332"/>
      <c r="J55" s="1332"/>
      <c r="K55" s="258"/>
      <c r="L55" s="258"/>
      <c r="M55" s="258"/>
      <c r="N55" s="258"/>
    </row>
    <row r="56" spans="1:14" s="1158" customFormat="1" ht="12.75" customHeight="1">
      <c r="A56" s="1328">
        <f t="shared" si="0"/>
        <v>13</v>
      </c>
      <c r="B56" s="1332" t="s">
        <v>695</v>
      </c>
      <c r="C56" s="1333"/>
      <c r="D56" s="1334">
        <v>0</v>
      </c>
      <c r="E56" s="1334">
        <v>0</v>
      </c>
      <c r="F56" s="1335"/>
      <c r="G56" s="1335"/>
      <c r="H56" s="1335"/>
      <c r="I56" s="1332"/>
      <c r="J56" s="1332"/>
      <c r="K56" s="258"/>
      <c r="L56" s="258"/>
      <c r="M56" s="258"/>
      <c r="N56" s="258"/>
    </row>
    <row r="57" spans="1:14" s="1158" customFormat="1" ht="12.75" customHeight="1">
      <c r="A57" s="1328">
        <f t="shared" si="0"/>
        <v>14</v>
      </c>
      <c r="B57" s="1332" t="s">
        <v>696</v>
      </c>
      <c r="C57" s="1333"/>
      <c r="D57" s="1334">
        <v>0</v>
      </c>
      <c r="E57" s="1334">
        <v>0</v>
      </c>
      <c r="F57" s="1335"/>
      <c r="G57" s="1335"/>
      <c r="H57" s="1335"/>
      <c r="I57" s="1332"/>
      <c r="J57" s="1332"/>
      <c r="K57" s="258"/>
      <c r="L57" s="258"/>
      <c r="M57" s="258"/>
      <c r="N57" s="258"/>
    </row>
    <row r="58" spans="1:14" s="1158" customFormat="1" ht="12.75" customHeight="1">
      <c r="A58" s="1328">
        <f t="shared" si="0"/>
        <v>15</v>
      </c>
      <c r="B58" s="1332" t="s">
        <v>697</v>
      </c>
      <c r="C58" s="1333"/>
      <c r="D58" s="1334">
        <v>0</v>
      </c>
      <c r="E58" s="1334">
        <v>0</v>
      </c>
      <c r="F58" s="1335"/>
      <c r="G58" s="1335"/>
      <c r="H58" s="1335"/>
      <c r="I58" s="1332"/>
      <c r="J58" s="1332"/>
      <c r="K58" s="258"/>
      <c r="L58" s="258"/>
      <c r="M58" s="258"/>
      <c r="N58" s="258"/>
    </row>
    <row r="59" spans="1:14" s="1158" customFormat="1" ht="15">
      <c r="A59" s="1328">
        <f t="shared" si="0"/>
        <v>16</v>
      </c>
      <c r="B59" s="1332" t="s">
        <v>698</v>
      </c>
      <c r="C59" s="1333"/>
      <c r="D59" s="1334">
        <v>0</v>
      </c>
      <c r="E59" s="1334">
        <v>0</v>
      </c>
      <c r="F59" s="1335"/>
      <c r="G59" s="1335"/>
      <c r="H59" s="1335"/>
      <c r="I59" s="1332"/>
      <c r="J59" s="1332"/>
      <c r="K59" s="258"/>
      <c r="L59" s="258"/>
      <c r="M59" s="258"/>
      <c r="N59" s="258"/>
    </row>
    <row r="60" spans="1:14" s="1158" customFormat="1" ht="15">
      <c r="A60" s="1328">
        <f t="shared" si="0"/>
        <v>17</v>
      </c>
      <c r="B60" s="1332" t="s">
        <v>687</v>
      </c>
      <c r="C60" s="1333"/>
      <c r="D60" s="1334">
        <v>0</v>
      </c>
      <c r="E60" s="1334">
        <v>0</v>
      </c>
      <c r="F60" s="1335"/>
      <c r="G60" s="1335"/>
      <c r="H60" s="1335"/>
      <c r="I60" s="1332"/>
      <c r="J60" s="1332"/>
      <c r="K60" s="258"/>
      <c r="L60" s="258"/>
      <c r="M60" s="258"/>
      <c r="N60" s="258"/>
    </row>
    <row r="61" spans="1:14" s="1158" customFormat="1" ht="15">
      <c r="A61" s="1328">
        <f t="shared" si="0"/>
        <v>18</v>
      </c>
      <c r="B61" s="1332" t="s">
        <v>688</v>
      </c>
      <c r="C61" s="1333"/>
      <c r="D61" s="1334">
        <v>0</v>
      </c>
      <c r="E61" s="1334">
        <v>0</v>
      </c>
      <c r="F61" s="1335"/>
      <c r="G61" s="1335"/>
      <c r="H61" s="1335"/>
      <c r="I61" s="1332"/>
      <c r="J61" s="1332"/>
      <c r="K61" s="258"/>
      <c r="L61" s="258"/>
      <c r="M61" s="258"/>
      <c r="N61" s="258"/>
    </row>
    <row r="62" spans="1:14" s="1158" customFormat="1" ht="15">
      <c r="A62" s="1328">
        <f t="shared" si="0"/>
        <v>19</v>
      </c>
      <c r="B62" s="1332" t="s">
        <v>689</v>
      </c>
      <c r="C62" s="1333"/>
      <c r="D62" s="1334">
        <v>0</v>
      </c>
      <c r="E62" s="1334">
        <v>0</v>
      </c>
      <c r="F62" s="1335"/>
      <c r="G62" s="1335"/>
      <c r="H62" s="1335"/>
      <c r="I62" s="1332"/>
      <c r="J62" s="1332"/>
      <c r="K62" s="258"/>
      <c r="L62" s="258"/>
      <c r="M62" s="258"/>
      <c r="N62" s="258"/>
    </row>
    <row r="63" spans="1:14" s="1158" customFormat="1" ht="15">
      <c r="A63" s="1328">
        <f t="shared" si="0"/>
        <v>20</v>
      </c>
      <c r="B63" s="1332" t="s">
        <v>690</v>
      </c>
      <c r="C63" s="1333"/>
      <c r="D63" s="1334">
        <v>0</v>
      </c>
      <c r="E63" s="1334">
        <v>0</v>
      </c>
      <c r="F63" s="1335"/>
      <c r="G63" s="1335"/>
      <c r="H63" s="1335"/>
      <c r="I63" s="1332"/>
      <c r="J63" s="1332"/>
      <c r="K63" s="258"/>
      <c r="L63" s="258"/>
      <c r="M63" s="258"/>
      <c r="N63" s="258"/>
    </row>
    <row r="64" spans="1:14" s="1158" customFormat="1" ht="15">
      <c r="A64" s="1328">
        <f t="shared" si="0"/>
        <v>21</v>
      </c>
      <c r="B64" s="1332" t="s">
        <v>691</v>
      </c>
      <c r="C64" s="1333"/>
      <c r="D64" s="1334">
        <v>0</v>
      </c>
      <c r="E64" s="1334">
        <v>0</v>
      </c>
      <c r="F64" s="1335"/>
      <c r="G64" s="1335"/>
      <c r="H64" s="1335"/>
      <c r="I64" s="1332"/>
      <c r="J64" s="1332"/>
      <c r="K64" s="258"/>
      <c r="L64" s="258"/>
      <c r="M64" s="258"/>
      <c r="N64" s="258"/>
    </row>
    <row r="65" spans="1:14" s="1158" customFormat="1" ht="13.5" customHeight="1">
      <c r="A65" s="1328">
        <f t="shared" si="0"/>
        <v>22</v>
      </c>
      <c r="B65" s="1332" t="s">
        <v>692</v>
      </c>
      <c r="C65" s="1332"/>
      <c r="D65" s="1334">
        <v>0</v>
      </c>
      <c r="E65" s="1334">
        <v>0</v>
      </c>
      <c r="F65" s="1335"/>
      <c r="G65" s="1335"/>
      <c r="H65" s="1335"/>
      <c r="I65" s="1332"/>
      <c r="J65" s="1332"/>
      <c r="K65" s="258"/>
      <c r="L65" s="258"/>
      <c r="M65" s="258"/>
      <c r="N65" s="258"/>
    </row>
    <row r="66" spans="1:14" s="1158" customFormat="1" ht="13.5" customHeight="1">
      <c r="A66" s="1328">
        <f t="shared" si="0"/>
        <v>23</v>
      </c>
      <c r="B66" s="1332" t="s">
        <v>693</v>
      </c>
      <c r="C66" s="1336"/>
      <c r="D66" s="1334">
        <f>+D65</f>
        <v>0</v>
      </c>
      <c r="E66" s="1334">
        <v>0</v>
      </c>
      <c r="F66" s="1335"/>
      <c r="G66" s="1335"/>
      <c r="H66" s="1335"/>
      <c r="I66" s="1332"/>
      <c r="J66" s="1332"/>
      <c r="K66" s="258"/>
      <c r="L66" s="258"/>
      <c r="M66" s="258"/>
      <c r="N66" s="258"/>
    </row>
    <row r="67" spans="1:14" s="1158" customFormat="1" ht="13.5" customHeight="1">
      <c r="A67" s="1328"/>
      <c r="B67" s="1332"/>
      <c r="C67" s="1336"/>
      <c r="D67" s="1335"/>
      <c r="E67" s="1337">
        <f>SUM(E48:E66)</f>
        <v>0</v>
      </c>
      <c r="F67" s="1335"/>
      <c r="G67" s="1335"/>
      <c r="H67" s="1335"/>
      <c r="I67" s="1332"/>
      <c r="J67" s="1332"/>
      <c r="K67" s="258"/>
      <c r="L67" s="258"/>
      <c r="M67" s="258"/>
      <c r="N67" s="258"/>
    </row>
    <row r="68" spans="1:14" s="1158" customFormat="1" ht="15">
      <c r="A68" s="1328">
        <f>+A66+1</f>
        <v>24</v>
      </c>
      <c r="B68" s="1338" t="s">
        <v>699</v>
      </c>
      <c r="C68" s="1339"/>
      <c r="D68" s="1340"/>
      <c r="E68" s="1335">
        <f>E67/19</f>
        <v>0</v>
      </c>
      <c r="F68" s="1335"/>
      <c r="G68" s="1335"/>
      <c r="H68" s="1341">
        <f>E68</f>
        <v>0</v>
      </c>
      <c r="I68" s="1332"/>
      <c r="J68" s="1332"/>
      <c r="K68" s="258"/>
      <c r="L68" s="258"/>
      <c r="M68" s="258"/>
      <c r="N68" s="258"/>
    </row>
    <row r="69" spans="1:14" s="1158" customFormat="1" ht="15">
      <c r="A69" s="1328"/>
      <c r="B69" s="1332"/>
      <c r="C69" s="1332"/>
      <c r="D69" s="1335"/>
      <c r="E69" s="1335"/>
      <c r="F69" s="1335"/>
      <c r="G69" s="1335"/>
      <c r="H69" s="1335"/>
      <c r="I69" s="1332"/>
      <c r="J69" s="1332"/>
      <c r="K69" s="258"/>
      <c r="L69" s="258"/>
      <c r="M69" s="258"/>
      <c r="N69" s="258"/>
    </row>
    <row r="70" spans="1:14" s="1158" customFormat="1" ht="15">
      <c r="A70" s="1342" t="s">
        <v>700</v>
      </c>
      <c r="C70" s="1332"/>
      <c r="D70" s="1335"/>
      <c r="E70" s="1335"/>
      <c r="F70" s="1335"/>
      <c r="G70" s="1335"/>
      <c r="H70" s="1335"/>
      <c r="I70" s="1332"/>
      <c r="J70" s="1332"/>
      <c r="K70" s="258"/>
      <c r="L70" s="258"/>
      <c r="M70" s="258"/>
      <c r="N70" s="258"/>
    </row>
    <row r="71" spans="1:14" s="1158" customFormat="1" ht="15">
      <c r="A71" s="1328"/>
      <c r="B71" s="1261" t="s">
        <v>109</v>
      </c>
      <c r="C71" s="1330" t="s">
        <v>110</v>
      </c>
      <c r="D71" s="1330"/>
      <c r="E71" s="1330"/>
      <c r="F71" s="1330"/>
      <c r="G71" s="1330" t="s">
        <v>356</v>
      </c>
      <c r="H71" s="1330" t="s">
        <v>661</v>
      </c>
      <c r="I71" s="1330" t="s">
        <v>662</v>
      </c>
      <c r="J71" s="1332"/>
      <c r="K71" s="258"/>
      <c r="L71" s="258"/>
      <c r="M71" s="258"/>
      <c r="N71" s="258"/>
    </row>
    <row r="72" spans="1:14" s="1158" customFormat="1" ht="15">
      <c r="A72" s="1328"/>
      <c r="B72" s="1343" t="s">
        <v>701</v>
      </c>
      <c r="C72" s="1566" t="s">
        <v>665</v>
      </c>
      <c r="D72" s="1567"/>
      <c r="E72" s="1567"/>
      <c r="F72" s="1568"/>
      <c r="G72" s="1344" t="s">
        <v>196</v>
      </c>
      <c r="H72" s="1344" t="s">
        <v>666</v>
      </c>
      <c r="I72" s="1344" t="s">
        <v>702</v>
      </c>
      <c r="J72" s="1332"/>
      <c r="K72" s="258"/>
      <c r="L72" s="258"/>
      <c r="M72" s="258"/>
      <c r="N72" s="258"/>
    </row>
    <row r="73" spans="1:14" s="1158" customFormat="1" ht="15">
      <c r="A73" s="1328"/>
      <c r="B73" s="1345" t="s">
        <v>680</v>
      </c>
      <c r="C73" s="1569" t="s">
        <v>703</v>
      </c>
      <c r="D73" s="1570"/>
      <c r="E73" s="1570"/>
      <c r="F73" s="1571"/>
      <c r="G73" s="1346" t="s">
        <v>704</v>
      </c>
      <c r="H73" s="1347" t="s">
        <v>705</v>
      </c>
      <c r="I73" s="1346" t="s">
        <v>706</v>
      </c>
      <c r="J73" s="1332"/>
      <c r="K73" s="258"/>
      <c r="L73" s="258"/>
      <c r="M73" s="258"/>
      <c r="N73" s="258"/>
    </row>
    <row r="74" spans="1:14" s="1158" customFormat="1" ht="15">
      <c r="A74" s="1328">
        <v>25</v>
      </c>
      <c r="B74" s="1348">
        <v>0</v>
      </c>
      <c r="C74" s="1572">
        <v>0</v>
      </c>
      <c r="D74" s="1573"/>
      <c r="E74" s="1573"/>
      <c r="F74" s="1574"/>
      <c r="G74" s="1348">
        <v>0</v>
      </c>
      <c r="H74" s="1348">
        <v>0</v>
      </c>
      <c r="I74" s="1349">
        <f aca="true" t="shared" si="1" ref="I74:I79">+G74+H74</f>
        <v>0</v>
      </c>
      <c r="J74" s="1332"/>
      <c r="K74" s="258"/>
      <c r="L74" s="258"/>
      <c r="M74" s="258"/>
      <c r="N74" s="258"/>
    </row>
    <row r="75" spans="1:14" s="1158" customFormat="1" ht="15">
      <c r="A75" s="1328" t="s">
        <v>707</v>
      </c>
      <c r="B75" s="1348">
        <v>0</v>
      </c>
      <c r="C75" s="1572">
        <v>0</v>
      </c>
      <c r="D75" s="1573"/>
      <c r="E75" s="1573"/>
      <c r="F75" s="1574"/>
      <c r="G75" s="1348">
        <v>0</v>
      </c>
      <c r="H75" s="1348">
        <v>0</v>
      </c>
      <c r="I75" s="1349">
        <f t="shared" si="1"/>
        <v>0</v>
      </c>
      <c r="J75" s="1332"/>
      <c r="K75" s="258"/>
      <c r="L75" s="258"/>
      <c r="M75" s="258"/>
      <c r="N75" s="258"/>
    </row>
    <row r="76" spans="1:14" s="1158" customFormat="1" ht="15">
      <c r="A76" s="1328" t="s">
        <v>708</v>
      </c>
      <c r="B76" s="1348">
        <v>0</v>
      </c>
      <c r="C76" s="1572">
        <v>0</v>
      </c>
      <c r="D76" s="1573"/>
      <c r="E76" s="1573"/>
      <c r="F76" s="1574"/>
      <c r="G76" s="1348">
        <v>0</v>
      </c>
      <c r="H76" s="1348">
        <v>0</v>
      </c>
      <c r="I76" s="1349">
        <f t="shared" si="1"/>
        <v>0</v>
      </c>
      <c r="J76" s="1332"/>
      <c r="K76" s="258"/>
      <c r="L76" s="258"/>
      <c r="M76" s="258"/>
      <c r="N76" s="258"/>
    </row>
    <row r="77" spans="1:14" s="1158" customFormat="1" ht="15">
      <c r="A77" s="1328" t="s">
        <v>709</v>
      </c>
      <c r="B77" s="1350"/>
      <c r="C77" s="1559"/>
      <c r="D77" s="1560"/>
      <c r="E77" s="1560"/>
      <c r="F77" s="1561"/>
      <c r="G77" s="1351"/>
      <c r="H77" s="1351"/>
      <c r="I77" s="1349">
        <f t="shared" si="1"/>
        <v>0</v>
      </c>
      <c r="J77" s="1332"/>
      <c r="K77" s="258"/>
      <c r="L77" s="258"/>
      <c r="M77" s="258"/>
      <c r="N77" s="258"/>
    </row>
    <row r="78" spans="1:14" s="1158" customFormat="1" ht="15">
      <c r="A78" s="1328" t="s">
        <v>681</v>
      </c>
      <c r="B78" s="1352"/>
      <c r="C78" s="1559"/>
      <c r="D78" s="1560"/>
      <c r="E78" s="1560"/>
      <c r="F78" s="1561"/>
      <c r="G78" s="1351"/>
      <c r="H78" s="1351"/>
      <c r="I78" s="1349">
        <f t="shared" si="1"/>
        <v>0</v>
      </c>
      <c r="J78" s="1332"/>
      <c r="K78" s="258"/>
      <c r="L78" s="258"/>
      <c r="M78" s="258"/>
      <c r="N78" s="258"/>
    </row>
    <row r="79" spans="1:14" s="1158" customFormat="1" ht="15">
      <c r="A79" s="1328" t="s">
        <v>710</v>
      </c>
      <c r="B79" s="1353"/>
      <c r="C79" s="1562"/>
      <c r="D79" s="1563"/>
      <c r="E79" s="1563"/>
      <c r="F79" s="1564"/>
      <c r="G79" s="1354"/>
      <c r="H79" s="1354"/>
      <c r="I79" s="1355">
        <f t="shared" si="1"/>
        <v>0</v>
      </c>
      <c r="J79" s="1332"/>
      <c r="K79" s="258"/>
      <c r="L79" s="258"/>
      <c r="M79" s="258"/>
      <c r="N79" s="258"/>
    </row>
    <row r="80" spans="1:14" s="1158" customFormat="1" ht="15">
      <c r="A80" s="1356">
        <v>26</v>
      </c>
      <c r="B80" s="1332" t="s">
        <v>4</v>
      </c>
      <c r="D80" s="1332"/>
      <c r="E80" s="1332"/>
      <c r="F80" s="1332"/>
      <c r="G80" s="1332"/>
      <c r="H80" s="1332"/>
      <c r="I80" s="1357">
        <f>SUM(I74:I79)</f>
        <v>0</v>
      </c>
      <c r="J80" s="1332"/>
      <c r="K80" s="258"/>
      <c r="L80" s="258"/>
      <c r="M80" s="258"/>
      <c r="N80" s="258"/>
    </row>
    <row r="81" spans="1:14" s="1158" customFormat="1" ht="15">
      <c r="A81" s="1328"/>
      <c r="C81" s="1332"/>
      <c r="D81" s="1358"/>
      <c r="E81" s="1358"/>
      <c r="F81" s="1358"/>
      <c r="G81" s="1358"/>
      <c r="H81" s="1358"/>
      <c r="I81" s="1358"/>
      <c r="J81" s="1358"/>
      <c r="K81" s="259"/>
      <c r="L81" s="259"/>
      <c r="M81" s="259"/>
      <c r="N81" s="259"/>
    </row>
    <row r="82" spans="1:14" s="1158" customFormat="1" ht="30" customHeight="1">
      <c r="A82" s="1359" t="s">
        <v>711</v>
      </c>
      <c r="B82" s="1359" t="s">
        <v>589</v>
      </c>
      <c r="C82" s="1565" t="s">
        <v>935</v>
      </c>
      <c r="D82" s="1565"/>
      <c r="E82" s="1565"/>
      <c r="F82" s="1565"/>
      <c r="G82" s="1565"/>
      <c r="H82" s="1565"/>
      <c r="I82" s="1565"/>
      <c r="J82" s="1565"/>
      <c r="K82" s="260"/>
      <c r="L82" s="260"/>
      <c r="M82" s="260"/>
      <c r="N82" s="260"/>
    </row>
    <row r="83" spans="1:2" ht="12.75">
      <c r="A83" s="325"/>
      <c r="B83" s="326"/>
    </row>
    <row r="84" spans="1:10" ht="12.75">
      <c r="A84" s="327"/>
      <c r="B84" s="328"/>
      <c r="C84" s="1558"/>
      <c r="D84" s="1558"/>
      <c r="E84" s="1558"/>
      <c r="F84" s="1558"/>
      <c r="G84" s="1558"/>
      <c r="H84" s="1558"/>
      <c r="I84" s="1558"/>
      <c r="J84" s="257"/>
    </row>
    <row r="85" ht="57" customHeight="1"/>
  </sheetData>
  <sheetProtection/>
  <mergeCells count="15">
    <mergeCell ref="A8:J8"/>
    <mergeCell ref="A7:J7"/>
    <mergeCell ref="A6:J6"/>
    <mergeCell ref="A5:J5"/>
    <mergeCell ref="D32:K32"/>
    <mergeCell ref="C84:I84"/>
    <mergeCell ref="C78:F78"/>
    <mergeCell ref="C79:F79"/>
    <mergeCell ref="C82:J82"/>
    <mergeCell ref="C72:F72"/>
    <mergeCell ref="C73:F73"/>
    <mergeCell ref="C74:F74"/>
    <mergeCell ref="C75:F75"/>
    <mergeCell ref="C76:F76"/>
    <mergeCell ref="C77:F77"/>
  </mergeCells>
  <printOptions/>
  <pageMargins left="0.7" right="0.7" top="0.75" bottom="0.75" header="0.3" footer="0.3"/>
  <pageSetup fitToHeight="2" horizontalDpi="600" verticalDpi="600" orientation="landscape" scale="60" r:id="rId2"/>
  <rowBreaks count="1" manualBreakCount="1">
    <brk id="37" max="9" man="1"/>
  </rowBreaks>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71"/>
  <sheetViews>
    <sheetView zoomScale="110" zoomScaleNormal="110" zoomScaleSheetLayoutView="100" zoomScalePageLayoutView="0" workbookViewId="0" topLeftCell="A1">
      <pane xSplit="2" ySplit="13" topLeftCell="C65"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2.75"/>
  <cols>
    <col min="1" max="1" width="4.00390625" style="0" customWidth="1"/>
    <col min="2" max="2" width="44.375" style="0" customWidth="1"/>
    <col min="3" max="4" width="15.875" style="323" customWidth="1"/>
    <col min="5" max="5" width="17.50390625" style="323" bestFit="1" customWidth="1"/>
    <col min="6" max="6" width="23.50390625" style="0" customWidth="1"/>
    <col min="7" max="7" width="14.25390625" style="0" customWidth="1"/>
    <col min="8" max="8" width="13.50390625" style="0" customWidth="1"/>
    <col min="9" max="9" width="15.375" style="0" customWidth="1"/>
    <col min="10" max="10" width="9.875" style="0" bestFit="1" customWidth="1"/>
    <col min="11" max="11" width="13.125" style="0" customWidth="1"/>
  </cols>
  <sheetData>
    <row r="1" spans="1:5" s="13" customFormat="1" ht="15">
      <c r="A1" s="332" t="s">
        <v>1100</v>
      </c>
      <c r="C1" s="323"/>
      <c r="D1" s="323"/>
      <c r="E1" s="323"/>
    </row>
    <row r="2" spans="3:5" s="13" customFormat="1" ht="12">
      <c r="C2" s="323"/>
      <c r="D2" s="323"/>
      <c r="E2" s="323"/>
    </row>
    <row r="3" spans="3:5" s="13" customFormat="1" ht="12">
      <c r="C3" s="323"/>
      <c r="D3" s="323"/>
      <c r="E3" s="323"/>
    </row>
    <row r="4" spans="1:16" s="13" customFormat="1" ht="17.25">
      <c r="A4" s="1531" t="s">
        <v>228</v>
      </c>
      <c r="B4" s="1531"/>
      <c r="C4" s="1531"/>
      <c r="D4" s="1531"/>
      <c r="E4" s="1531"/>
      <c r="F4" s="1531"/>
      <c r="G4" s="1531"/>
      <c r="H4" s="73"/>
      <c r="I4" s="73"/>
      <c r="J4" s="73"/>
      <c r="K4" s="73"/>
      <c r="L4" s="73"/>
      <c r="M4" s="73"/>
      <c r="N4" s="73"/>
      <c r="O4" s="73"/>
      <c r="P4" s="73"/>
    </row>
    <row r="5" spans="1:15" s="13" customFormat="1" ht="17.25">
      <c r="A5" s="1531" t="s">
        <v>111</v>
      </c>
      <c r="B5" s="1531"/>
      <c r="C5" s="1531"/>
      <c r="D5" s="1531"/>
      <c r="E5" s="1531"/>
      <c r="F5" s="1531"/>
      <c r="G5" s="1531"/>
      <c r="H5" s="73"/>
      <c r="I5" s="73"/>
      <c r="J5" s="73"/>
      <c r="K5" s="73"/>
      <c r="L5" s="73"/>
      <c r="M5" s="73"/>
      <c r="N5" s="73"/>
      <c r="O5" s="73"/>
    </row>
    <row r="6" spans="1:15" s="13" customFormat="1" ht="17.25">
      <c r="A6" s="1532" t="s">
        <v>1377</v>
      </c>
      <c r="B6" s="1532"/>
      <c r="C6" s="1532"/>
      <c r="D6" s="1532"/>
      <c r="E6" s="1532"/>
      <c r="F6" s="1532"/>
      <c r="G6" s="1532"/>
      <c r="H6" s="73"/>
      <c r="I6" s="73"/>
      <c r="J6" s="73"/>
      <c r="K6" s="73"/>
      <c r="L6" s="73"/>
      <c r="M6" s="73"/>
      <c r="N6" s="73"/>
      <c r="O6" s="73"/>
    </row>
    <row r="7" spans="1:8" s="13" customFormat="1" ht="17.25">
      <c r="A7" s="11"/>
      <c r="B7" s="63"/>
      <c r="C7" s="386"/>
      <c r="D7" s="388"/>
      <c r="E7" s="386"/>
      <c r="F7" s="11"/>
      <c r="G7" s="11"/>
      <c r="H7" s="11"/>
    </row>
    <row r="8" spans="1:16" s="13" customFormat="1" ht="17.25">
      <c r="A8" s="1533" t="s">
        <v>1099</v>
      </c>
      <c r="B8" s="1533"/>
      <c r="C8" s="1533"/>
      <c r="D8" s="1533"/>
      <c r="E8" s="1533"/>
      <c r="F8" s="1533"/>
      <c r="G8" s="1533"/>
      <c r="H8" s="29"/>
      <c r="I8" s="29"/>
      <c r="J8" s="29"/>
      <c r="K8" s="29"/>
      <c r="L8" s="29"/>
      <c r="M8" s="29"/>
      <c r="N8" s="29"/>
      <c r="O8" s="29"/>
      <c r="P8" s="29"/>
    </row>
    <row r="9" spans="1:16" s="13" customFormat="1" ht="17.25">
      <c r="A9" s="1576" t="s">
        <v>863</v>
      </c>
      <c r="B9" s="1576"/>
      <c r="C9" s="1576"/>
      <c r="D9" s="1576"/>
      <c r="E9" s="1576"/>
      <c r="F9" s="1576"/>
      <c r="G9" s="1576"/>
      <c r="H9" s="73"/>
      <c r="I9" s="73"/>
      <c r="J9" s="73"/>
      <c r="K9" s="73"/>
      <c r="L9" s="73"/>
      <c r="M9" s="73"/>
      <c r="N9" s="73"/>
      <c r="O9" s="73"/>
      <c r="P9" s="73"/>
    </row>
    <row r="10" spans="1:7" s="13" customFormat="1" ht="15.75" customHeight="1">
      <c r="A10" s="1576"/>
      <c r="B10" s="1576"/>
      <c r="C10" s="1576"/>
      <c r="D10" s="1576"/>
      <c r="E10" s="1576"/>
      <c r="F10" s="1576"/>
      <c r="G10" s="1576"/>
    </row>
    <row r="11" spans="1:7" s="13" customFormat="1" ht="12.75">
      <c r="A11" s="823" t="s">
        <v>220</v>
      </c>
      <c r="B11" s="823" t="s">
        <v>221</v>
      </c>
      <c r="C11" s="823" t="s">
        <v>222</v>
      </c>
      <c r="D11" s="823" t="s">
        <v>223</v>
      </c>
      <c r="E11" s="823" t="s">
        <v>224</v>
      </c>
      <c r="F11" s="823" t="s">
        <v>456</v>
      </c>
      <c r="G11" s="823" t="s">
        <v>457</v>
      </c>
    </row>
    <row r="12" spans="2:9" ht="14.25">
      <c r="B12" s="296"/>
      <c r="C12" s="727"/>
      <c r="D12" s="727"/>
      <c r="E12" s="727"/>
      <c r="F12" s="728" t="s">
        <v>865</v>
      </c>
      <c r="G12" s="728" t="s">
        <v>882</v>
      </c>
      <c r="H12" s="815"/>
      <c r="I12" s="815"/>
    </row>
    <row r="13" spans="2:7" s="13" customFormat="1" ht="18" customHeight="1" thickBot="1">
      <c r="B13" s="336" t="s">
        <v>421</v>
      </c>
      <c r="C13" s="729" t="s">
        <v>54</v>
      </c>
      <c r="D13" s="729" t="s">
        <v>26</v>
      </c>
      <c r="E13" s="729" t="s">
        <v>870</v>
      </c>
      <c r="F13" s="333" t="s">
        <v>866</v>
      </c>
      <c r="G13" s="334" t="s">
        <v>762</v>
      </c>
    </row>
    <row r="14" spans="2:7" s="13" customFormat="1" ht="15" thickBot="1">
      <c r="B14" s="730"/>
      <c r="C14" s="731"/>
      <c r="D14" s="731"/>
      <c r="E14" s="731"/>
      <c r="F14" s="732"/>
      <c r="G14" s="335"/>
    </row>
    <row r="15" spans="1:7" s="13" customFormat="1" ht="15" thickBot="1">
      <c r="A15" s="13">
        <v>1</v>
      </c>
      <c r="B15" s="336" t="s">
        <v>138</v>
      </c>
      <c r="C15" s="720">
        <f>SUM('WP-AB'!C38:U38)</f>
        <v>611863633.08</v>
      </c>
      <c r="D15" s="720">
        <f>SUM('WP-AB'!V38:AE38)</f>
        <v>71274143.61</v>
      </c>
      <c r="E15" s="720">
        <f>SUM('WP-AB'!AF38,'WP-AB'!AG38,'WP-AB'!AH38,'WP-AB'!AI38,'WP-AB'!AJ38,'WP-AB'!AK38)</f>
        <v>5739993.880000006</v>
      </c>
      <c r="F15" s="318">
        <f>SUM(C15:E15)</f>
        <v>688877770.57</v>
      </c>
      <c r="G15" s="337">
        <f>F15</f>
        <v>688877770.57</v>
      </c>
    </row>
    <row r="16" spans="1:7" s="13" customFormat="1" ht="15" thickBot="1">
      <c r="A16" s="13">
        <f>+A15+1</f>
        <v>2</v>
      </c>
      <c r="B16" s="336" t="s">
        <v>121</v>
      </c>
      <c r="C16" s="720">
        <f>SUM('WP-AB'!C18:U18)</f>
        <v>235916325.68999997</v>
      </c>
      <c r="D16" s="720">
        <f>SUM('WP-AB'!V18:AE18)</f>
        <v>0</v>
      </c>
      <c r="E16" s="720">
        <f>SUM('WP-AB'!AF18,'WP-AB'!AG18,'WP-AB'!AH18,'WP-AB'!AI18,'WP-AB'!AJ18,'WP-AB'!AK18)</f>
        <v>0</v>
      </c>
      <c r="F16" s="318">
        <f aca="true" t="shared" si="0" ref="F16:F29">SUM(C16:E16)</f>
        <v>235916325.68999997</v>
      </c>
      <c r="G16" s="337">
        <f>F16</f>
        <v>235916325.68999997</v>
      </c>
    </row>
    <row r="17" spans="1:7" s="13" customFormat="1" ht="15" thickBot="1">
      <c r="A17" s="13">
        <f aca="true" t="shared" si="1" ref="A17:A65">+A16+1</f>
        <v>3</v>
      </c>
      <c r="B17" s="336" t="s">
        <v>142</v>
      </c>
      <c r="C17" s="720"/>
      <c r="D17" s="720">
        <f>SUM('WP-AB'!D42:AE42)</f>
        <v>596718240.46</v>
      </c>
      <c r="E17" s="720">
        <f>SUM('WP-AB'!AF42,'WP-AB'!AG42,'WP-AB'!AH42,'WP-AB'!AI42,'WP-AB'!AJ42,'WP-AB'!AK42)</f>
        <v>2115770</v>
      </c>
      <c r="F17" s="318">
        <f t="shared" si="0"/>
        <v>598834010.46</v>
      </c>
      <c r="G17" s="337">
        <f>F17</f>
        <v>598834010.46</v>
      </c>
    </row>
    <row r="18" spans="1:7" s="13" customFormat="1" ht="14.25">
      <c r="A18" s="13">
        <f t="shared" si="1"/>
        <v>4</v>
      </c>
      <c r="B18" s="338" t="s">
        <v>514</v>
      </c>
      <c r="C18" s="722">
        <f>SUM('WP-AB'!C19:U19)</f>
        <v>1360.51</v>
      </c>
      <c r="D18" s="722">
        <f>SUM('WP-AB'!V19:AE19)</f>
        <v>0</v>
      </c>
      <c r="E18" s="722">
        <f>SUM('WP-AB'!AF19,'WP-AB'!AG19,'WP-AB'!AH19,'WP-AB'!AI19,'WP-AB'!AJ19,'WP-AB'!AK19)</f>
        <v>0</v>
      </c>
      <c r="F18" s="317">
        <f t="shared" si="0"/>
        <v>1360.51</v>
      </c>
      <c r="G18" s="339"/>
    </row>
    <row r="19" spans="1:7" s="13" customFormat="1" ht="14.25">
      <c r="A19" s="13">
        <f t="shared" si="1"/>
        <v>5</v>
      </c>
      <c r="B19" s="340" t="s">
        <v>123</v>
      </c>
      <c r="C19" s="722">
        <f>SUM('WP-AB'!C22:U22)</f>
        <v>11740978.610000003</v>
      </c>
      <c r="D19" s="722">
        <f>SUM('WP-AB'!V22:AE22)</f>
        <v>0</v>
      </c>
      <c r="E19" s="722">
        <f>SUM('WP-AB'!AF22,'WP-AB'!AG22,'WP-AB'!AH22,'WP-AB'!AI22,'WP-AB'!AJ22,'WP-AB'!AK22)</f>
        <v>0</v>
      </c>
      <c r="F19" s="341">
        <f t="shared" si="0"/>
        <v>11740978.610000003</v>
      </c>
      <c r="G19" s="339"/>
    </row>
    <row r="20" spans="1:7" s="13" customFormat="1" ht="14.25">
      <c r="A20" s="13">
        <f t="shared" si="1"/>
        <v>6</v>
      </c>
      <c r="B20" s="340" t="s">
        <v>124</v>
      </c>
      <c r="C20" s="722">
        <f>SUM('WP-AB'!C23:U23)</f>
        <v>699445.7000000001</v>
      </c>
      <c r="D20" s="722">
        <f>SUM('WP-AB'!V23:AE23)</f>
        <v>0</v>
      </c>
      <c r="E20" s="722">
        <f>SUM('WP-AB'!AF23,'WP-AB'!AG23,'WP-AB'!AH23,'WP-AB'!AI23,'WP-AB'!AJ23,'WP-AB'!AK23)</f>
        <v>0</v>
      </c>
      <c r="F20" s="341">
        <f t="shared" si="0"/>
        <v>699445.7000000001</v>
      </c>
      <c r="G20" s="339"/>
    </row>
    <row r="21" spans="1:7" s="13" customFormat="1" ht="14.25">
      <c r="A21" s="13">
        <f t="shared" si="1"/>
        <v>7</v>
      </c>
      <c r="B21" s="340" t="s">
        <v>521</v>
      </c>
      <c r="C21" s="722">
        <f>SUM('WP-AB'!C24:U24)</f>
        <v>9494280.16</v>
      </c>
      <c r="D21" s="722">
        <f>SUM('WP-AB'!V24:AE24)</f>
        <v>0</v>
      </c>
      <c r="E21" s="722">
        <f>SUM('WP-AB'!AF24,'WP-AB'!AG24,'WP-AB'!AH24,'WP-AB'!AI24,'WP-AB'!AJ24,'WP-AB'!AK24)</f>
        <v>0</v>
      </c>
      <c r="F21" s="341">
        <f t="shared" si="0"/>
        <v>9494280.16</v>
      </c>
      <c r="G21" s="339"/>
    </row>
    <row r="22" spans="1:7" s="13" customFormat="1" ht="14.25">
      <c r="A22" s="13">
        <f t="shared" si="1"/>
        <v>8</v>
      </c>
      <c r="B22" s="340" t="s">
        <v>125</v>
      </c>
      <c r="C22" s="722">
        <f>SUM('WP-AB'!C25:U25)</f>
        <v>25322966.91</v>
      </c>
      <c r="D22" s="722">
        <f>SUM('WP-AB'!V25:AE25)</f>
        <v>0</v>
      </c>
      <c r="E22" s="722">
        <f>SUM('WP-AB'!AF25,'WP-AB'!AG25,'WP-AB'!AH25,'WP-AB'!AI25,'WP-AB'!AJ25,'WP-AB'!AK25)</f>
        <v>0</v>
      </c>
      <c r="F22" s="341">
        <f t="shared" si="0"/>
        <v>25322966.91</v>
      </c>
      <c r="G22" s="339"/>
    </row>
    <row r="23" spans="1:7" s="13" customFormat="1" ht="14.25">
      <c r="A23" s="13">
        <f t="shared" si="1"/>
        <v>9</v>
      </c>
      <c r="B23" s="340" t="s">
        <v>131</v>
      </c>
      <c r="C23" s="722">
        <f>SUM('WP-AB'!C31:U31)</f>
        <v>4554897.36</v>
      </c>
      <c r="D23" s="722">
        <f>SUM('WP-AB'!V31:AE31)</f>
        <v>0</v>
      </c>
      <c r="E23" s="722">
        <f>SUM('WP-AB'!AF31,'WP-AB'!AG31,'WP-AB'!AH31,'WP-AB'!AI31,'WP-AB'!AJ31,'WP-AB'!AK31)</f>
        <v>0</v>
      </c>
      <c r="F23" s="341">
        <f t="shared" si="0"/>
        <v>4554897.36</v>
      </c>
      <c r="G23" s="339"/>
    </row>
    <row r="24" spans="1:7" s="13" customFormat="1" ht="14.25">
      <c r="A24" s="13">
        <f t="shared" si="1"/>
        <v>10</v>
      </c>
      <c r="B24" s="340" t="s">
        <v>132</v>
      </c>
      <c r="C24" s="722">
        <f>SUM('WP-AB'!C32:U32)</f>
        <v>28419002.21</v>
      </c>
      <c r="D24" s="722">
        <f>SUM('WP-AB'!V32:AE32)</f>
        <v>0</v>
      </c>
      <c r="E24" s="722">
        <f>SUM('WP-AB'!AF32,'WP-AB'!AG32,'WP-AB'!AH32,'WP-AB'!AI32,'WP-AB'!AJ32,'WP-AB'!AK32)</f>
        <v>0</v>
      </c>
      <c r="F24" s="341">
        <f t="shared" si="0"/>
        <v>28419002.21</v>
      </c>
      <c r="G24" s="339"/>
    </row>
    <row r="25" spans="1:7" s="13" customFormat="1" ht="14.25">
      <c r="A25" s="13">
        <f t="shared" si="1"/>
        <v>11</v>
      </c>
      <c r="B25" s="340" t="s">
        <v>133</v>
      </c>
      <c r="C25" s="722">
        <f>SUM('WP-AB'!C33:U33)</f>
        <v>28857909.579999994</v>
      </c>
      <c r="D25" s="722">
        <f>SUM('WP-AB'!V33:AE33)</f>
        <v>0</v>
      </c>
      <c r="E25" s="722">
        <f>SUM('WP-AB'!AF33,'WP-AB'!AG33,'WP-AB'!AH33,'WP-AB'!AI33,'WP-AB'!AJ33,'WP-AB'!AK33)</f>
        <v>4010568.47</v>
      </c>
      <c r="F25" s="341">
        <f t="shared" si="0"/>
        <v>32868478.049999993</v>
      </c>
      <c r="G25" s="339"/>
    </row>
    <row r="26" spans="1:8" s="13" customFormat="1" ht="14.25">
      <c r="A26" s="13">
        <f t="shared" si="1"/>
        <v>12</v>
      </c>
      <c r="B26" s="340" t="s">
        <v>139</v>
      </c>
      <c r="C26" s="722">
        <f>SUM('WP-AB'!C39:U39)</f>
        <v>0</v>
      </c>
      <c r="D26" s="722">
        <f>SUM('WP-AB'!V39:AE39)</f>
        <v>7292589.600000001</v>
      </c>
      <c r="E26" s="722">
        <f>SUM('WP-AB'!AF39,'WP-AB'!AG39,'WP-AB'!AH39,'WP-AB'!AI39,'WP-AB'!AJ39,'WP-AB'!AK39)</f>
        <v>0</v>
      </c>
      <c r="F26" s="341">
        <f t="shared" si="0"/>
        <v>7292589.600000001</v>
      </c>
      <c r="G26" s="339"/>
      <c r="H26" s="815"/>
    </row>
    <row r="27" spans="1:8" s="13" customFormat="1" ht="14.25">
      <c r="A27" s="13">
        <f t="shared" si="1"/>
        <v>13</v>
      </c>
      <c r="B27" s="340" t="s">
        <v>140</v>
      </c>
      <c r="C27" s="722">
        <f>SUM('WP-AB'!C40:U40)</f>
        <v>0</v>
      </c>
      <c r="D27" s="722">
        <f>SUM('WP-AB'!V40:AE40)</f>
        <v>2078861.87</v>
      </c>
      <c r="E27" s="722">
        <f>SUM('WP-AB'!AF40,'WP-AB'!AG40,'WP-AB'!AH40,'WP-AB'!AI40,'WP-AB'!AJ40,'WP-AB'!AK40)</f>
        <v>0</v>
      </c>
      <c r="F27" s="341">
        <f t="shared" si="0"/>
        <v>2078861.87</v>
      </c>
      <c r="G27" s="339"/>
      <c r="H27" s="815"/>
    </row>
    <row r="28" spans="1:8" s="13" customFormat="1" ht="14.25">
      <c r="A28" s="13">
        <f t="shared" si="1"/>
        <v>14</v>
      </c>
      <c r="B28" s="340" t="s">
        <v>141</v>
      </c>
      <c r="C28" s="722">
        <f>SUM('WP-AB'!C41:U41)</f>
        <v>0</v>
      </c>
      <c r="D28" s="722">
        <f>SUM('WP-AB'!V41:AE41)</f>
        <v>3958566.4000000004</v>
      </c>
      <c r="E28" s="722">
        <f>SUM('WP-AB'!AF41,'WP-AB'!AG41,'WP-AB'!AH41,'WP-AB'!AI41,'WP-AB'!AJ41,'WP-AB'!AK41)</f>
        <v>0</v>
      </c>
      <c r="F28" s="341">
        <f t="shared" si="0"/>
        <v>3958566.4000000004</v>
      </c>
      <c r="G28" s="339"/>
      <c r="H28" s="815"/>
    </row>
    <row r="29" spans="1:8" s="13" customFormat="1" ht="14.25">
      <c r="A29" s="13">
        <f t="shared" si="1"/>
        <v>15</v>
      </c>
      <c r="B29" s="340" t="s">
        <v>143</v>
      </c>
      <c r="C29" s="722">
        <f>SUM('WP-AB'!C43:U43)</f>
        <v>0</v>
      </c>
      <c r="D29" s="722">
        <f>SUM('WP-AB'!V43:AE43)</f>
        <v>8074942.119999999</v>
      </c>
      <c r="E29" s="722">
        <f>SUM('WP-AB'!AF43,'WP-AB'!AG43,'WP-AB'!AH43,'WP-AB'!AI43,'WP-AB'!AJ43,'WP-AB'!AK43)</f>
        <v>0</v>
      </c>
      <c r="F29" s="341">
        <f t="shared" si="0"/>
        <v>8074942.119999999</v>
      </c>
      <c r="G29" s="339"/>
      <c r="H29" s="815"/>
    </row>
    <row r="30" spans="1:8" s="13" customFormat="1" ht="14.25">
      <c r="A30" s="13">
        <f t="shared" si="1"/>
        <v>16</v>
      </c>
      <c r="B30" s="340" t="s">
        <v>150</v>
      </c>
      <c r="C30" s="722">
        <f>SUM('WP-AB'!C50:U50)</f>
        <v>17698189.509999998</v>
      </c>
      <c r="D30" s="722">
        <f>SUM('WP-AB'!V50:AE50)</f>
        <v>0</v>
      </c>
      <c r="E30" s="722">
        <f>SUM('WP-AB'!AF50,'WP-AB'!AG50,'WP-AB'!AH50,'WP-AB'!AI50,'WP-AB'!AJ50,'WP-AB'!AK50)</f>
        <v>170186889.83000004</v>
      </c>
      <c r="F30" s="341">
        <f>SUM(C30:E30)</f>
        <v>187885079.34000003</v>
      </c>
      <c r="G30" s="339"/>
      <c r="H30" s="815"/>
    </row>
    <row r="31" spans="1:7" s="13" customFormat="1" ht="14.25">
      <c r="A31" s="13">
        <f t="shared" si="1"/>
        <v>17</v>
      </c>
      <c r="B31" s="340" t="s">
        <v>784</v>
      </c>
      <c r="C31" s="722"/>
      <c r="D31" s="722"/>
      <c r="E31" s="722">
        <v>-90000000</v>
      </c>
      <c r="F31" s="341">
        <f>SUM(C31:E31)</f>
        <v>-90000000</v>
      </c>
      <c r="G31" s="339"/>
    </row>
    <row r="32" spans="1:7" s="13" customFormat="1" ht="14.25">
      <c r="A32" s="13">
        <f t="shared" si="1"/>
        <v>18</v>
      </c>
      <c r="B32" s="340" t="s">
        <v>151</v>
      </c>
      <c r="C32" s="722">
        <f>SUM('WP-AB'!C51:U51)</f>
        <v>6415759.399999999</v>
      </c>
      <c r="D32" s="722">
        <f>SUM('WP-AB'!V51:AE51)</f>
        <v>14927492.38</v>
      </c>
      <c r="E32" s="722">
        <f>SUM('WP-AB'!AF51,'WP-AB'!AG51,'WP-AB'!AH51,'WP-AB'!AI51,'WP-AB'!AJ51,'WP-AB'!AK51)</f>
        <v>8279027</v>
      </c>
      <c r="F32" s="341">
        <f aca="true" t="shared" si="2" ref="F32:F65">SUM(C32:E32)</f>
        <v>29622278.78</v>
      </c>
      <c r="G32" s="339"/>
    </row>
    <row r="33" spans="1:11" s="13" customFormat="1" ht="14.25">
      <c r="A33" s="13">
        <f t="shared" si="1"/>
        <v>19</v>
      </c>
      <c r="B33" s="340" t="s">
        <v>152</v>
      </c>
      <c r="C33" s="722">
        <f>SUM('WP-AB'!C52:U52)</f>
        <v>0</v>
      </c>
      <c r="D33" s="722">
        <f>SUM('WP-AB'!V52:AE52)</f>
        <v>0</v>
      </c>
      <c r="E33" s="722">
        <f>SUM('WP-AB'!AF52,'WP-AB'!AG52,'WP-AB'!AH52,'WP-AB'!AI52,'WP-AB'!AJ52,'WP-AB'!AK52)</f>
        <v>51679702.541877754</v>
      </c>
      <c r="F33" s="341">
        <f t="shared" si="2"/>
        <v>51679702.541877754</v>
      </c>
      <c r="G33" s="339"/>
      <c r="I33" s="815"/>
      <c r="J33" s="815"/>
      <c r="K33" s="815"/>
    </row>
    <row r="34" spans="1:11" s="13" customFormat="1" ht="14.25">
      <c r="A34" s="13">
        <f t="shared" si="1"/>
        <v>20</v>
      </c>
      <c r="B34" s="340" t="s">
        <v>153</v>
      </c>
      <c r="C34" s="722">
        <f>SUM('WP-AB'!C53:U53)</f>
        <v>0</v>
      </c>
      <c r="D34" s="722">
        <f>SUM('WP-AB'!V53:AE53)</f>
        <v>0</v>
      </c>
      <c r="E34" s="722">
        <f>SUM('WP-AB'!AF53,'WP-AB'!AG53,'WP-AB'!AH53,'WP-AB'!AI53,'WP-AB'!AJ53,'WP-AB'!AK53)</f>
        <v>19662734.995192662</v>
      </c>
      <c r="F34" s="341">
        <f t="shared" si="2"/>
        <v>19662734.995192662</v>
      </c>
      <c r="G34" s="339"/>
      <c r="I34" s="815"/>
      <c r="J34" s="815"/>
      <c r="K34" s="815"/>
    </row>
    <row r="35" spans="1:11" s="13" customFormat="1" ht="14.25">
      <c r="A35" s="13">
        <f t="shared" si="1"/>
        <v>21</v>
      </c>
      <c r="B35" s="340" t="s">
        <v>154</v>
      </c>
      <c r="C35" s="722">
        <f>SUM('WP-AB'!C54:U54)</f>
        <v>0</v>
      </c>
      <c r="D35" s="722">
        <f>SUM('WP-AB'!V54:AE54)</f>
        <v>0</v>
      </c>
      <c r="E35" s="722">
        <f>SUM('WP-AB'!AF54,'WP-AB'!AG54,'WP-AB'!AH54,'WP-AB'!AI54,'WP-AB'!AJ54,'WP-AB'!AK54)</f>
        <v>-15295297.72</v>
      </c>
      <c r="F35" s="341">
        <f t="shared" si="2"/>
        <v>-15295297.72</v>
      </c>
      <c r="G35" s="339"/>
      <c r="I35" s="815"/>
      <c r="J35" s="815"/>
      <c r="K35" s="815"/>
    </row>
    <row r="36" spans="1:11" s="13" customFormat="1" ht="14.25">
      <c r="A36" s="13">
        <f t="shared" si="1"/>
        <v>22</v>
      </c>
      <c r="B36" s="340" t="s">
        <v>548</v>
      </c>
      <c r="C36" s="722">
        <f>SUM('WP-AB'!C55:U55)</f>
        <v>0</v>
      </c>
      <c r="D36" s="722">
        <f>SUM('WP-AB'!V55:AE55)</f>
        <v>0</v>
      </c>
      <c r="E36" s="722">
        <f>SUM('WP-AB'!AF55,'WP-AB'!AG55,'WP-AB'!AH55,'WP-AB'!AI55,'WP-AB'!AJ55,'WP-AB'!AK55)</f>
        <v>21044337.3608782</v>
      </c>
      <c r="F36" s="341">
        <f t="shared" si="2"/>
        <v>21044337.3608782</v>
      </c>
      <c r="G36" s="339"/>
      <c r="I36" s="815"/>
      <c r="J36" s="815"/>
      <c r="K36" s="815"/>
    </row>
    <row r="37" spans="1:11" s="13" customFormat="1" ht="14.25">
      <c r="A37" s="13">
        <f t="shared" si="1"/>
        <v>23</v>
      </c>
      <c r="B37" s="340" t="s">
        <v>462</v>
      </c>
      <c r="C37" s="722">
        <f>SUM('WP-AB'!C56:U56)</f>
        <v>5039255.62</v>
      </c>
      <c r="D37" s="722">
        <f>SUM('WP-AB'!V56:AE56)</f>
        <v>507456.07</v>
      </c>
      <c r="E37" s="722">
        <f>SUM('WP-AB'!AF56,'WP-AB'!AG56,'WP-AB'!AH56,'WP-AB'!AI56,'WP-AB'!AJ56,'WP-AB'!AK56)</f>
        <v>198485.41</v>
      </c>
      <c r="F37" s="341">
        <f t="shared" si="2"/>
        <v>5745197.100000001</v>
      </c>
      <c r="G37" s="339"/>
      <c r="I37" s="815"/>
      <c r="J37" s="815"/>
      <c r="K37" s="815"/>
    </row>
    <row r="38" spans="1:11" s="13" customFormat="1" ht="14.25">
      <c r="A38" s="13">
        <f t="shared" si="1"/>
        <v>24</v>
      </c>
      <c r="B38" s="340" t="s">
        <v>415</v>
      </c>
      <c r="C38" s="722">
        <f>SUM('WP-AB'!C57:U57)</f>
        <v>1790097.19</v>
      </c>
      <c r="D38" s="722">
        <f>SUM('WP-AB'!V57:AE57)</f>
        <v>312330.9</v>
      </c>
      <c r="E38" s="722">
        <f>SUM('WP-AB'!AF57,'WP-AB'!AG57,'WP-AB'!AH57,'WP-AB'!AI57,'WP-AB'!AJ57,'WP-AB'!AK57)</f>
        <v>-264775.8</v>
      </c>
      <c r="F38" s="341">
        <f t="shared" si="2"/>
        <v>1837652.2899999998</v>
      </c>
      <c r="G38" s="339"/>
      <c r="I38" s="815"/>
      <c r="J38" s="815"/>
      <c r="K38" s="815"/>
    </row>
    <row r="39" spans="1:11" s="13" customFormat="1" ht="14.25">
      <c r="A39" s="13">
        <f t="shared" si="1"/>
        <v>25</v>
      </c>
      <c r="B39" s="340" t="s">
        <v>551</v>
      </c>
      <c r="C39" s="722">
        <f>SUM('WP-AB'!C59:U59)</f>
        <v>0</v>
      </c>
      <c r="D39" s="722">
        <f>SUM('WP-AB'!V59:AE59)</f>
        <v>0</v>
      </c>
      <c r="E39" s="722">
        <f>SUM('WP-AB'!AF59,'WP-AB'!AG59,'WP-AB'!AH59,'WP-AB'!AI59,'WP-AB'!AJ59,'WP-AB'!AK59)</f>
        <v>19547696.045767315</v>
      </c>
      <c r="F39" s="341">
        <f t="shared" si="2"/>
        <v>19547696.045767315</v>
      </c>
      <c r="G39" s="339"/>
      <c r="I39" s="815"/>
      <c r="J39" s="815"/>
      <c r="K39" s="815"/>
    </row>
    <row r="40" spans="1:11" s="13" customFormat="1" ht="14.25">
      <c r="A40" s="13">
        <f t="shared" si="1"/>
        <v>26</v>
      </c>
      <c r="B40" s="340" t="s">
        <v>891</v>
      </c>
      <c r="C40" s="722">
        <f>SUM('WP-AB'!C58:U58)</f>
        <v>0</v>
      </c>
      <c r="D40" s="722">
        <f>SUM('WP-AB'!V58:AE58)</f>
        <v>0</v>
      </c>
      <c r="E40" s="722">
        <f>SUM('WP-AB'!AF58,'WP-AB'!AG58,'WP-AB'!AH58,'WP-AB'!AI58,'WP-AB'!AJ58,'WP-AB'!AK58)</f>
        <v>25500000</v>
      </c>
      <c r="F40" s="341">
        <f t="shared" si="2"/>
        <v>25500000</v>
      </c>
      <c r="G40" s="339"/>
      <c r="I40" s="815"/>
      <c r="J40" s="815"/>
      <c r="K40" s="815"/>
    </row>
    <row r="41" spans="1:11" s="13" customFormat="1" ht="14.25">
      <c r="A41" s="13">
        <f t="shared" si="1"/>
        <v>27</v>
      </c>
      <c r="B41" s="340" t="s">
        <v>553</v>
      </c>
      <c r="C41" s="722">
        <f>SUM('WP-AB'!C60:U60)</f>
        <v>2965811.17</v>
      </c>
      <c r="D41" s="722">
        <f>SUM('WP-AB'!V60:AE60)</f>
        <v>0</v>
      </c>
      <c r="E41" s="722">
        <f>SUM('WP-AB'!AF60,'WP-AB'!AG60,'WP-AB'!AH60,'WP-AB'!AI60,'WP-AB'!AJ60,'WP-AB'!AK60)</f>
        <v>0</v>
      </c>
      <c r="F41" s="341">
        <f t="shared" si="2"/>
        <v>2965811.17</v>
      </c>
      <c r="G41" s="339"/>
      <c r="I41" s="815"/>
      <c r="J41" s="815"/>
      <c r="K41" s="815"/>
    </row>
    <row r="42" spans="1:11" s="13" customFormat="1" ht="14.25">
      <c r="A42" s="13">
        <f t="shared" si="1"/>
        <v>28</v>
      </c>
      <c r="B42" s="340" t="s">
        <v>155</v>
      </c>
      <c r="C42" s="722">
        <f>SUM('WP-AB'!C61:U61)</f>
        <v>86912.14000000025</v>
      </c>
      <c r="D42" s="722">
        <f>SUM('WP-AB'!V61:AE61)</f>
        <v>66191.06000000001</v>
      </c>
      <c r="E42" s="722">
        <f>SUM('WP-AB'!AF61,'WP-AB'!AG61,'WP-AB'!AH61,'WP-AB'!AI61,'WP-AB'!AJ61,'WP-AB'!AK61)</f>
        <v>2695938.14</v>
      </c>
      <c r="F42" s="341">
        <f t="shared" si="2"/>
        <v>2849041.3400000003</v>
      </c>
      <c r="G42" s="339"/>
      <c r="I42" s="815"/>
      <c r="J42" s="815"/>
      <c r="K42" s="815"/>
    </row>
    <row r="43" spans="1:11" s="13" customFormat="1" ht="14.25">
      <c r="A43" s="13">
        <f t="shared" si="1"/>
        <v>29</v>
      </c>
      <c r="B43" s="340" t="s">
        <v>753</v>
      </c>
      <c r="C43" s="722">
        <f>SUM('WP-AB'!C64:U64)</f>
        <v>0</v>
      </c>
      <c r="D43" s="722">
        <f>SUM('WP-AB'!V64:AE64)</f>
        <v>0</v>
      </c>
      <c r="E43" s="722">
        <f>SUM('WP-AB'!AF64,'WP-AB'!AG64,'WP-AB'!AH64,'WP-AB'!AI64,'WP-AB'!AJ64,'WP-AB'!AK64)</f>
        <v>247003.18994378333</v>
      </c>
      <c r="F43" s="341">
        <f t="shared" si="2"/>
        <v>247003.18994378333</v>
      </c>
      <c r="G43" s="339"/>
      <c r="I43" s="815"/>
      <c r="J43" s="815"/>
      <c r="K43" s="815"/>
    </row>
    <row r="44" spans="1:11" s="13" customFormat="1" ht="14.25">
      <c r="A44" s="13">
        <f t="shared" si="1"/>
        <v>30</v>
      </c>
      <c r="B44" s="340" t="s">
        <v>556</v>
      </c>
      <c r="C44" s="722">
        <f>SUM('WP-AB'!C65:U65)</f>
        <v>0</v>
      </c>
      <c r="D44" s="722">
        <f>SUM('WP-AB'!V65:AE65)</f>
        <v>0</v>
      </c>
      <c r="E44" s="722">
        <f>SUM('WP-AB'!AF65,'WP-AB'!AG65,'WP-AB'!AH65,'WP-AB'!AI65,'WP-AB'!AJ65,'WP-AB'!AK65)</f>
        <v>4582041.133020317</v>
      </c>
      <c r="F44" s="341">
        <f t="shared" si="2"/>
        <v>4582041.133020317</v>
      </c>
      <c r="G44" s="339"/>
      <c r="I44" s="815"/>
      <c r="J44" s="815"/>
      <c r="K44" s="815"/>
    </row>
    <row r="45" spans="1:11" s="13" customFormat="1" ht="14.25">
      <c r="A45" s="13">
        <f t="shared" si="1"/>
        <v>31</v>
      </c>
      <c r="B45" s="340" t="s">
        <v>156</v>
      </c>
      <c r="C45" s="722">
        <f>SUM('WP-AB'!C63:U63)</f>
        <v>4729449.44</v>
      </c>
      <c r="D45" s="722">
        <f>SUM('WP-AB'!V63:AE63)</f>
        <v>1840366.81</v>
      </c>
      <c r="E45" s="722">
        <f>SUM('WP-AB'!AF63,'WP-AB'!AG63,'WP-AB'!AH63,'WP-AB'!AI63,'WP-AB'!AJ63,'WP-AB'!AK63)</f>
        <v>248882.53</v>
      </c>
      <c r="F45" s="341">
        <f t="shared" si="2"/>
        <v>6818698.78</v>
      </c>
      <c r="G45" s="794"/>
      <c r="I45" s="815"/>
      <c r="J45" s="815"/>
      <c r="K45" s="815"/>
    </row>
    <row r="46" spans="1:11" s="13" customFormat="1" ht="14.25">
      <c r="A46" s="13">
        <f t="shared" si="1"/>
        <v>32</v>
      </c>
      <c r="B46" s="340" t="s">
        <v>157</v>
      </c>
      <c r="C46" s="722">
        <f>SUM('WP-AB'!C62:U62)</f>
        <v>0</v>
      </c>
      <c r="D46" s="722">
        <f>SUM('WP-AB'!V62:AE62)</f>
        <v>0</v>
      </c>
      <c r="E46" s="722">
        <f>SUM('WP-AB'!AF62,'WP-AB'!AG62,'WP-AB'!AH62,'WP-AB'!AI62,'WP-AB'!AJ62,'WP-AB'!AK62)</f>
        <v>680291.63</v>
      </c>
      <c r="F46" s="341">
        <f t="shared" si="2"/>
        <v>680291.63</v>
      </c>
      <c r="G46" s="342" t="s">
        <v>779</v>
      </c>
      <c r="I46" s="815"/>
      <c r="J46" s="815"/>
      <c r="K46" s="815"/>
    </row>
    <row r="47" spans="1:11" s="13" customFormat="1" ht="15" thickBot="1">
      <c r="A47" s="13">
        <f t="shared" si="1"/>
        <v>33</v>
      </c>
      <c r="B47" s="723" t="s">
        <v>559</v>
      </c>
      <c r="C47" s="724">
        <f>SUM('WP-AB'!C66:U66)</f>
        <v>1485226.3599999996</v>
      </c>
      <c r="D47" s="724">
        <f>SUM('WP-AB'!V66:AE66)</f>
        <v>0</v>
      </c>
      <c r="E47" s="724">
        <f>SUM('WP-AB'!AF66,'WP-AB'!AG66,'WP-AB'!AH66,'WP-AB'!AI66,'WP-AB'!AJ66,'WP-AB'!AK66)</f>
        <v>4805147.34</v>
      </c>
      <c r="F47" s="725">
        <f t="shared" si="2"/>
        <v>6290373.699999999</v>
      </c>
      <c r="G47" s="337">
        <f>SUM(F18:F47)</f>
        <v>416169011.17668</v>
      </c>
      <c r="I47" s="815"/>
      <c r="J47" s="815"/>
      <c r="K47" s="815"/>
    </row>
    <row r="48" spans="1:11" s="13" customFormat="1" ht="14.25">
      <c r="A48" s="13">
        <f t="shared" si="1"/>
        <v>34</v>
      </c>
      <c r="B48" s="338" t="s">
        <v>130</v>
      </c>
      <c r="C48" s="721">
        <f>SUM('WP-AB'!C30:U30)</f>
        <v>10696321.81</v>
      </c>
      <c r="D48" s="721">
        <f>SUM('WP-AB'!V30:AE30)</f>
        <v>0</v>
      </c>
      <c r="E48" s="721">
        <f>SUM('WP-AB'!AF30,'WP-AB'!AG30,'WP-AB'!AH30,'WP-AB'!AI30,'WP-AB'!AJ30,'WP-AB'!AK30)</f>
        <v>0</v>
      </c>
      <c r="F48" s="317">
        <f t="shared" si="2"/>
        <v>10696321.81</v>
      </c>
      <c r="G48" s="339"/>
      <c r="I48" s="815"/>
      <c r="J48" s="815"/>
      <c r="K48" s="815"/>
    </row>
    <row r="49" spans="1:11" s="13" customFormat="1" ht="14.25">
      <c r="A49" s="13">
        <f t="shared" si="1"/>
        <v>35</v>
      </c>
      <c r="B49" s="340" t="s">
        <v>516</v>
      </c>
      <c r="C49" s="722">
        <f>SUM('WP-AB'!C20:U20)</f>
        <v>3872326.06</v>
      </c>
      <c r="D49" s="722">
        <f>SUM('WP-AB'!V20:AE20)</f>
        <v>0</v>
      </c>
      <c r="E49" s="722">
        <f>SUM('WP-AB'!AF20,'WP-AB'!AG20,'WP-AB'!AH20,'WP-AB'!AI20,'WP-AB'!AJ20,'WP-AB'!AK20)</f>
        <v>0</v>
      </c>
      <c r="F49" s="341">
        <f t="shared" si="2"/>
        <v>3872326.06</v>
      </c>
      <c r="G49" s="339"/>
      <c r="I49" s="815"/>
      <c r="J49" s="815"/>
      <c r="K49" s="815"/>
    </row>
    <row r="50" spans="1:11" s="13" customFormat="1" ht="14.25">
      <c r="A50" s="13">
        <f t="shared" si="1"/>
        <v>36</v>
      </c>
      <c r="B50" s="340" t="s">
        <v>122</v>
      </c>
      <c r="C50" s="722">
        <f>SUM('WP-AB'!C21:U21)</f>
        <v>0</v>
      </c>
      <c r="D50" s="722">
        <f>SUM('WP-AB'!V21:AE21)</f>
        <v>0</v>
      </c>
      <c r="E50" s="722">
        <f>SUM('WP-AB'!AF21,'WP-AB'!AG21,'WP-AB'!AH21,'WP-AB'!AI21,'WP-AB'!AJ21,'WP-AB'!AK21)</f>
        <v>0</v>
      </c>
      <c r="F50" s="341">
        <f t="shared" si="2"/>
        <v>0</v>
      </c>
      <c r="G50" s="339"/>
      <c r="I50" s="815"/>
      <c r="J50" s="815"/>
      <c r="K50" s="815"/>
    </row>
    <row r="51" spans="1:11" s="13" customFormat="1" ht="14.25">
      <c r="A51" s="13">
        <f t="shared" si="1"/>
        <v>37</v>
      </c>
      <c r="B51" s="340" t="s">
        <v>126</v>
      </c>
      <c r="C51" s="722">
        <f>SUM('WP-AB'!C26:U26)</f>
        <v>1581715.55</v>
      </c>
      <c r="D51" s="722">
        <f>SUM('WP-AB'!V26:AE26)</f>
        <v>0</v>
      </c>
      <c r="E51" s="722">
        <f>SUM('WP-AB'!AF26,'WP-AB'!AG26,'WP-AB'!AH26,'WP-AB'!AI26,'WP-AB'!AJ26,'WP-AB'!AK26)</f>
        <v>0</v>
      </c>
      <c r="F51" s="341">
        <f t="shared" si="2"/>
        <v>1581715.55</v>
      </c>
      <c r="G51" s="339"/>
      <c r="I51" s="815"/>
      <c r="J51" s="815"/>
      <c r="K51" s="815"/>
    </row>
    <row r="52" spans="1:11" s="13" customFormat="1" ht="14.25">
      <c r="A52" s="13">
        <f t="shared" si="1"/>
        <v>38</v>
      </c>
      <c r="B52" s="340" t="s">
        <v>127</v>
      </c>
      <c r="C52" s="722">
        <f>SUM('WP-AB'!C27:U27)</f>
        <v>24201793.54</v>
      </c>
      <c r="D52" s="722">
        <f>SUM('WP-AB'!V27:AE27)</f>
        <v>0</v>
      </c>
      <c r="E52" s="722">
        <f>SUM('WP-AB'!AF27,'WP-AB'!AG27,'WP-AB'!AH27,'WP-AB'!AI27,'WP-AB'!AJ27,'WP-AB'!AK27)</f>
        <v>0</v>
      </c>
      <c r="F52" s="341">
        <f t="shared" si="2"/>
        <v>24201793.54</v>
      </c>
      <c r="G52" s="339"/>
      <c r="I52" s="815"/>
      <c r="J52" s="815"/>
      <c r="K52" s="815"/>
    </row>
    <row r="53" spans="1:11" s="13" customFormat="1" ht="14.25">
      <c r="A53" s="13">
        <f t="shared" si="1"/>
        <v>39</v>
      </c>
      <c r="B53" s="340" t="s">
        <v>128</v>
      </c>
      <c r="C53" s="722">
        <f>SUM('WP-AB'!C28:U28)</f>
        <v>9592107.260000002</v>
      </c>
      <c r="D53" s="722">
        <f>SUM('WP-AB'!V28:AE28)</f>
        <v>0</v>
      </c>
      <c r="E53" s="722">
        <f>SUM('WP-AB'!AF28,'WP-AB'!AG28,'WP-AB'!AH28,'WP-AB'!AI28,'WP-AB'!AJ28,'WP-AB'!AK28)</f>
        <v>0</v>
      </c>
      <c r="F53" s="341">
        <f t="shared" si="2"/>
        <v>9592107.260000002</v>
      </c>
      <c r="G53" s="339"/>
      <c r="I53" s="815"/>
      <c r="J53" s="815"/>
      <c r="K53" s="815"/>
    </row>
    <row r="54" spans="1:11" s="13" customFormat="1" ht="14.25">
      <c r="A54" s="13">
        <f t="shared" si="1"/>
        <v>40</v>
      </c>
      <c r="B54" s="340" t="s">
        <v>129</v>
      </c>
      <c r="C54" s="722">
        <f>SUM('WP-AB'!C29:U29)</f>
        <v>27129404.090000004</v>
      </c>
      <c r="D54" s="722">
        <f>SUM('WP-AB'!V29:AE29)</f>
        <v>0</v>
      </c>
      <c r="E54" s="722">
        <f>SUM('WP-AB'!AF29,'WP-AB'!AG29,'WP-AB'!AH29,'WP-AB'!AI29,'WP-AB'!AJ29,'WP-AB'!AK29)</f>
        <v>0</v>
      </c>
      <c r="F54" s="341">
        <f t="shared" si="2"/>
        <v>27129404.090000004</v>
      </c>
      <c r="G54" s="339"/>
      <c r="I54" s="815"/>
      <c r="J54" s="815"/>
      <c r="K54" s="815"/>
    </row>
    <row r="55" spans="1:11" s="13" customFormat="1" ht="14.25">
      <c r="A55" s="13">
        <f t="shared" si="1"/>
        <v>41</v>
      </c>
      <c r="B55" s="340" t="s">
        <v>134</v>
      </c>
      <c r="C55" s="722">
        <f>SUM('WP-AB'!C34:U34)</f>
        <v>39882.26</v>
      </c>
      <c r="D55" s="722">
        <f>SUM('WP-AB'!V34:AE34)</f>
        <v>0</v>
      </c>
      <c r="E55" s="722">
        <f>SUM('WP-AB'!AF34,'WP-AB'!AG34,'WP-AB'!AH34,'WP-AB'!AI34,'WP-AB'!AJ34,'WP-AB'!AK34)</f>
        <v>0</v>
      </c>
      <c r="F55" s="341">
        <f t="shared" si="2"/>
        <v>39882.26</v>
      </c>
      <c r="G55" s="339"/>
      <c r="I55" s="815"/>
      <c r="J55" s="815"/>
      <c r="K55" s="815"/>
    </row>
    <row r="56" spans="1:11" s="13" customFormat="1" ht="14.25">
      <c r="A56" s="13">
        <f t="shared" si="1"/>
        <v>42</v>
      </c>
      <c r="B56" s="340" t="s">
        <v>135</v>
      </c>
      <c r="C56" s="722">
        <f>SUM('WP-AB'!C35:U35)</f>
        <v>228610.61</v>
      </c>
      <c r="D56" s="722">
        <f>SUM('WP-AB'!V35:AE35)</f>
        <v>0</v>
      </c>
      <c r="E56" s="722">
        <f>SUM('WP-AB'!AF35,'WP-AB'!AG35,'WP-AB'!AH35,'WP-AB'!AI35,'WP-AB'!AJ35,'WP-AB'!AK35)</f>
        <v>0</v>
      </c>
      <c r="F56" s="341">
        <f t="shared" si="2"/>
        <v>228610.61</v>
      </c>
      <c r="G56" s="339"/>
      <c r="I56" s="815"/>
      <c r="J56" s="815"/>
      <c r="K56" s="815"/>
    </row>
    <row r="57" spans="1:11" s="13" customFormat="1" ht="14.25">
      <c r="A57" s="13">
        <f t="shared" si="1"/>
        <v>43</v>
      </c>
      <c r="B57" s="340" t="s">
        <v>136</v>
      </c>
      <c r="C57" s="722">
        <f>SUM('WP-AB'!C36:U36)</f>
        <v>32273660.36</v>
      </c>
      <c r="D57" s="722">
        <f>SUM('WP-AB'!V36:AE36)</f>
        <v>0</v>
      </c>
      <c r="E57" s="722">
        <f>SUM('WP-AB'!AF36,'WP-AB'!AG36,'WP-AB'!AH36,'WP-AB'!AI36,'WP-AB'!AJ36,'WP-AB'!AK36)</f>
        <v>0</v>
      </c>
      <c r="F57" s="341">
        <f t="shared" si="2"/>
        <v>32273660.36</v>
      </c>
      <c r="G57" s="339"/>
      <c r="I57" s="815"/>
      <c r="J57" s="815"/>
      <c r="K57" s="815"/>
    </row>
    <row r="58" spans="1:11" s="13" customFormat="1" ht="14.25">
      <c r="A58" s="13">
        <f t="shared" si="1"/>
        <v>44</v>
      </c>
      <c r="B58" s="340" t="s">
        <v>137</v>
      </c>
      <c r="C58" s="722">
        <f>SUM('WP-AB'!C37:U37)</f>
        <v>2063004.67</v>
      </c>
      <c r="D58" s="722">
        <f>SUM('WP-AB'!V37:AE37)</f>
        <v>0</v>
      </c>
      <c r="E58" s="722">
        <f>SUM('WP-AB'!AF37,'WP-AB'!AG37,'WP-AB'!AH37,'WP-AB'!AI37,'WP-AB'!AJ37,'WP-AB'!AK37)</f>
        <v>0</v>
      </c>
      <c r="F58" s="341">
        <f t="shared" si="2"/>
        <v>2063004.67</v>
      </c>
      <c r="G58" s="339"/>
      <c r="I58" s="815"/>
      <c r="J58" s="815"/>
      <c r="K58" s="815"/>
    </row>
    <row r="59" spans="1:11" s="13" customFormat="1" ht="14.25">
      <c r="A59" s="13">
        <f t="shared" si="1"/>
        <v>45</v>
      </c>
      <c r="B59" s="340" t="s">
        <v>144</v>
      </c>
      <c r="C59" s="722">
        <f>SUM('WP-AB'!C44:U44)</f>
        <v>0</v>
      </c>
      <c r="D59" s="722">
        <f>SUM('WP-AB'!V44:AE44)</f>
        <v>8424418.21</v>
      </c>
      <c r="E59" s="722">
        <f>SUM('WP-AB'!AF44,'WP-AB'!AG44,'WP-AB'!AH44,'WP-AB'!AI44,'WP-AB'!AJ44,'WP-AB'!AK44)</f>
        <v>0</v>
      </c>
      <c r="F59" s="341">
        <f t="shared" si="2"/>
        <v>8424418.21</v>
      </c>
      <c r="G59" s="339"/>
      <c r="H59" s="815"/>
      <c r="I59" s="815"/>
      <c r="J59" s="815"/>
      <c r="K59" s="815"/>
    </row>
    <row r="60" spans="1:11" s="13" customFormat="1" ht="14.25">
      <c r="A60" s="13">
        <f t="shared" si="1"/>
        <v>46</v>
      </c>
      <c r="B60" s="340" t="s">
        <v>145</v>
      </c>
      <c r="C60" s="722">
        <f>SUM('WP-AB'!C45:U45)</f>
        <v>0</v>
      </c>
      <c r="D60" s="722">
        <f>SUM('WP-AB'!V45:AE45)</f>
        <v>4160748.0300000003</v>
      </c>
      <c r="E60" s="722">
        <f>SUM('WP-AB'!AF45,'WP-AB'!AG45,'WP-AB'!AH45,'WP-AB'!AI45,'WP-AB'!AJ45,'WP-AB'!AK45)</f>
        <v>0</v>
      </c>
      <c r="F60" s="341">
        <f t="shared" si="2"/>
        <v>4160748.0300000003</v>
      </c>
      <c r="G60" s="339"/>
      <c r="H60" s="815"/>
      <c r="I60" s="815"/>
      <c r="J60" s="815"/>
      <c r="K60" s="815"/>
    </row>
    <row r="61" spans="1:11" s="13" customFormat="1" ht="14.25">
      <c r="A61" s="13">
        <f t="shared" si="1"/>
        <v>47</v>
      </c>
      <c r="B61" s="340" t="s">
        <v>146</v>
      </c>
      <c r="C61" s="722">
        <f>SUM('WP-AB'!C46:U46)</f>
        <v>0</v>
      </c>
      <c r="D61" s="722">
        <f>SUM('WP-AB'!V46:AE46)</f>
        <v>18757118</v>
      </c>
      <c r="E61" s="722">
        <f>SUM('WP-AB'!AF46,'WP-AB'!AG46,'WP-AB'!AH46,'WP-AB'!AI46,'WP-AB'!AJ46,'WP-AB'!AK46)</f>
        <v>0</v>
      </c>
      <c r="F61" s="341">
        <f t="shared" si="2"/>
        <v>18757118</v>
      </c>
      <c r="G61" s="339"/>
      <c r="H61" s="815"/>
      <c r="I61" s="815"/>
      <c r="J61" s="815"/>
      <c r="K61" s="815"/>
    </row>
    <row r="62" spans="1:11" s="13" customFormat="1" ht="14.25">
      <c r="A62" s="13">
        <f t="shared" si="1"/>
        <v>48</v>
      </c>
      <c r="B62" s="340" t="s">
        <v>147</v>
      </c>
      <c r="C62" s="722">
        <f>SUM('WP-AB'!C47:U47)</f>
        <v>0</v>
      </c>
      <c r="D62" s="722">
        <f>SUM('WP-AB'!V47:AE47)</f>
        <v>10209468.89</v>
      </c>
      <c r="E62" s="722">
        <f>SUM('WP-AB'!AF47,'WP-AB'!AG47,'WP-AB'!AH47,'WP-AB'!AI47,'WP-AB'!AJ47,'WP-AB'!AK47)</f>
        <v>0</v>
      </c>
      <c r="F62" s="341">
        <f t="shared" si="2"/>
        <v>10209468.89</v>
      </c>
      <c r="G62" s="339"/>
      <c r="H62" s="815"/>
      <c r="I62" s="815"/>
      <c r="J62" s="815"/>
      <c r="K62" s="815"/>
    </row>
    <row r="63" spans="1:11" s="13" customFormat="1" ht="14.25">
      <c r="A63" s="13">
        <f t="shared" si="1"/>
        <v>49</v>
      </c>
      <c r="B63" s="340" t="s">
        <v>148</v>
      </c>
      <c r="C63" s="722">
        <f>SUM('WP-AB'!C48:U48)</f>
        <v>0</v>
      </c>
      <c r="D63" s="722">
        <f>SUM('WP-AB'!V48:AE48)</f>
        <v>479291.4</v>
      </c>
      <c r="E63" s="722">
        <f>SUM('WP-AB'!AF48,'WP-AB'!AG48,'WP-AB'!AH48,'WP-AB'!AI48,'WP-AB'!AJ48,'WP-AB'!AK48)</f>
        <v>0</v>
      </c>
      <c r="F63" s="341">
        <f t="shared" si="2"/>
        <v>479291.4</v>
      </c>
      <c r="G63" s="342" t="s">
        <v>780</v>
      </c>
      <c r="H63" s="815"/>
      <c r="I63" s="815"/>
      <c r="J63" s="815"/>
      <c r="K63" s="815"/>
    </row>
    <row r="64" spans="1:11" s="13" customFormat="1" ht="15" thickBot="1">
      <c r="A64" s="13">
        <f t="shared" si="1"/>
        <v>50</v>
      </c>
      <c r="B64" s="723" t="s">
        <v>149</v>
      </c>
      <c r="C64" s="724">
        <f>SUM('WP-AB'!C49:U49)</f>
        <v>0</v>
      </c>
      <c r="D64" s="724">
        <f>SUM('WP-AB'!V49:AE49)</f>
        <v>101249.08</v>
      </c>
      <c r="E64" s="724">
        <f>SUM('WP-AB'!AF49,'WP-AB'!AG49,'WP-AB'!AH49,'WP-AB'!AI49,'WP-AB'!AJ49,'WP-AB'!AK49)</f>
        <v>0</v>
      </c>
      <c r="F64" s="725">
        <f t="shared" si="2"/>
        <v>101249.08</v>
      </c>
      <c r="G64" s="337">
        <f>SUM(F48:F64)</f>
        <v>153811119.82000005</v>
      </c>
      <c r="H64" s="815"/>
      <c r="I64" s="815"/>
      <c r="J64" s="815"/>
      <c r="K64" s="815"/>
    </row>
    <row r="65" spans="1:7" s="13" customFormat="1" ht="15" thickBot="1">
      <c r="A65" s="13">
        <f t="shared" si="1"/>
        <v>51</v>
      </c>
      <c r="B65" s="343" t="s">
        <v>872</v>
      </c>
      <c r="C65" s="726">
        <f>SUM('WP-AB'!C17:U17)</f>
        <v>190257900.09000003</v>
      </c>
      <c r="D65" s="726">
        <f>SUM('WP-AB'!V17:AE17)</f>
        <v>45971819.809999995</v>
      </c>
      <c r="E65" s="726">
        <f>SUM('WP-AB'!AF17,'WP-AB'!AG17,'WP-AB'!AH17,'WP-AB'!AI17,'WP-AB'!AJ17,'WP-AB'!AK17)</f>
        <v>646607.85</v>
      </c>
      <c r="F65" s="344">
        <f t="shared" si="2"/>
        <v>236876327.75000003</v>
      </c>
      <c r="G65" s="345">
        <f>F65</f>
        <v>236876327.75000003</v>
      </c>
    </row>
    <row r="66" spans="2:7" s="13" customFormat="1" ht="14.25">
      <c r="B66" s="338"/>
      <c r="C66" s="420"/>
      <c r="D66" s="420"/>
      <c r="E66" s="420"/>
      <c r="F66" s="317"/>
      <c r="G66" s="346"/>
    </row>
    <row r="67" spans="1:9" s="13" customFormat="1" ht="14.25">
      <c r="A67" s="13">
        <f>A65+1</f>
        <v>52</v>
      </c>
      <c r="B67" s="347" t="s">
        <v>864</v>
      </c>
      <c r="C67" s="421">
        <f>SUM(C15:C65)</f>
        <v>1299018226.9399996</v>
      </c>
      <c r="D67" s="421">
        <f>SUM(D15:D65)</f>
        <v>795155294.6999999</v>
      </c>
      <c r="E67" s="421">
        <f>SUM(E15:E65)</f>
        <v>236311043.82668003</v>
      </c>
      <c r="F67" s="348">
        <f>SUM(F15:F65)</f>
        <v>2330484565.46668</v>
      </c>
      <c r="G67" s="348">
        <f>SUM(G15:G65)</f>
        <v>2330484565.46668</v>
      </c>
      <c r="H67" s="796"/>
      <c r="I67" s="809"/>
    </row>
    <row r="68" spans="3:9" s="13" customFormat="1" ht="14.25">
      <c r="C68" s="323"/>
      <c r="D68" s="323"/>
      <c r="E68" s="811"/>
      <c r="F68" s="349"/>
      <c r="G68" s="810"/>
      <c r="I68" s="809"/>
    </row>
    <row r="69" spans="3:9" s="13" customFormat="1" ht="14.25">
      <c r="C69" s="323"/>
      <c r="D69" s="323"/>
      <c r="E69" s="323"/>
      <c r="F69" s="349"/>
      <c r="G69" s="350"/>
      <c r="I69" s="809"/>
    </row>
    <row r="70" spans="6:9" s="323" customFormat="1" ht="12">
      <c r="F70" s="331"/>
      <c r="G70" s="331"/>
      <c r="I70" s="809"/>
    </row>
    <row r="71" spans="6:9" s="323" customFormat="1" ht="12">
      <c r="F71" s="331"/>
      <c r="G71" s="331"/>
      <c r="I71" s="809"/>
    </row>
    <row r="72" s="323" customFormat="1" ht="12"/>
  </sheetData>
  <sheetProtection/>
  <mergeCells count="6">
    <mergeCell ref="A10:G10"/>
    <mergeCell ref="A4:G4"/>
    <mergeCell ref="A5:G5"/>
    <mergeCell ref="A6:G6"/>
    <mergeCell ref="A8:G8"/>
    <mergeCell ref="A9:G9"/>
  </mergeCells>
  <printOptions horizontalCentered="1"/>
  <pageMargins left="0.25" right="0.25" top="0.25" bottom="0.25" header="0.3" footer="0.3"/>
  <pageSetup fitToHeight="1" fitToWidth="1" horizontalDpi="600" verticalDpi="600" orientation="portrait" scale="74"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2:AM100"/>
  <sheetViews>
    <sheetView view="pageBreakPreview" zoomScale="115" zoomScaleNormal="118" zoomScaleSheetLayoutView="115" zoomScalePageLayoutView="0" workbookViewId="0" topLeftCell="A10">
      <pane xSplit="2" ySplit="8" topLeftCell="AG48"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2.75"/>
  <cols>
    <col min="1" max="1" width="15.625" style="303" customWidth="1"/>
    <col min="2" max="2" width="39.625" style="303" bestFit="1" customWidth="1"/>
    <col min="3" max="3" width="15.625" style="304" bestFit="1" customWidth="1"/>
    <col min="4" max="4" width="15.375" style="304" bestFit="1" customWidth="1"/>
    <col min="5" max="5" width="16.00390625" style="304" customWidth="1"/>
    <col min="6" max="6" width="23.50390625" style="422" customWidth="1"/>
    <col min="7" max="7" width="16.25390625" style="422" bestFit="1" customWidth="1"/>
    <col min="8" max="8" width="15.50390625" style="423" customWidth="1"/>
    <col min="9" max="9" width="13.125" style="422" customWidth="1"/>
    <col min="10" max="10" width="14.25390625" style="422" bestFit="1" customWidth="1"/>
    <col min="11" max="11" width="15.25390625" style="422" bestFit="1" customWidth="1"/>
    <col min="12" max="12" width="13.25390625" style="422" bestFit="1" customWidth="1"/>
    <col min="13" max="13" width="12.625" style="422" bestFit="1" customWidth="1"/>
    <col min="14" max="14" width="15.375" style="422" customWidth="1"/>
    <col min="15" max="15" width="15.25390625" style="422" customWidth="1"/>
    <col min="16" max="16" width="13.125" style="422" customWidth="1"/>
    <col min="17" max="17" width="18.00390625" style="422" customWidth="1"/>
    <col min="18" max="18" width="17.00390625" style="422" customWidth="1"/>
    <col min="19" max="19" width="17.25390625" style="422" bestFit="1" customWidth="1"/>
    <col min="20" max="20" width="14.50390625" style="422" bestFit="1" customWidth="1"/>
    <col min="21" max="21" width="21.125" style="422" bestFit="1" customWidth="1"/>
    <col min="22" max="22" width="15.00390625" style="422" customWidth="1"/>
    <col min="23" max="23" width="14.375" style="422" customWidth="1"/>
    <col min="24" max="24" width="16.25390625" style="422" bestFit="1" customWidth="1"/>
    <col min="25" max="25" width="15.875" style="422" bestFit="1" customWidth="1"/>
    <col min="26" max="26" width="16.25390625" style="422" bestFit="1" customWidth="1"/>
    <col min="27" max="27" width="16.375" style="422" bestFit="1" customWidth="1"/>
    <col min="28" max="28" width="15.50390625" style="422" bestFit="1" customWidth="1"/>
    <col min="29" max="30" width="16.00390625" style="422" bestFit="1" customWidth="1"/>
    <col min="31" max="31" width="15.375" style="422" bestFit="1" customWidth="1"/>
    <col min="32" max="32" width="12.625" style="422" bestFit="1" customWidth="1"/>
    <col min="33" max="33" width="17.00390625" style="422" bestFit="1" customWidth="1"/>
    <col min="34" max="34" width="17.50390625" style="422" bestFit="1" customWidth="1"/>
    <col min="35" max="35" width="16.50390625" style="422" bestFit="1" customWidth="1"/>
    <col min="36" max="36" width="15.375" style="422" bestFit="1" customWidth="1"/>
    <col min="37" max="37" width="14.25390625" style="422" bestFit="1" customWidth="1"/>
    <col min="38" max="38" width="18.00390625" style="422" bestFit="1" customWidth="1"/>
    <col min="39" max="39" width="17.50390625" style="1481" bestFit="1" customWidth="1"/>
    <col min="40" max="16384" width="9.00390625" style="303" customWidth="1"/>
  </cols>
  <sheetData>
    <row r="2" spans="1:38" ht="18">
      <c r="A2" s="332" t="s">
        <v>1359</v>
      </c>
      <c r="U2" s="424" t="s">
        <v>747</v>
      </c>
      <c r="AL2" s="424" t="s">
        <v>748</v>
      </c>
    </row>
    <row r="3" spans="1:38" ht="14.25">
      <c r="A3" s="13"/>
      <c r="U3" s="425"/>
      <c r="AL3" s="425"/>
    </row>
    <row r="4" spans="1:39" s="13" customFormat="1" ht="17.25">
      <c r="A4" s="73"/>
      <c r="B4" s="73"/>
      <c r="C4" s="1531" t="s">
        <v>228</v>
      </c>
      <c r="D4" s="1531"/>
      <c r="E4" s="1531"/>
      <c r="F4" s="1531"/>
      <c r="G4" s="410"/>
      <c r="H4" s="410"/>
      <c r="I4" s="410"/>
      <c r="J4" s="410"/>
      <c r="K4" s="410"/>
      <c r="L4" s="410"/>
      <c r="M4" s="410"/>
      <c r="N4" s="410"/>
      <c r="O4" s="410"/>
      <c r="P4" s="410"/>
      <c r="Q4" s="323"/>
      <c r="R4" s="323"/>
      <c r="S4" s="323"/>
      <c r="T4" s="323"/>
      <c r="U4" s="323"/>
      <c r="V4" s="323"/>
      <c r="W4" s="323"/>
      <c r="X4" s="323"/>
      <c r="Y4" s="323"/>
      <c r="Z4" s="323"/>
      <c r="AA4" s="323"/>
      <c r="AB4" s="323"/>
      <c r="AC4" s="323"/>
      <c r="AD4" s="323"/>
      <c r="AE4" s="323"/>
      <c r="AF4" s="323"/>
      <c r="AG4" s="323"/>
      <c r="AH4" s="323"/>
      <c r="AI4" s="323"/>
      <c r="AJ4" s="323"/>
      <c r="AK4" s="323"/>
      <c r="AL4" s="323"/>
      <c r="AM4" s="1482"/>
    </row>
    <row r="5" spans="1:39" s="13" customFormat="1" ht="17.25">
      <c r="A5" s="73"/>
      <c r="B5" s="73"/>
      <c r="C5" s="1531" t="s">
        <v>111</v>
      </c>
      <c r="D5" s="1531"/>
      <c r="E5" s="1531"/>
      <c r="F5" s="1531"/>
      <c r="G5" s="410"/>
      <c r="H5" s="410"/>
      <c r="I5" s="410"/>
      <c r="J5" s="410"/>
      <c r="K5" s="410"/>
      <c r="L5" s="410"/>
      <c r="M5" s="410"/>
      <c r="N5" s="410"/>
      <c r="O5" s="410"/>
      <c r="P5" s="323"/>
      <c r="Q5" s="323"/>
      <c r="R5" s="323"/>
      <c r="S5" s="323"/>
      <c r="T5" s="323"/>
      <c r="U5" s="323"/>
      <c r="V5" s="323"/>
      <c r="W5" s="323"/>
      <c r="X5" s="323"/>
      <c r="Y5" s="323"/>
      <c r="Z5" s="323"/>
      <c r="AA5" s="323"/>
      <c r="AB5" s="323"/>
      <c r="AC5" s="323"/>
      <c r="AD5" s="323"/>
      <c r="AE5" s="323"/>
      <c r="AF5" s="323"/>
      <c r="AG5" s="323"/>
      <c r="AH5" s="323"/>
      <c r="AI5" s="323"/>
      <c r="AJ5" s="323"/>
      <c r="AK5" s="323"/>
      <c r="AL5" s="323"/>
      <c r="AM5" s="1482"/>
    </row>
    <row r="6" spans="1:39" s="13" customFormat="1" ht="17.25">
      <c r="A6" s="73"/>
      <c r="B6" s="73"/>
      <c r="C6" s="1532" t="s">
        <v>1377</v>
      </c>
      <c r="D6" s="1532"/>
      <c r="E6" s="1532"/>
      <c r="F6" s="1532"/>
      <c r="G6" s="410"/>
      <c r="H6" s="410"/>
      <c r="I6" s="410"/>
      <c r="J6" s="410"/>
      <c r="K6" s="410"/>
      <c r="L6" s="410"/>
      <c r="M6" s="410"/>
      <c r="N6" s="410"/>
      <c r="O6" s="410"/>
      <c r="P6" s="323"/>
      <c r="Q6" s="323"/>
      <c r="R6" s="323"/>
      <c r="S6" s="323"/>
      <c r="T6" s="323"/>
      <c r="U6" s="323"/>
      <c r="V6" s="323"/>
      <c r="W6" s="323"/>
      <c r="X6" s="323"/>
      <c r="Y6" s="323"/>
      <c r="Z6" s="323"/>
      <c r="AA6" s="323"/>
      <c r="AB6" s="323"/>
      <c r="AC6" s="323"/>
      <c r="AD6" s="323"/>
      <c r="AE6" s="323"/>
      <c r="AF6" s="323"/>
      <c r="AG6" s="323"/>
      <c r="AH6" s="323"/>
      <c r="AI6" s="323"/>
      <c r="AJ6" s="323"/>
      <c r="AK6" s="323"/>
      <c r="AL6" s="323"/>
      <c r="AM6" s="1482"/>
    </row>
    <row r="7" spans="1:39" s="13" customFormat="1" ht="17.25">
      <c r="A7" s="11"/>
      <c r="B7" s="63"/>
      <c r="C7" s="11"/>
      <c r="D7" s="41"/>
      <c r="E7" s="11"/>
      <c r="F7" s="386"/>
      <c r="G7" s="386"/>
      <c r="H7" s="386"/>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1482"/>
    </row>
    <row r="8" spans="1:39" s="13" customFormat="1" ht="17.25">
      <c r="A8" s="29"/>
      <c r="B8" s="29"/>
      <c r="C8" s="1533" t="s">
        <v>1135</v>
      </c>
      <c r="D8" s="1533"/>
      <c r="E8" s="1533"/>
      <c r="F8" s="1533"/>
      <c r="G8" s="411"/>
      <c r="H8" s="411"/>
      <c r="I8" s="411"/>
      <c r="J8" s="411"/>
      <c r="K8" s="411"/>
      <c r="L8" s="411"/>
      <c r="M8" s="411"/>
      <c r="N8" s="411"/>
      <c r="O8" s="411"/>
      <c r="P8" s="411"/>
      <c r="Q8" s="323"/>
      <c r="R8" s="323"/>
      <c r="S8" s="323"/>
      <c r="T8" s="323"/>
      <c r="U8" s="323"/>
      <c r="V8" s="323"/>
      <c r="W8" s="323"/>
      <c r="X8" s="323"/>
      <c r="Y8" s="323"/>
      <c r="Z8" s="323"/>
      <c r="AA8" s="323"/>
      <c r="AB8" s="323"/>
      <c r="AC8" s="323"/>
      <c r="AD8" s="323"/>
      <c r="AE8" s="323"/>
      <c r="AF8" s="323"/>
      <c r="AG8" s="323"/>
      <c r="AH8" s="323"/>
      <c r="AI8" s="323"/>
      <c r="AJ8" s="323"/>
      <c r="AK8" s="323"/>
      <c r="AL8" s="323"/>
      <c r="AM8" s="1482"/>
    </row>
    <row r="9" spans="1:39" s="13" customFormat="1" ht="17.25">
      <c r="A9" s="368"/>
      <c r="B9" s="368"/>
      <c r="C9" s="1576" t="s">
        <v>916</v>
      </c>
      <c r="D9" s="1576"/>
      <c r="E9" s="1576"/>
      <c r="F9" s="1576"/>
      <c r="G9" s="426"/>
      <c r="H9" s="410"/>
      <c r="I9" s="410"/>
      <c r="J9" s="410"/>
      <c r="K9" s="410"/>
      <c r="L9" s="410"/>
      <c r="M9" s="410"/>
      <c r="N9" s="410"/>
      <c r="O9" s="410"/>
      <c r="P9" s="410"/>
      <c r="Q9" s="323"/>
      <c r="R9" s="323"/>
      <c r="S9" s="323"/>
      <c r="T9" s="323"/>
      <c r="U9" s="323"/>
      <c r="V9" s="323"/>
      <c r="W9" s="323"/>
      <c r="X9" s="323"/>
      <c r="Y9" s="323"/>
      <c r="Z9" s="323"/>
      <c r="AA9" s="323"/>
      <c r="AB9" s="323"/>
      <c r="AC9" s="323"/>
      <c r="AD9" s="323"/>
      <c r="AE9" s="323"/>
      <c r="AF9" s="323"/>
      <c r="AG9" s="323"/>
      <c r="AH9" s="323"/>
      <c r="AI9" s="323"/>
      <c r="AJ9" s="323"/>
      <c r="AK9" s="323"/>
      <c r="AL9" s="323"/>
      <c r="AM9" s="1482"/>
    </row>
    <row r="10" spans="1:39" s="13" customFormat="1" ht="15.75" customHeight="1">
      <c r="A10" s="1576"/>
      <c r="B10" s="1576"/>
      <c r="C10" s="1576"/>
      <c r="D10" s="1576"/>
      <c r="E10" s="1576"/>
      <c r="F10" s="1576"/>
      <c r="G10" s="1576"/>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1482"/>
    </row>
    <row r="11" spans="1:38" ht="21">
      <c r="A11" s="305" t="s">
        <v>867</v>
      </c>
      <c r="B11" s="306"/>
      <c r="C11" s="307"/>
      <c r="D11" s="307"/>
      <c r="E11" s="30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8"/>
      <c r="AG11" s="428"/>
      <c r="AH11" s="428"/>
      <c r="AI11" s="428"/>
      <c r="AJ11" s="428"/>
      <c r="AK11" s="428"/>
      <c r="AL11" s="427"/>
    </row>
    <row r="12" spans="1:39" s="309" customFormat="1" ht="14.25">
      <c r="A12" s="308"/>
      <c r="B12" s="308"/>
      <c r="C12" s="307"/>
      <c r="D12" s="307"/>
      <c r="E12" s="30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1483"/>
    </row>
    <row r="13" spans="1:38" ht="14.25">
      <c r="A13" s="297" t="s">
        <v>32</v>
      </c>
      <c r="B13" s="297"/>
      <c r="C13" s="310" t="s">
        <v>421</v>
      </c>
      <c r="D13" s="310" t="s">
        <v>32</v>
      </c>
      <c r="E13" s="311" t="s">
        <v>32</v>
      </c>
      <c r="F13" s="429" t="s">
        <v>32</v>
      </c>
      <c r="G13" s="430" t="s">
        <v>32</v>
      </c>
      <c r="H13" s="430" t="s">
        <v>32</v>
      </c>
      <c r="I13" s="430" t="s">
        <v>32</v>
      </c>
      <c r="J13" s="430" t="s">
        <v>32</v>
      </c>
      <c r="K13" s="430" t="s">
        <v>32</v>
      </c>
      <c r="L13" s="430" t="s">
        <v>32</v>
      </c>
      <c r="M13" s="430" t="s">
        <v>32</v>
      </c>
      <c r="N13" s="430" t="s">
        <v>32</v>
      </c>
      <c r="O13" s="430" t="s">
        <v>32</v>
      </c>
      <c r="P13" s="430" t="s">
        <v>32</v>
      </c>
      <c r="Q13" s="430" t="s">
        <v>32</v>
      </c>
      <c r="R13" s="430" t="s">
        <v>32</v>
      </c>
      <c r="S13" s="430" t="s">
        <v>32</v>
      </c>
      <c r="T13" s="430" t="s">
        <v>32</v>
      </c>
      <c r="U13" s="430" t="s">
        <v>32</v>
      </c>
      <c r="V13" s="430" t="s">
        <v>32</v>
      </c>
      <c r="W13" s="430" t="s">
        <v>32</v>
      </c>
      <c r="X13" s="430" t="s">
        <v>32</v>
      </c>
      <c r="Y13" s="430" t="s">
        <v>32</v>
      </c>
      <c r="Z13" s="430" t="s">
        <v>32</v>
      </c>
      <c r="AA13" s="430" t="s">
        <v>32</v>
      </c>
      <c r="AB13" s="430" t="s">
        <v>32</v>
      </c>
      <c r="AC13" s="430" t="s">
        <v>32</v>
      </c>
      <c r="AD13" s="430" t="s">
        <v>32</v>
      </c>
      <c r="AE13" s="430" t="s">
        <v>32</v>
      </c>
      <c r="AF13" s="430" t="s">
        <v>32</v>
      </c>
      <c r="AG13" s="430" t="s">
        <v>32</v>
      </c>
      <c r="AH13" s="430" t="s">
        <v>32</v>
      </c>
      <c r="AI13" s="430" t="s">
        <v>32</v>
      </c>
      <c r="AJ13" s="430" t="s">
        <v>32</v>
      </c>
      <c r="AK13" s="430" t="s">
        <v>32</v>
      </c>
      <c r="AL13" s="430" t="s">
        <v>32</v>
      </c>
    </row>
    <row r="14" spans="1:38" ht="14.25">
      <c r="A14" s="297"/>
      <c r="B14" s="297"/>
      <c r="C14" s="429" t="s">
        <v>476</v>
      </c>
      <c r="D14" s="429" t="s">
        <v>477</v>
      </c>
      <c r="E14" s="429" t="s">
        <v>478</v>
      </c>
      <c r="F14" s="429" t="s">
        <v>479</v>
      </c>
      <c r="G14" s="431" t="s">
        <v>480</v>
      </c>
      <c r="H14" s="431" t="s">
        <v>481</v>
      </c>
      <c r="I14" s="431" t="s">
        <v>482</v>
      </c>
      <c r="J14" s="431" t="s">
        <v>483</v>
      </c>
      <c r="K14" s="431" t="s">
        <v>484</v>
      </c>
      <c r="L14" s="431" t="s">
        <v>485</v>
      </c>
      <c r="M14" s="431" t="s">
        <v>486</v>
      </c>
      <c r="N14" s="431" t="s">
        <v>487</v>
      </c>
      <c r="O14" s="431" t="s">
        <v>488</v>
      </c>
      <c r="P14" s="431" t="s">
        <v>489</v>
      </c>
      <c r="Q14" s="431" t="s">
        <v>490</v>
      </c>
      <c r="R14" s="431" t="s">
        <v>491</v>
      </c>
      <c r="S14" s="431" t="s">
        <v>492</v>
      </c>
      <c r="T14" s="431" t="s">
        <v>493</v>
      </c>
      <c r="U14" s="431" t="s">
        <v>494</v>
      </c>
      <c r="V14" s="431" t="s">
        <v>495</v>
      </c>
      <c r="W14" s="431" t="s">
        <v>496</v>
      </c>
      <c r="X14" s="431" t="s">
        <v>497</v>
      </c>
      <c r="Y14" s="431" t="s">
        <v>498</v>
      </c>
      <c r="Z14" s="431" t="s">
        <v>499</v>
      </c>
      <c r="AA14" s="431" t="s">
        <v>500</v>
      </c>
      <c r="AB14" s="431" t="s">
        <v>501</v>
      </c>
      <c r="AC14" s="431" t="s">
        <v>502</v>
      </c>
      <c r="AD14" s="431" t="s">
        <v>503</v>
      </c>
      <c r="AE14" s="431" t="s">
        <v>571</v>
      </c>
      <c r="AF14" s="431" t="s">
        <v>504</v>
      </c>
      <c r="AG14" s="431" t="s">
        <v>505</v>
      </c>
      <c r="AH14" s="431" t="s">
        <v>506</v>
      </c>
      <c r="AI14" s="431" t="s">
        <v>507</v>
      </c>
      <c r="AJ14" s="431" t="s">
        <v>508</v>
      </c>
      <c r="AK14" s="431" t="s">
        <v>509</v>
      </c>
      <c r="AL14" s="432" t="s">
        <v>249</v>
      </c>
    </row>
    <row r="15" spans="1:38" ht="14.25">
      <c r="A15" s="297" t="s">
        <v>572</v>
      </c>
      <c r="B15" s="298"/>
      <c r="C15" s="433" t="s">
        <v>66</v>
      </c>
      <c r="D15" s="433" t="s">
        <v>64</v>
      </c>
      <c r="E15" s="433" t="s">
        <v>65</v>
      </c>
      <c r="F15" s="433" t="s">
        <v>94</v>
      </c>
      <c r="G15" s="434" t="s">
        <v>510</v>
      </c>
      <c r="H15" s="434" t="s">
        <v>251</v>
      </c>
      <c r="I15" s="434" t="s">
        <v>182</v>
      </c>
      <c r="J15" s="434" t="s">
        <v>170</v>
      </c>
      <c r="K15" s="434" t="s">
        <v>185</v>
      </c>
      <c r="L15" s="434" t="s">
        <v>208</v>
      </c>
      <c r="M15" s="434" t="s">
        <v>183</v>
      </c>
      <c r="N15" s="434" t="s">
        <v>394</v>
      </c>
      <c r="O15" s="434" t="s">
        <v>395</v>
      </c>
      <c r="P15" s="434" t="s">
        <v>396</v>
      </c>
      <c r="Q15" s="434" t="s">
        <v>397</v>
      </c>
      <c r="R15" s="434" t="s">
        <v>398</v>
      </c>
      <c r="S15" s="434" t="s">
        <v>399</v>
      </c>
      <c r="T15" s="434" t="s">
        <v>400</v>
      </c>
      <c r="U15" s="434" t="s">
        <v>440</v>
      </c>
      <c r="V15" s="434" t="s">
        <v>234</v>
      </c>
      <c r="W15" s="434" t="s">
        <v>235</v>
      </c>
      <c r="X15" s="434" t="s">
        <v>236</v>
      </c>
      <c r="Y15" s="434" t="s">
        <v>237</v>
      </c>
      <c r="Z15" s="434" t="s">
        <v>238</v>
      </c>
      <c r="AA15" s="434" t="s">
        <v>239</v>
      </c>
      <c r="AB15" s="434" t="s">
        <v>240</v>
      </c>
      <c r="AC15" s="434" t="s">
        <v>241</v>
      </c>
      <c r="AD15" s="434" t="s">
        <v>242</v>
      </c>
      <c r="AE15" s="434" t="s">
        <v>573</v>
      </c>
      <c r="AF15" s="434" t="s">
        <v>511</v>
      </c>
      <c r="AG15" s="434" t="s">
        <v>93</v>
      </c>
      <c r="AH15" s="434" t="s">
        <v>401</v>
      </c>
      <c r="AI15" s="434" t="s">
        <v>402</v>
      </c>
      <c r="AJ15" s="434" t="s">
        <v>252</v>
      </c>
      <c r="AK15" s="434" t="s">
        <v>250</v>
      </c>
      <c r="AL15" s="435"/>
    </row>
    <row r="16" spans="1:38" ht="14.25">
      <c r="A16" s="297"/>
      <c r="B16" s="298"/>
      <c r="C16" s="299"/>
      <c r="D16" s="299"/>
      <c r="E16" s="299"/>
      <c r="F16" s="436"/>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8"/>
    </row>
    <row r="17" spans="1:38" ht="14.25">
      <c r="A17" s="733" t="s">
        <v>871</v>
      </c>
      <c r="B17" s="312" t="s">
        <v>872</v>
      </c>
      <c r="C17" s="736">
        <v>9066572.53</v>
      </c>
      <c r="D17" s="736">
        <v>22358264.71</v>
      </c>
      <c r="E17" s="736">
        <v>37544797.96</v>
      </c>
      <c r="F17" s="737">
        <v>109.67</v>
      </c>
      <c r="G17" s="738">
        <v>62029003</v>
      </c>
      <c r="H17" s="738">
        <v>5566580.77</v>
      </c>
      <c r="I17" s="738">
        <v>581627</v>
      </c>
      <c r="J17" s="738">
        <v>782705</v>
      </c>
      <c r="K17" s="738">
        <v>922175.05</v>
      </c>
      <c r="L17" s="738">
        <v>803414.62</v>
      </c>
      <c r="M17" s="738">
        <v>1</v>
      </c>
      <c r="N17" s="738">
        <v>5292884.13</v>
      </c>
      <c r="O17" s="738">
        <v>4666246.39</v>
      </c>
      <c r="P17" s="738">
        <v>226008</v>
      </c>
      <c r="Q17" s="738">
        <v>4696621.18</v>
      </c>
      <c r="R17" s="738">
        <v>1382790.59</v>
      </c>
      <c r="S17" s="738">
        <v>1720646.36</v>
      </c>
      <c r="T17" s="738">
        <v>1041387.27</v>
      </c>
      <c r="U17" s="739">
        <v>31576064.86</v>
      </c>
      <c r="V17" s="738">
        <v>1534298.19</v>
      </c>
      <c r="W17" s="738"/>
      <c r="X17" s="738">
        <v>-312157</v>
      </c>
      <c r="Y17" s="738">
        <v>15949877.22</v>
      </c>
      <c r="Z17" s="738">
        <v>10955823</v>
      </c>
      <c r="AA17" s="738">
        <v>3310131.72</v>
      </c>
      <c r="AB17" s="738">
        <v>9644829</v>
      </c>
      <c r="AC17" s="738">
        <v>4871809.68</v>
      </c>
      <c r="AD17" s="738">
        <v>17208</v>
      </c>
      <c r="AE17" s="738"/>
      <c r="AF17" s="738"/>
      <c r="AG17" s="738">
        <v>0</v>
      </c>
      <c r="AH17" s="738"/>
      <c r="AI17" s="738">
        <v>123331.19</v>
      </c>
      <c r="AJ17" s="738">
        <v>0</v>
      </c>
      <c r="AK17" s="738">
        <v>523276.66</v>
      </c>
      <c r="AL17" s="447">
        <f aca="true" t="shared" si="0" ref="AL17:AL62">SUM(C17:AK17)</f>
        <v>236876327.75000003</v>
      </c>
    </row>
    <row r="18" spans="1:38" ht="14.25">
      <c r="A18" s="734" t="s">
        <v>512</v>
      </c>
      <c r="B18" s="313" t="s">
        <v>121</v>
      </c>
      <c r="C18" s="736"/>
      <c r="D18" s="736"/>
      <c r="E18" s="736"/>
      <c r="F18" s="737"/>
      <c r="G18" s="738">
        <v>96801698.89</v>
      </c>
      <c r="H18" s="738">
        <v>27772693.94</v>
      </c>
      <c r="I18" s="738"/>
      <c r="J18" s="738"/>
      <c r="K18" s="738"/>
      <c r="L18" s="738"/>
      <c r="M18" s="738"/>
      <c r="N18" s="738">
        <v>1476428.55</v>
      </c>
      <c r="O18" s="738">
        <v>1461591.99</v>
      </c>
      <c r="P18" s="738">
        <v>1709038.37</v>
      </c>
      <c r="Q18" s="738">
        <v>4106957.03</v>
      </c>
      <c r="R18" s="738">
        <v>1547956.71</v>
      </c>
      <c r="S18" s="738">
        <v>2216410.92</v>
      </c>
      <c r="T18" s="738">
        <v>2485190.01</v>
      </c>
      <c r="U18" s="739">
        <v>96338359.28</v>
      </c>
      <c r="V18" s="738"/>
      <c r="W18" s="738"/>
      <c r="X18" s="738"/>
      <c r="Y18" s="738"/>
      <c r="Z18" s="738"/>
      <c r="AA18" s="738"/>
      <c r="AB18" s="738"/>
      <c r="AC18" s="738"/>
      <c r="AD18" s="738"/>
      <c r="AE18" s="738">
        <v>0</v>
      </c>
      <c r="AF18" s="738"/>
      <c r="AG18" s="738"/>
      <c r="AH18" s="738"/>
      <c r="AI18" s="738"/>
      <c r="AJ18" s="738"/>
      <c r="AK18" s="738"/>
      <c r="AL18" s="447">
        <f t="shared" si="0"/>
        <v>235916325.68999997</v>
      </c>
    </row>
    <row r="19" spans="1:38" ht="14.25">
      <c r="A19" s="734" t="s">
        <v>513</v>
      </c>
      <c r="B19" s="313" t="s">
        <v>514</v>
      </c>
      <c r="C19" s="736"/>
      <c r="D19" s="736"/>
      <c r="E19" s="736"/>
      <c r="F19" s="737">
        <v>0</v>
      </c>
      <c r="G19" s="738"/>
      <c r="H19" s="738">
        <v>1360.51</v>
      </c>
      <c r="I19" s="738"/>
      <c r="J19" s="738"/>
      <c r="K19" s="738"/>
      <c r="L19" s="738"/>
      <c r="M19" s="738"/>
      <c r="N19" s="738"/>
      <c r="O19" s="738"/>
      <c r="P19" s="738"/>
      <c r="Q19" s="738"/>
      <c r="R19" s="738"/>
      <c r="S19" s="738"/>
      <c r="T19" s="738"/>
      <c r="U19" s="739"/>
      <c r="V19" s="738"/>
      <c r="W19" s="738"/>
      <c r="X19" s="738"/>
      <c r="Y19" s="738"/>
      <c r="Z19" s="738"/>
      <c r="AA19" s="738"/>
      <c r="AB19" s="738"/>
      <c r="AC19" s="738"/>
      <c r="AD19" s="738"/>
      <c r="AE19" s="738"/>
      <c r="AF19" s="738"/>
      <c r="AG19" s="738"/>
      <c r="AH19" s="738"/>
      <c r="AI19" s="738"/>
      <c r="AJ19" s="738"/>
      <c r="AK19" s="738"/>
      <c r="AL19" s="447">
        <f t="shared" si="0"/>
        <v>1360.51</v>
      </c>
    </row>
    <row r="20" spans="1:38" ht="14.25">
      <c r="A20" s="734" t="s">
        <v>515</v>
      </c>
      <c r="B20" s="313" t="s">
        <v>516</v>
      </c>
      <c r="C20" s="736"/>
      <c r="D20" s="736"/>
      <c r="E20" s="736"/>
      <c r="F20" s="737">
        <v>433.72</v>
      </c>
      <c r="G20" s="738"/>
      <c r="H20" s="738">
        <v>122188.21</v>
      </c>
      <c r="I20" s="738"/>
      <c r="J20" s="738"/>
      <c r="K20" s="738"/>
      <c r="L20" s="738"/>
      <c r="M20" s="738"/>
      <c r="N20" s="738"/>
      <c r="O20" s="738"/>
      <c r="P20" s="738"/>
      <c r="Q20" s="738"/>
      <c r="R20" s="738"/>
      <c r="S20" s="738"/>
      <c r="T20" s="738"/>
      <c r="U20" s="738">
        <v>3749704.13</v>
      </c>
      <c r="V20" s="738"/>
      <c r="W20" s="738"/>
      <c r="X20" s="738"/>
      <c r="Y20" s="738"/>
      <c r="Z20" s="738"/>
      <c r="AA20" s="738"/>
      <c r="AB20" s="738"/>
      <c r="AC20" s="738"/>
      <c r="AD20" s="738"/>
      <c r="AE20" s="738"/>
      <c r="AF20" s="738"/>
      <c r="AG20" s="738"/>
      <c r="AH20" s="738"/>
      <c r="AI20" s="738"/>
      <c r="AJ20" s="738"/>
      <c r="AK20" s="738"/>
      <c r="AL20" s="447">
        <f t="shared" si="0"/>
        <v>3872326.06</v>
      </c>
    </row>
    <row r="21" spans="1:38" ht="14.25">
      <c r="A21" s="734" t="s">
        <v>517</v>
      </c>
      <c r="B21" s="313" t="s">
        <v>122</v>
      </c>
      <c r="C21" s="736"/>
      <c r="D21" s="736"/>
      <c r="E21" s="736"/>
      <c r="F21" s="737">
        <v>0</v>
      </c>
      <c r="G21" s="738"/>
      <c r="H21" s="738"/>
      <c r="I21" s="738"/>
      <c r="J21" s="738"/>
      <c r="K21" s="738"/>
      <c r="L21" s="738"/>
      <c r="M21" s="738"/>
      <c r="N21" s="738"/>
      <c r="O21" s="738"/>
      <c r="P21" s="738"/>
      <c r="Q21" s="738"/>
      <c r="R21" s="738"/>
      <c r="S21" s="738"/>
      <c r="T21" s="738"/>
      <c r="U21" s="738">
        <v>0</v>
      </c>
      <c r="V21" s="738"/>
      <c r="W21" s="738"/>
      <c r="X21" s="738"/>
      <c r="Y21" s="738"/>
      <c r="Z21" s="738"/>
      <c r="AA21" s="738"/>
      <c r="AB21" s="738"/>
      <c r="AC21" s="738"/>
      <c r="AD21" s="738"/>
      <c r="AE21" s="738"/>
      <c r="AF21" s="738"/>
      <c r="AG21" s="738"/>
      <c r="AH21" s="738"/>
      <c r="AI21" s="738"/>
      <c r="AJ21" s="738"/>
      <c r="AK21" s="738"/>
      <c r="AL21" s="447">
        <f t="shared" si="0"/>
        <v>0</v>
      </c>
    </row>
    <row r="22" spans="1:38" ht="14.25">
      <c r="A22" s="734" t="s">
        <v>518</v>
      </c>
      <c r="B22" s="313" t="s">
        <v>123</v>
      </c>
      <c r="C22" s="736">
        <v>3548993.69</v>
      </c>
      <c r="D22" s="736">
        <v>2629837.44</v>
      </c>
      <c r="E22" s="736">
        <v>4954892.15</v>
      </c>
      <c r="F22" s="737"/>
      <c r="G22" s="738"/>
      <c r="H22" s="738"/>
      <c r="I22" s="738">
        <v>238322.46</v>
      </c>
      <c r="J22" s="738">
        <v>231671.23</v>
      </c>
      <c r="K22" s="738">
        <v>112782.34</v>
      </c>
      <c r="L22" s="738">
        <v>24479.3</v>
      </c>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447">
        <f t="shared" si="0"/>
        <v>11740978.610000003</v>
      </c>
    </row>
    <row r="23" spans="1:38" ht="14.25">
      <c r="A23" s="734" t="s">
        <v>519</v>
      </c>
      <c r="B23" s="313" t="s">
        <v>124</v>
      </c>
      <c r="C23" s="736">
        <v>7350.68</v>
      </c>
      <c r="D23" s="736">
        <f>179519.42+1166</f>
        <v>180685.42</v>
      </c>
      <c r="E23" s="736">
        <v>470412.32</v>
      </c>
      <c r="F23" s="737"/>
      <c r="G23" s="738"/>
      <c r="H23" s="738"/>
      <c r="I23" s="738"/>
      <c r="J23" s="738">
        <v>18993.92</v>
      </c>
      <c r="K23" s="738">
        <v>22003.36</v>
      </c>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447">
        <f t="shared" si="0"/>
        <v>699445.7000000001</v>
      </c>
    </row>
    <row r="24" spans="1:38" ht="14.25">
      <c r="A24" s="734" t="s">
        <v>520</v>
      </c>
      <c r="B24" s="313" t="s">
        <v>521</v>
      </c>
      <c r="C24" s="736">
        <v>7658.65</v>
      </c>
      <c r="D24" s="736">
        <v>3010588.32</v>
      </c>
      <c r="E24" s="736">
        <v>6476033.19</v>
      </c>
      <c r="F24" s="737"/>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447">
        <f t="shared" si="0"/>
        <v>9494280.16</v>
      </c>
    </row>
    <row r="25" spans="1:38" ht="14.25">
      <c r="A25" s="734" t="s">
        <v>522</v>
      </c>
      <c r="B25" s="313" t="s">
        <v>125</v>
      </c>
      <c r="C25" s="736">
        <v>5848277.13</v>
      </c>
      <c r="D25" s="736">
        <v>7881374.18</v>
      </c>
      <c r="E25" s="736">
        <v>10400093.76</v>
      </c>
      <c r="F25" s="737"/>
      <c r="G25" s="738"/>
      <c r="H25" s="738"/>
      <c r="I25" s="738">
        <v>315735.31</v>
      </c>
      <c r="J25" s="738">
        <v>310089.71</v>
      </c>
      <c r="K25" s="738">
        <v>203181.61</v>
      </c>
      <c r="L25" s="738">
        <v>364215.21</v>
      </c>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447">
        <f t="shared" si="0"/>
        <v>25322966.91</v>
      </c>
    </row>
    <row r="26" spans="1:38" ht="14.25">
      <c r="A26" s="734" t="s">
        <v>523</v>
      </c>
      <c r="B26" s="313" t="s">
        <v>126</v>
      </c>
      <c r="C26" s="736">
        <v>274728.48</v>
      </c>
      <c r="D26" s="736">
        <v>217773.41</v>
      </c>
      <c r="E26" s="736">
        <v>317220.34</v>
      </c>
      <c r="F26" s="737"/>
      <c r="G26" s="738"/>
      <c r="H26" s="738"/>
      <c r="I26" s="738"/>
      <c r="J26" s="738">
        <v>314612.99</v>
      </c>
      <c r="K26" s="738">
        <v>299715.59</v>
      </c>
      <c r="L26" s="738">
        <v>157664.74</v>
      </c>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447">
        <f t="shared" si="0"/>
        <v>1581715.55</v>
      </c>
    </row>
    <row r="27" spans="1:38" ht="14.25">
      <c r="A27" s="734" t="s">
        <v>524</v>
      </c>
      <c r="B27" s="313" t="s">
        <v>127</v>
      </c>
      <c r="C27" s="736">
        <v>2889375.6</v>
      </c>
      <c r="D27" s="736">
        <v>8227186.47</v>
      </c>
      <c r="E27" s="736">
        <v>12982280.51</v>
      </c>
      <c r="F27" s="737"/>
      <c r="G27" s="738"/>
      <c r="H27" s="738"/>
      <c r="I27" s="738">
        <v>3491.69</v>
      </c>
      <c r="J27" s="738">
        <v>65440.24</v>
      </c>
      <c r="K27" s="738">
        <v>28829.73</v>
      </c>
      <c r="L27" s="738">
        <v>5189.3</v>
      </c>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447">
        <f t="shared" si="0"/>
        <v>24201793.54</v>
      </c>
    </row>
    <row r="28" spans="1:38" ht="14.25">
      <c r="A28" s="734" t="s">
        <v>525</v>
      </c>
      <c r="B28" s="313" t="s">
        <v>128</v>
      </c>
      <c r="C28" s="736">
        <v>237639.16</v>
      </c>
      <c r="D28" s="736">
        <v>4089870.75</v>
      </c>
      <c r="E28" s="736">
        <v>4802163.66</v>
      </c>
      <c r="F28" s="737"/>
      <c r="G28" s="738"/>
      <c r="H28" s="738"/>
      <c r="I28" s="738">
        <v>23245.81</v>
      </c>
      <c r="J28" s="738">
        <v>129016.71</v>
      </c>
      <c r="K28" s="738">
        <v>292915.79</v>
      </c>
      <c r="L28" s="738">
        <v>17255.38</v>
      </c>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447">
        <f t="shared" si="0"/>
        <v>9592107.260000002</v>
      </c>
    </row>
    <row r="29" spans="1:38" ht="14.25">
      <c r="A29" s="734" t="s">
        <v>526</v>
      </c>
      <c r="B29" s="313" t="s">
        <v>129</v>
      </c>
      <c r="C29" s="736">
        <v>11688431.42</v>
      </c>
      <c r="D29" s="736">
        <v>4134625.23</v>
      </c>
      <c r="E29" s="736">
        <v>10029562.23</v>
      </c>
      <c r="F29" s="737"/>
      <c r="G29" s="738"/>
      <c r="H29" s="738"/>
      <c r="I29" s="738">
        <v>657125.54</v>
      </c>
      <c r="J29" s="738">
        <v>99233.57</v>
      </c>
      <c r="K29" s="738">
        <v>359244.73</v>
      </c>
      <c r="L29" s="738">
        <v>161181.37</v>
      </c>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447">
        <f t="shared" si="0"/>
        <v>27129404.090000004</v>
      </c>
    </row>
    <row r="30" spans="1:38" ht="14.25">
      <c r="A30" s="734" t="s">
        <v>527</v>
      </c>
      <c r="B30" s="313" t="s">
        <v>130</v>
      </c>
      <c r="C30" s="736">
        <v>827844.41</v>
      </c>
      <c r="D30" s="736">
        <v>2421932.16</v>
      </c>
      <c r="E30" s="736">
        <v>7101806.1</v>
      </c>
      <c r="F30" s="737"/>
      <c r="G30" s="738"/>
      <c r="H30" s="738"/>
      <c r="I30" s="738">
        <v>109523.42</v>
      </c>
      <c r="J30" s="738">
        <v>114695.82</v>
      </c>
      <c r="K30" s="738">
        <v>97237.18</v>
      </c>
      <c r="L30" s="738">
        <v>23282.72</v>
      </c>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447">
        <f t="shared" si="0"/>
        <v>10696321.81</v>
      </c>
    </row>
    <row r="31" spans="1:38" ht="14.25">
      <c r="A31" s="734" t="s">
        <v>528</v>
      </c>
      <c r="B31" s="313" t="s">
        <v>131</v>
      </c>
      <c r="C31" s="736"/>
      <c r="D31" s="736"/>
      <c r="E31" s="736"/>
      <c r="F31" s="737"/>
      <c r="G31" s="738"/>
      <c r="H31" s="738">
        <v>340856.13</v>
      </c>
      <c r="I31" s="738"/>
      <c r="J31" s="738"/>
      <c r="K31" s="738"/>
      <c r="L31" s="738"/>
      <c r="M31" s="738"/>
      <c r="N31" s="738">
        <v>818054.26</v>
      </c>
      <c r="O31" s="738">
        <v>413266.37</v>
      </c>
      <c r="P31" s="738">
        <v>401806.05</v>
      </c>
      <c r="Q31" s="738">
        <v>433232.44</v>
      </c>
      <c r="R31" s="738">
        <v>343337.66</v>
      </c>
      <c r="S31" s="738">
        <v>358542.05</v>
      </c>
      <c r="T31" s="738">
        <v>405571</v>
      </c>
      <c r="U31" s="738">
        <v>1040231.4</v>
      </c>
      <c r="V31" s="738"/>
      <c r="W31" s="738"/>
      <c r="X31" s="738"/>
      <c r="Y31" s="738"/>
      <c r="Z31" s="738"/>
      <c r="AA31" s="738"/>
      <c r="AB31" s="738"/>
      <c r="AC31" s="738"/>
      <c r="AD31" s="738"/>
      <c r="AE31" s="738"/>
      <c r="AF31" s="738"/>
      <c r="AG31" s="738"/>
      <c r="AH31" s="738"/>
      <c r="AI31" s="738"/>
      <c r="AJ31" s="738"/>
      <c r="AK31" s="738"/>
      <c r="AL31" s="447">
        <f t="shared" si="0"/>
        <v>4554897.36</v>
      </c>
    </row>
    <row r="32" spans="1:38" ht="14.25">
      <c r="A32" s="734" t="s">
        <v>529</v>
      </c>
      <c r="B32" s="313" t="s">
        <v>132</v>
      </c>
      <c r="C32" s="736"/>
      <c r="D32" s="736"/>
      <c r="E32" s="736"/>
      <c r="F32" s="737"/>
      <c r="G32" s="738">
        <v>27384000</v>
      </c>
      <c r="H32" s="738">
        <v>1004913.93</v>
      </c>
      <c r="I32" s="738"/>
      <c r="J32" s="738"/>
      <c r="K32" s="738"/>
      <c r="L32" s="738"/>
      <c r="M32" s="738"/>
      <c r="N32" s="738"/>
      <c r="O32" s="738"/>
      <c r="P32" s="738"/>
      <c r="Q32" s="738"/>
      <c r="R32" s="738"/>
      <c r="S32" s="738"/>
      <c r="T32" s="738"/>
      <c r="U32" s="738">
        <v>30088.28</v>
      </c>
      <c r="V32" s="738"/>
      <c r="W32" s="738"/>
      <c r="X32" s="738"/>
      <c r="Y32" s="738"/>
      <c r="Z32" s="738"/>
      <c r="AA32" s="738"/>
      <c r="AB32" s="738"/>
      <c r="AC32" s="738"/>
      <c r="AD32" s="738"/>
      <c r="AE32" s="738"/>
      <c r="AF32" s="738"/>
      <c r="AG32" s="738"/>
      <c r="AH32" s="738"/>
      <c r="AI32" s="738"/>
      <c r="AJ32" s="738"/>
      <c r="AK32" s="738"/>
      <c r="AL32" s="447">
        <f t="shared" si="0"/>
        <v>28419002.21</v>
      </c>
    </row>
    <row r="33" spans="1:38" ht="14.25">
      <c r="A33" s="734" t="s">
        <v>530</v>
      </c>
      <c r="B33" s="313" t="s">
        <v>133</v>
      </c>
      <c r="C33" s="736"/>
      <c r="D33" s="736"/>
      <c r="E33" s="736"/>
      <c r="F33" s="737"/>
      <c r="G33" s="738"/>
      <c r="H33" s="738">
        <v>4260013.63</v>
      </c>
      <c r="I33" s="738"/>
      <c r="J33" s="738"/>
      <c r="K33" s="738"/>
      <c r="L33" s="738"/>
      <c r="M33" s="738"/>
      <c r="N33" s="738">
        <v>2284822.26</v>
      </c>
      <c r="O33" s="738">
        <v>1957667.41</v>
      </c>
      <c r="P33" s="738">
        <v>1973541.57</v>
      </c>
      <c r="Q33" s="738">
        <v>5235924.51</v>
      </c>
      <c r="R33" s="738">
        <v>1091452.2</v>
      </c>
      <c r="S33" s="738">
        <v>1149339.9</v>
      </c>
      <c r="T33" s="738">
        <v>638730.58</v>
      </c>
      <c r="U33" s="738">
        <v>10266417.52</v>
      </c>
      <c r="V33" s="738"/>
      <c r="W33" s="738"/>
      <c r="X33" s="738"/>
      <c r="Y33" s="738"/>
      <c r="Z33" s="738"/>
      <c r="AA33" s="738"/>
      <c r="AB33" s="738"/>
      <c r="AC33" s="738"/>
      <c r="AD33" s="738"/>
      <c r="AE33" s="738"/>
      <c r="AF33" s="738"/>
      <c r="AG33" s="738"/>
      <c r="AH33" s="738"/>
      <c r="AI33" s="738"/>
      <c r="AJ33" s="738"/>
      <c r="AK33" s="738">
        <v>4010568.47</v>
      </c>
      <c r="AL33" s="447">
        <f t="shared" si="0"/>
        <v>32868478.049999993</v>
      </c>
    </row>
    <row r="34" spans="1:38" ht="14.25">
      <c r="A34" s="734" t="s">
        <v>531</v>
      </c>
      <c r="B34" s="313" t="s">
        <v>134</v>
      </c>
      <c r="C34" s="736"/>
      <c r="D34" s="736"/>
      <c r="E34" s="736"/>
      <c r="F34" s="737"/>
      <c r="G34" s="738"/>
      <c r="H34" s="738">
        <v>39882.26</v>
      </c>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447">
        <f t="shared" si="0"/>
        <v>39882.26</v>
      </c>
    </row>
    <row r="35" spans="1:38" ht="14.25">
      <c r="A35" s="734" t="s">
        <v>532</v>
      </c>
      <c r="B35" s="313" t="s">
        <v>135</v>
      </c>
      <c r="C35" s="736"/>
      <c r="D35" s="736"/>
      <c r="E35" s="736"/>
      <c r="F35" s="737"/>
      <c r="G35" s="738"/>
      <c r="H35" s="738">
        <v>47578.66</v>
      </c>
      <c r="I35" s="738"/>
      <c r="J35" s="738"/>
      <c r="K35" s="738"/>
      <c r="L35" s="738"/>
      <c r="M35" s="738"/>
      <c r="N35" s="738">
        <v>1195</v>
      </c>
      <c r="O35" s="738">
        <v>1046</v>
      </c>
      <c r="P35" s="738"/>
      <c r="Q35" s="738">
        <v>3183.26</v>
      </c>
      <c r="R35" s="738"/>
      <c r="S35" s="738"/>
      <c r="T35" s="738">
        <v>74538.36</v>
      </c>
      <c r="U35" s="738">
        <v>101069.33</v>
      </c>
      <c r="V35" s="738"/>
      <c r="W35" s="738"/>
      <c r="X35" s="738"/>
      <c r="Y35" s="738"/>
      <c r="Z35" s="738"/>
      <c r="AA35" s="738"/>
      <c r="AB35" s="738"/>
      <c r="AC35" s="738"/>
      <c r="AD35" s="738"/>
      <c r="AE35" s="738"/>
      <c r="AF35" s="738"/>
      <c r="AG35" s="738"/>
      <c r="AH35" s="738"/>
      <c r="AI35" s="738"/>
      <c r="AJ35" s="738"/>
      <c r="AK35" s="738"/>
      <c r="AL35" s="447">
        <f t="shared" si="0"/>
        <v>228610.61</v>
      </c>
    </row>
    <row r="36" spans="1:38" ht="14.25">
      <c r="A36" s="734" t="s">
        <v>533</v>
      </c>
      <c r="B36" s="313" t="s">
        <v>136</v>
      </c>
      <c r="C36" s="736"/>
      <c r="D36" s="736"/>
      <c r="E36" s="736"/>
      <c r="F36" s="737"/>
      <c r="G36" s="738">
        <v>1024506.74</v>
      </c>
      <c r="H36" s="738">
        <v>11279207.17</v>
      </c>
      <c r="I36" s="738"/>
      <c r="J36" s="738"/>
      <c r="K36" s="738"/>
      <c r="L36" s="738"/>
      <c r="M36" s="738"/>
      <c r="N36" s="738">
        <v>479742.81</v>
      </c>
      <c r="O36" s="738">
        <v>189241.01</v>
      </c>
      <c r="P36" s="738">
        <v>428597</v>
      </c>
      <c r="Q36" s="738">
        <v>570936.25</v>
      </c>
      <c r="R36" s="738">
        <v>148462.74</v>
      </c>
      <c r="S36" s="738">
        <v>2495830.92</v>
      </c>
      <c r="T36" s="738">
        <v>246224.83000000002</v>
      </c>
      <c r="U36" s="738">
        <v>15410910.89</v>
      </c>
      <c r="V36" s="738"/>
      <c r="W36" s="738"/>
      <c r="X36" s="738"/>
      <c r="Y36" s="738"/>
      <c r="Z36" s="738"/>
      <c r="AA36" s="738"/>
      <c r="AB36" s="738"/>
      <c r="AC36" s="738"/>
      <c r="AD36" s="738"/>
      <c r="AE36" s="738"/>
      <c r="AF36" s="738"/>
      <c r="AG36" s="738"/>
      <c r="AH36" s="738"/>
      <c r="AI36" s="738"/>
      <c r="AJ36" s="738"/>
      <c r="AK36" s="738"/>
      <c r="AL36" s="447">
        <f t="shared" si="0"/>
        <v>32273660.36</v>
      </c>
    </row>
    <row r="37" spans="1:38" ht="14.25">
      <c r="A37" s="734" t="s">
        <v>534</v>
      </c>
      <c r="B37" s="313" t="s">
        <v>137</v>
      </c>
      <c r="C37" s="736"/>
      <c r="D37" s="736"/>
      <c r="E37" s="736">
        <v>93486.78</v>
      </c>
      <c r="F37" s="737"/>
      <c r="G37" s="738"/>
      <c r="H37" s="738">
        <v>446190.7</v>
      </c>
      <c r="I37" s="738"/>
      <c r="J37" s="738"/>
      <c r="K37" s="738"/>
      <c r="L37" s="738"/>
      <c r="M37" s="738"/>
      <c r="N37" s="738"/>
      <c r="O37" s="738"/>
      <c r="P37" s="738"/>
      <c r="Q37" s="738"/>
      <c r="R37" s="738"/>
      <c r="S37" s="738"/>
      <c r="T37" s="738"/>
      <c r="U37" s="738">
        <v>1523327.19</v>
      </c>
      <c r="V37" s="738"/>
      <c r="W37" s="738"/>
      <c r="X37" s="738"/>
      <c r="Y37" s="738"/>
      <c r="Z37" s="738"/>
      <c r="AA37" s="738"/>
      <c r="AB37" s="738"/>
      <c r="AC37" s="738"/>
      <c r="AD37" s="738"/>
      <c r="AE37" s="738"/>
      <c r="AF37" s="738"/>
      <c r="AG37" s="738"/>
      <c r="AH37" s="738"/>
      <c r="AI37" s="738"/>
      <c r="AJ37" s="738"/>
      <c r="AK37" s="738"/>
      <c r="AL37" s="447">
        <f t="shared" si="0"/>
        <v>2063004.67</v>
      </c>
    </row>
    <row r="38" spans="1:38" ht="14.25">
      <c r="A38" s="734" t="s">
        <v>535</v>
      </c>
      <c r="B38" s="313" t="s">
        <v>138</v>
      </c>
      <c r="C38" s="736">
        <v>17514189.04</v>
      </c>
      <c r="D38" s="736">
        <v>15016805.66</v>
      </c>
      <c r="E38" s="736">
        <v>50461934.47</v>
      </c>
      <c r="F38" s="737">
        <v>513691424.2</v>
      </c>
      <c r="G38" s="738">
        <v>8410737.38</v>
      </c>
      <c r="H38" s="738">
        <v>865792.48</v>
      </c>
      <c r="I38" s="738">
        <v>194295.87</v>
      </c>
      <c r="J38" s="738"/>
      <c r="K38" s="738"/>
      <c r="L38" s="738">
        <v>-205191.51</v>
      </c>
      <c r="M38" s="738"/>
      <c r="N38" s="738">
        <v>186191.35</v>
      </c>
      <c r="O38" s="738">
        <v>155559.8</v>
      </c>
      <c r="P38" s="738">
        <v>262116.62</v>
      </c>
      <c r="Q38" s="738">
        <v>260476</v>
      </c>
      <c r="R38" s="738">
        <v>208311.04</v>
      </c>
      <c r="S38" s="738">
        <v>184430.39</v>
      </c>
      <c r="T38" s="738">
        <v>1136099.96</v>
      </c>
      <c r="U38" s="739">
        <v>3520460.33</v>
      </c>
      <c r="V38" s="738"/>
      <c r="W38" s="738"/>
      <c r="X38" s="738"/>
      <c r="Y38" s="738"/>
      <c r="Z38" s="738"/>
      <c r="AA38" s="738"/>
      <c r="AB38" s="738"/>
      <c r="AC38" s="738"/>
      <c r="AD38" s="738"/>
      <c r="AE38" s="738">
        <v>71274143.61</v>
      </c>
      <c r="AF38" s="738"/>
      <c r="AG38" s="738">
        <v>-145843429.98</v>
      </c>
      <c r="AH38" s="738"/>
      <c r="AI38" s="738">
        <v>128017551.88</v>
      </c>
      <c r="AJ38" s="738">
        <v>23565871.98</v>
      </c>
      <c r="AK38" s="738"/>
      <c r="AL38" s="447">
        <f t="shared" si="0"/>
        <v>688877770.57</v>
      </c>
    </row>
    <row r="39" spans="1:38" ht="14.25">
      <c r="A39" s="734" t="s">
        <v>536</v>
      </c>
      <c r="B39" s="313" t="s">
        <v>139</v>
      </c>
      <c r="C39" s="736"/>
      <c r="D39" s="736"/>
      <c r="E39" s="736"/>
      <c r="F39" s="737"/>
      <c r="G39" s="738"/>
      <c r="H39" s="738"/>
      <c r="I39" s="738"/>
      <c r="J39" s="738"/>
      <c r="K39" s="738"/>
      <c r="L39" s="738"/>
      <c r="M39" s="738"/>
      <c r="N39" s="738"/>
      <c r="O39" s="738"/>
      <c r="P39" s="738"/>
      <c r="Q39" s="738"/>
      <c r="R39" s="738"/>
      <c r="S39" s="738"/>
      <c r="T39" s="738"/>
      <c r="U39" s="738"/>
      <c r="V39" s="738">
        <v>179508.46</v>
      </c>
      <c r="W39" s="738"/>
      <c r="X39" s="738"/>
      <c r="Y39" s="738">
        <v>4309603.94</v>
      </c>
      <c r="Z39" s="738">
        <v>390182.17</v>
      </c>
      <c r="AA39" s="738">
        <v>568735.46</v>
      </c>
      <c r="AB39" s="738">
        <v>12823.83</v>
      </c>
      <c r="AC39" s="738">
        <v>1743191</v>
      </c>
      <c r="AD39" s="738">
        <v>88544.74</v>
      </c>
      <c r="AE39" s="738"/>
      <c r="AF39" s="738"/>
      <c r="AG39" s="738"/>
      <c r="AH39" s="738"/>
      <c r="AI39" s="738"/>
      <c r="AJ39" s="738"/>
      <c r="AK39" s="738"/>
      <c r="AL39" s="447">
        <f t="shared" si="0"/>
        <v>7292589.600000001</v>
      </c>
    </row>
    <row r="40" spans="1:38" ht="14.25">
      <c r="A40" s="734" t="s">
        <v>537</v>
      </c>
      <c r="B40" s="313" t="s">
        <v>140</v>
      </c>
      <c r="C40" s="736"/>
      <c r="D40" s="1475"/>
      <c r="E40" s="736"/>
      <c r="F40" s="737"/>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v>1715539.04</v>
      </c>
      <c r="AD40" s="738">
        <v>363322.83</v>
      </c>
      <c r="AE40" s="738"/>
      <c r="AF40" s="738"/>
      <c r="AG40" s="738"/>
      <c r="AH40" s="738"/>
      <c r="AI40" s="738"/>
      <c r="AJ40" s="738"/>
      <c r="AK40" s="738"/>
      <c r="AL40" s="447">
        <f t="shared" si="0"/>
        <v>2078861.87</v>
      </c>
    </row>
    <row r="41" spans="1:38" ht="14.25">
      <c r="A41" s="734" t="s">
        <v>538</v>
      </c>
      <c r="B41" s="313" t="s">
        <v>141</v>
      </c>
      <c r="C41" s="736"/>
      <c r="D41" s="736"/>
      <c r="E41" s="736"/>
      <c r="F41" s="737"/>
      <c r="G41" s="738"/>
      <c r="H41" s="738"/>
      <c r="I41" s="738"/>
      <c r="J41" s="738"/>
      <c r="K41" s="738"/>
      <c r="L41" s="738"/>
      <c r="M41" s="738"/>
      <c r="N41" s="738"/>
      <c r="O41" s="738"/>
      <c r="P41" s="738"/>
      <c r="Q41" s="738"/>
      <c r="R41" s="738"/>
      <c r="S41" s="738"/>
      <c r="T41" s="738"/>
      <c r="U41" s="738"/>
      <c r="V41" s="738">
        <v>597678.81</v>
      </c>
      <c r="W41" s="738"/>
      <c r="X41" s="738">
        <v>270904.59</v>
      </c>
      <c r="Y41" s="738">
        <v>978108.9</v>
      </c>
      <c r="Z41" s="738"/>
      <c r="AA41" s="738">
        <v>895138.8</v>
      </c>
      <c r="AB41" s="738">
        <v>103738.06</v>
      </c>
      <c r="AC41" s="738">
        <v>996246.32</v>
      </c>
      <c r="AD41" s="738">
        <v>116750.92</v>
      </c>
      <c r="AE41" s="738"/>
      <c r="AF41" s="738"/>
      <c r="AG41" s="738"/>
      <c r="AH41" s="738"/>
      <c r="AI41" s="738"/>
      <c r="AJ41" s="738"/>
      <c r="AK41" s="738"/>
      <c r="AL41" s="447">
        <f t="shared" si="0"/>
        <v>3958566.4000000004</v>
      </c>
    </row>
    <row r="42" spans="1:38" ht="14.25">
      <c r="A42" s="734" t="s">
        <v>539</v>
      </c>
      <c r="B42" s="313" t="s">
        <v>142</v>
      </c>
      <c r="C42" s="736"/>
      <c r="D42" s="736">
        <v>979313.94</v>
      </c>
      <c r="E42" s="736">
        <v>10044216.63</v>
      </c>
      <c r="F42" s="737">
        <v>585608472.34</v>
      </c>
      <c r="G42" s="738"/>
      <c r="H42" s="738">
        <v>86237.55</v>
      </c>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v>2115770</v>
      </c>
      <c r="AK42" s="738"/>
      <c r="AL42" s="447">
        <f t="shared" si="0"/>
        <v>598834010.46</v>
      </c>
    </row>
    <row r="43" spans="1:38" ht="14.25">
      <c r="A43" s="734" t="s">
        <v>540</v>
      </c>
      <c r="B43" s="313" t="s">
        <v>143</v>
      </c>
      <c r="C43" s="736"/>
      <c r="D43" s="736"/>
      <c r="E43" s="736"/>
      <c r="F43" s="737"/>
      <c r="G43" s="738"/>
      <c r="H43" s="738"/>
      <c r="I43" s="738"/>
      <c r="J43" s="738"/>
      <c r="K43" s="738"/>
      <c r="L43" s="738"/>
      <c r="M43" s="738"/>
      <c r="N43" s="738"/>
      <c r="O43" s="738"/>
      <c r="P43" s="738"/>
      <c r="Q43" s="738"/>
      <c r="R43" s="738"/>
      <c r="S43" s="738"/>
      <c r="T43" s="738"/>
      <c r="U43" s="738"/>
      <c r="V43" s="738">
        <v>145039.71</v>
      </c>
      <c r="W43" s="738">
        <v>299362.82</v>
      </c>
      <c r="X43" s="738">
        <v>441768.35</v>
      </c>
      <c r="Y43" s="738">
        <v>442874.33</v>
      </c>
      <c r="Z43" s="738">
        <v>2531763.74</v>
      </c>
      <c r="AA43" s="738">
        <v>1324793.41</v>
      </c>
      <c r="AB43" s="738">
        <v>7010.1</v>
      </c>
      <c r="AC43" s="738">
        <v>1034439.98</v>
      </c>
      <c r="AD43" s="738">
        <v>1847889.68</v>
      </c>
      <c r="AE43" s="738"/>
      <c r="AF43" s="738"/>
      <c r="AG43" s="738"/>
      <c r="AH43" s="738"/>
      <c r="AI43" s="738"/>
      <c r="AJ43" s="738"/>
      <c r="AK43" s="738"/>
      <c r="AL43" s="447">
        <f t="shared" si="0"/>
        <v>8074942.119999999</v>
      </c>
    </row>
    <row r="44" spans="1:38" ht="14.25">
      <c r="A44" s="734" t="s">
        <v>541</v>
      </c>
      <c r="B44" s="313" t="s">
        <v>144</v>
      </c>
      <c r="C44" s="736"/>
      <c r="D44" s="736"/>
      <c r="E44" s="736"/>
      <c r="F44" s="737"/>
      <c r="G44" s="738"/>
      <c r="H44" s="738"/>
      <c r="I44" s="738"/>
      <c r="J44" s="738"/>
      <c r="K44" s="738"/>
      <c r="L44" s="738"/>
      <c r="M44" s="738"/>
      <c r="N44" s="738"/>
      <c r="O44" s="738"/>
      <c r="P44" s="738"/>
      <c r="Q44" s="738"/>
      <c r="R44" s="738"/>
      <c r="S44" s="738"/>
      <c r="T44" s="738"/>
      <c r="U44" s="738"/>
      <c r="V44" s="738">
        <v>842428.94</v>
      </c>
      <c r="W44" s="738"/>
      <c r="X44" s="738"/>
      <c r="Y44" s="738">
        <v>470960.17</v>
      </c>
      <c r="Z44" s="738">
        <v>1069135.75</v>
      </c>
      <c r="AA44" s="738">
        <v>1886249.93</v>
      </c>
      <c r="AB44" s="738"/>
      <c r="AC44" s="738">
        <v>2556522.91</v>
      </c>
      <c r="AD44" s="738">
        <v>1599120.51</v>
      </c>
      <c r="AE44" s="738"/>
      <c r="AF44" s="738"/>
      <c r="AG44" s="738"/>
      <c r="AH44" s="738"/>
      <c r="AI44" s="738"/>
      <c r="AJ44" s="738"/>
      <c r="AK44" s="738"/>
      <c r="AL44" s="447">
        <f t="shared" si="0"/>
        <v>8424418.21</v>
      </c>
    </row>
    <row r="45" spans="1:38" ht="14.25">
      <c r="A45" s="734" t="s">
        <v>542</v>
      </c>
      <c r="B45" s="313" t="s">
        <v>145</v>
      </c>
      <c r="C45" s="736"/>
      <c r="D45" s="736"/>
      <c r="E45" s="736"/>
      <c r="F45" s="737"/>
      <c r="G45" s="738"/>
      <c r="H45" s="738"/>
      <c r="I45" s="738"/>
      <c r="J45" s="738"/>
      <c r="K45" s="738"/>
      <c r="L45" s="738"/>
      <c r="M45" s="738"/>
      <c r="N45" s="738"/>
      <c r="O45" s="738"/>
      <c r="P45" s="738"/>
      <c r="Q45" s="738"/>
      <c r="R45" s="738"/>
      <c r="S45" s="738"/>
      <c r="T45" s="738"/>
      <c r="U45" s="738"/>
      <c r="V45" s="738">
        <v>17105.92</v>
      </c>
      <c r="W45" s="738">
        <v>17.46</v>
      </c>
      <c r="X45" s="738"/>
      <c r="Y45" s="738">
        <v>2869960.89</v>
      </c>
      <c r="Z45" s="738">
        <v>108438.99</v>
      </c>
      <c r="AA45" s="738">
        <v>363779.22</v>
      </c>
      <c r="AB45" s="738"/>
      <c r="AC45" s="738">
        <v>604211.69</v>
      </c>
      <c r="AD45" s="738">
        <v>197233.86</v>
      </c>
      <c r="AE45" s="738"/>
      <c r="AF45" s="738"/>
      <c r="AG45" s="738"/>
      <c r="AH45" s="738"/>
      <c r="AI45" s="738"/>
      <c r="AJ45" s="738"/>
      <c r="AK45" s="738"/>
      <c r="AL45" s="447">
        <f t="shared" si="0"/>
        <v>4160748.0300000003</v>
      </c>
    </row>
    <row r="46" spans="1:38" ht="14.25">
      <c r="A46" s="734" t="s">
        <v>543</v>
      </c>
      <c r="B46" s="313" t="s">
        <v>146</v>
      </c>
      <c r="C46" s="736"/>
      <c r="D46" s="736"/>
      <c r="E46" s="736"/>
      <c r="F46" s="737"/>
      <c r="G46" s="738"/>
      <c r="H46" s="738"/>
      <c r="I46" s="738"/>
      <c r="J46" s="738"/>
      <c r="K46" s="738"/>
      <c r="L46" s="738"/>
      <c r="M46" s="738"/>
      <c r="N46" s="738">
        <v>0</v>
      </c>
      <c r="O46" s="738"/>
      <c r="P46" s="738"/>
      <c r="Q46" s="738">
        <v>0</v>
      </c>
      <c r="R46" s="738"/>
      <c r="S46" s="738"/>
      <c r="T46" s="738">
        <v>0</v>
      </c>
      <c r="U46" s="738"/>
      <c r="V46" s="738">
        <v>331491.07</v>
      </c>
      <c r="W46" s="738">
        <v>3247.86</v>
      </c>
      <c r="X46" s="738">
        <v>11151</v>
      </c>
      <c r="Y46" s="738">
        <v>6485916.09</v>
      </c>
      <c r="Z46" s="738">
        <v>761702.51</v>
      </c>
      <c r="AA46" s="738">
        <v>2915748.44</v>
      </c>
      <c r="AB46" s="738">
        <v>1877418.64</v>
      </c>
      <c r="AC46" s="738">
        <v>4831812.89</v>
      </c>
      <c r="AD46" s="738">
        <v>1538629.5</v>
      </c>
      <c r="AE46" s="738"/>
      <c r="AF46" s="738"/>
      <c r="AG46" s="738"/>
      <c r="AH46" s="738"/>
      <c r="AI46" s="738"/>
      <c r="AJ46" s="738"/>
      <c r="AK46" s="738"/>
      <c r="AL46" s="447">
        <f t="shared" si="0"/>
        <v>18757118</v>
      </c>
    </row>
    <row r="47" spans="1:38" ht="14.25">
      <c r="A47" s="734" t="s">
        <v>544</v>
      </c>
      <c r="B47" s="313" t="s">
        <v>147</v>
      </c>
      <c r="C47" s="736"/>
      <c r="D47" s="736"/>
      <c r="E47" s="736"/>
      <c r="F47" s="737"/>
      <c r="G47" s="738"/>
      <c r="H47" s="738"/>
      <c r="I47" s="738"/>
      <c r="J47" s="738"/>
      <c r="K47" s="738">
        <v>0</v>
      </c>
      <c r="L47" s="738"/>
      <c r="M47" s="738"/>
      <c r="N47" s="738"/>
      <c r="O47" s="738"/>
      <c r="P47" s="738"/>
      <c r="Q47" s="738"/>
      <c r="R47" s="738"/>
      <c r="S47" s="738"/>
      <c r="T47" s="738"/>
      <c r="U47" s="738"/>
      <c r="V47" s="738">
        <v>1151102.76</v>
      </c>
      <c r="W47" s="738">
        <v>901599.39</v>
      </c>
      <c r="X47" s="738"/>
      <c r="Y47" s="738">
        <v>692530.29</v>
      </c>
      <c r="Z47" s="738">
        <v>2948380.96</v>
      </c>
      <c r="AA47" s="738">
        <v>1828046.23</v>
      </c>
      <c r="AB47" s="738"/>
      <c r="AC47" s="738">
        <v>2012102.62</v>
      </c>
      <c r="AD47" s="738">
        <v>675706.64</v>
      </c>
      <c r="AE47" s="738"/>
      <c r="AF47" s="738"/>
      <c r="AG47" s="738"/>
      <c r="AH47" s="738"/>
      <c r="AI47" s="738"/>
      <c r="AJ47" s="738"/>
      <c r="AK47" s="738"/>
      <c r="AL47" s="447">
        <f t="shared" si="0"/>
        <v>10209468.89</v>
      </c>
    </row>
    <row r="48" spans="1:38" ht="14.25">
      <c r="A48" s="734" t="s">
        <v>545</v>
      </c>
      <c r="B48" s="313" t="s">
        <v>148</v>
      </c>
      <c r="C48" s="736"/>
      <c r="D48" s="736"/>
      <c r="E48" s="736"/>
      <c r="F48" s="737"/>
      <c r="G48" s="738"/>
      <c r="H48" s="738"/>
      <c r="I48" s="738"/>
      <c r="J48" s="738"/>
      <c r="K48" s="738"/>
      <c r="L48" s="738"/>
      <c r="M48" s="738"/>
      <c r="N48" s="738"/>
      <c r="O48" s="738"/>
      <c r="P48" s="738"/>
      <c r="Q48" s="738"/>
      <c r="R48" s="738"/>
      <c r="S48" s="738"/>
      <c r="T48" s="738"/>
      <c r="U48" s="738"/>
      <c r="V48" s="738">
        <v>590.52</v>
      </c>
      <c r="W48" s="738"/>
      <c r="X48" s="738">
        <v>57111.3</v>
      </c>
      <c r="Y48" s="738"/>
      <c r="Z48" s="738">
        <v>297470.26</v>
      </c>
      <c r="AA48" s="738">
        <v>82814.1</v>
      </c>
      <c r="AB48" s="738"/>
      <c r="AC48" s="738">
        <v>41305.22</v>
      </c>
      <c r="AD48" s="738"/>
      <c r="AE48" s="738"/>
      <c r="AF48" s="738"/>
      <c r="AG48" s="738"/>
      <c r="AH48" s="738"/>
      <c r="AI48" s="738"/>
      <c r="AJ48" s="738"/>
      <c r="AK48" s="738"/>
      <c r="AL48" s="447">
        <f t="shared" si="0"/>
        <v>479291.4</v>
      </c>
    </row>
    <row r="49" spans="1:38" ht="14.25">
      <c r="A49" s="734" t="s">
        <v>546</v>
      </c>
      <c r="B49" s="313" t="s">
        <v>149</v>
      </c>
      <c r="C49" s="736"/>
      <c r="D49" s="736"/>
      <c r="E49" s="736"/>
      <c r="F49" s="737"/>
      <c r="G49" s="738"/>
      <c r="H49" s="738"/>
      <c r="I49" s="738"/>
      <c r="J49" s="738"/>
      <c r="K49" s="738"/>
      <c r="L49" s="738"/>
      <c r="M49" s="738"/>
      <c r="N49" s="738"/>
      <c r="O49" s="738"/>
      <c r="P49" s="738"/>
      <c r="Q49" s="738"/>
      <c r="R49" s="738"/>
      <c r="S49" s="738"/>
      <c r="T49" s="738"/>
      <c r="U49" s="738"/>
      <c r="V49" s="738">
        <v>6979.1</v>
      </c>
      <c r="W49" s="738"/>
      <c r="X49" s="738"/>
      <c r="Y49" s="738">
        <v>58308.76</v>
      </c>
      <c r="Z49" s="738"/>
      <c r="AA49" s="738">
        <v>6919</v>
      </c>
      <c r="AB49" s="738"/>
      <c r="AC49" s="738">
        <v>27692.58</v>
      </c>
      <c r="AD49" s="738">
        <v>1349.64</v>
      </c>
      <c r="AE49" s="738"/>
      <c r="AF49" s="738"/>
      <c r="AG49" s="738"/>
      <c r="AH49" s="738"/>
      <c r="AI49" s="738"/>
      <c r="AJ49" s="738"/>
      <c r="AK49" s="738"/>
      <c r="AL49" s="447">
        <f t="shared" si="0"/>
        <v>101249.08</v>
      </c>
    </row>
    <row r="50" spans="1:38" ht="14.25">
      <c r="A50" s="734"/>
      <c r="B50" s="313" t="s">
        <v>150</v>
      </c>
      <c r="C50" s="736"/>
      <c r="D50" s="736">
        <v>8975482.18</v>
      </c>
      <c r="E50" s="736">
        <v>1481028.76</v>
      </c>
      <c r="F50" s="737">
        <v>4619522</v>
      </c>
      <c r="G50" s="738">
        <v>-20.27</v>
      </c>
      <c r="H50" s="738"/>
      <c r="I50" s="738"/>
      <c r="J50" s="738"/>
      <c r="K50" s="738"/>
      <c r="L50" s="738"/>
      <c r="M50" s="738">
        <v>122460</v>
      </c>
      <c r="N50" s="738"/>
      <c r="O50" s="738"/>
      <c r="P50" s="738"/>
      <c r="Q50" s="738">
        <v>-703626.16</v>
      </c>
      <c r="R50" s="738"/>
      <c r="S50" s="738"/>
      <c r="T50" s="738"/>
      <c r="U50" s="738">
        <v>3203343</v>
      </c>
      <c r="V50" s="738"/>
      <c r="W50" s="738"/>
      <c r="X50" s="738"/>
      <c r="Y50" s="738"/>
      <c r="Z50" s="738"/>
      <c r="AA50" s="738"/>
      <c r="AB50" s="738"/>
      <c r="AC50" s="738"/>
      <c r="AD50" s="738"/>
      <c r="AE50" s="738"/>
      <c r="AF50" s="738"/>
      <c r="AG50" s="738">
        <v>105972926.33000003</v>
      </c>
      <c r="AH50" s="738">
        <v>832000</v>
      </c>
      <c r="AI50" s="738">
        <v>63332000</v>
      </c>
      <c r="AJ50" s="738"/>
      <c r="AK50" s="738">
        <v>49963.5</v>
      </c>
      <c r="AL50" s="447">
        <f t="shared" si="0"/>
        <v>187885079.34000003</v>
      </c>
    </row>
    <row r="51" spans="1:38" ht="14.25">
      <c r="A51" s="734"/>
      <c r="B51" s="313" t="s">
        <v>151</v>
      </c>
      <c r="C51" s="736">
        <v>-2952.24</v>
      </c>
      <c r="D51" s="736">
        <v>-140368.16</v>
      </c>
      <c r="E51" s="736">
        <v>6581546.22</v>
      </c>
      <c r="F51" s="737">
        <v>-6</v>
      </c>
      <c r="G51" s="738"/>
      <c r="H51" s="738">
        <v>-2727.53</v>
      </c>
      <c r="I51" s="738"/>
      <c r="J51" s="738"/>
      <c r="K51" s="738"/>
      <c r="L51" s="738"/>
      <c r="M51" s="738"/>
      <c r="N51" s="738"/>
      <c r="O51" s="738"/>
      <c r="P51" s="738"/>
      <c r="Q51" s="738"/>
      <c r="R51" s="738"/>
      <c r="S51" s="738"/>
      <c r="T51" s="738"/>
      <c r="U51" s="738">
        <v>-19732.89</v>
      </c>
      <c r="V51" s="738"/>
      <c r="W51" s="738"/>
      <c r="X51" s="738"/>
      <c r="Y51" s="738">
        <v>-9232.12</v>
      </c>
      <c r="Z51" s="738"/>
      <c r="AA51" s="738"/>
      <c r="AB51" s="738"/>
      <c r="AC51" s="738"/>
      <c r="AD51" s="738"/>
      <c r="AE51" s="738">
        <v>14936724.5</v>
      </c>
      <c r="AF51" s="738"/>
      <c r="AG51" s="738">
        <v>8279027</v>
      </c>
      <c r="AH51" s="738"/>
      <c r="AI51" s="738"/>
      <c r="AJ51" s="738"/>
      <c r="AK51" s="738"/>
      <c r="AL51" s="447">
        <f>SUM(C51:AK51)</f>
        <v>29622278.78</v>
      </c>
    </row>
    <row r="52" spans="1:38" ht="14.25">
      <c r="A52" s="734"/>
      <c r="B52" s="313" t="s">
        <v>152</v>
      </c>
      <c r="C52" s="736"/>
      <c r="D52" s="736"/>
      <c r="E52" s="736"/>
      <c r="F52" s="737"/>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v>51679702.541877754</v>
      </c>
      <c r="AH52" s="738"/>
      <c r="AI52" s="738"/>
      <c r="AJ52" s="738"/>
      <c r="AK52" s="738"/>
      <c r="AL52" s="447">
        <f t="shared" si="0"/>
        <v>51679702.541877754</v>
      </c>
    </row>
    <row r="53" spans="1:38" ht="14.25">
      <c r="A53" s="734"/>
      <c r="B53" s="313" t="s">
        <v>153</v>
      </c>
      <c r="C53" s="736"/>
      <c r="D53" s="736"/>
      <c r="E53" s="736"/>
      <c r="F53" s="737"/>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v>19662734.995192662</v>
      </c>
      <c r="AH53" s="738"/>
      <c r="AI53" s="738"/>
      <c r="AJ53" s="738"/>
      <c r="AK53" s="738"/>
      <c r="AL53" s="447">
        <f t="shared" si="0"/>
        <v>19662734.995192662</v>
      </c>
    </row>
    <row r="54" spans="1:38" ht="14.25">
      <c r="A54" s="734" t="s">
        <v>547</v>
      </c>
      <c r="B54" s="313" t="s">
        <v>154</v>
      </c>
      <c r="C54" s="736"/>
      <c r="D54" s="736"/>
      <c r="E54" s="736"/>
      <c r="F54" s="737"/>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v>-15295297.72</v>
      </c>
      <c r="AH54" s="738"/>
      <c r="AI54" s="738"/>
      <c r="AJ54" s="738"/>
      <c r="AK54" s="738"/>
      <c r="AL54" s="447">
        <f t="shared" si="0"/>
        <v>-15295297.72</v>
      </c>
    </row>
    <row r="55" spans="1:38" ht="14.25">
      <c r="A55" s="734"/>
      <c r="B55" s="313" t="s">
        <v>548</v>
      </c>
      <c r="C55" s="736"/>
      <c r="D55" s="736"/>
      <c r="E55" s="736"/>
      <c r="F55" s="737"/>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v>21044337.3608782</v>
      </c>
      <c r="AH55" s="738"/>
      <c r="AI55" s="738"/>
      <c r="AJ55" s="738"/>
      <c r="AK55" s="738"/>
      <c r="AL55" s="447">
        <f t="shared" si="0"/>
        <v>21044337.3608782</v>
      </c>
    </row>
    <row r="56" spans="1:38" ht="14.25">
      <c r="A56" s="734" t="s">
        <v>549</v>
      </c>
      <c r="B56" s="313" t="s">
        <v>462</v>
      </c>
      <c r="C56" s="736">
        <v>526059.39</v>
      </c>
      <c r="D56" s="736">
        <v>1116948.8</v>
      </c>
      <c r="E56" s="736">
        <v>1828755.06</v>
      </c>
      <c r="F56" s="737">
        <v>0</v>
      </c>
      <c r="G56" s="738"/>
      <c r="H56" s="738"/>
      <c r="I56" s="738"/>
      <c r="J56" s="738"/>
      <c r="K56" s="738"/>
      <c r="L56" s="738">
        <v>6707.48</v>
      </c>
      <c r="M56" s="738">
        <v>76558.68</v>
      </c>
      <c r="N56" s="738"/>
      <c r="O56" s="738"/>
      <c r="P56" s="738"/>
      <c r="Q56" s="738"/>
      <c r="R56" s="738"/>
      <c r="S56" s="738"/>
      <c r="T56" s="738"/>
      <c r="U56" s="738">
        <v>1484226.21</v>
      </c>
      <c r="V56" s="738"/>
      <c r="W56" s="738"/>
      <c r="X56" s="738"/>
      <c r="Y56" s="738">
        <v>409287.94</v>
      </c>
      <c r="Z56" s="738"/>
      <c r="AA56" s="738"/>
      <c r="AB56" s="738">
        <v>98168.13</v>
      </c>
      <c r="AC56" s="738"/>
      <c r="AD56" s="738"/>
      <c r="AE56" s="738"/>
      <c r="AF56" s="738"/>
      <c r="AG56" s="738">
        <v>198485.41</v>
      </c>
      <c r="AH56" s="738"/>
      <c r="AI56" s="738"/>
      <c r="AJ56" s="738"/>
      <c r="AK56" s="738"/>
      <c r="AL56" s="447">
        <f t="shared" si="0"/>
        <v>5745197.100000001</v>
      </c>
    </row>
    <row r="57" spans="1:38" ht="14.25">
      <c r="A57" s="734"/>
      <c r="B57" s="313" t="s">
        <v>415</v>
      </c>
      <c r="C57" s="736">
        <v>277906.73</v>
      </c>
      <c r="D57" s="736">
        <v>375317.05</v>
      </c>
      <c r="E57" s="736">
        <v>1128630.64</v>
      </c>
      <c r="F57" s="737"/>
      <c r="G57" s="738"/>
      <c r="H57" s="738"/>
      <c r="I57" s="738"/>
      <c r="J57" s="738"/>
      <c r="K57" s="738"/>
      <c r="L57" s="738"/>
      <c r="M57" s="738"/>
      <c r="N57" s="738"/>
      <c r="O57" s="738"/>
      <c r="P57" s="738"/>
      <c r="Q57" s="738"/>
      <c r="R57" s="738"/>
      <c r="S57" s="738"/>
      <c r="T57" s="738"/>
      <c r="U57" s="738">
        <v>8242.77</v>
      </c>
      <c r="V57" s="738"/>
      <c r="W57" s="738"/>
      <c r="X57" s="738"/>
      <c r="Y57" s="738">
        <v>312330.9</v>
      </c>
      <c r="Z57" s="738"/>
      <c r="AA57" s="738"/>
      <c r="AB57" s="738"/>
      <c r="AC57" s="738"/>
      <c r="AD57" s="738"/>
      <c r="AE57" s="738"/>
      <c r="AF57" s="738"/>
      <c r="AG57" s="738">
        <v>-264775.8</v>
      </c>
      <c r="AH57" s="738"/>
      <c r="AI57" s="738"/>
      <c r="AJ57" s="738"/>
      <c r="AK57" s="738"/>
      <c r="AL57" s="447">
        <f t="shared" si="0"/>
        <v>1837652.2899999998</v>
      </c>
    </row>
    <row r="58" spans="1:38" ht="14.25">
      <c r="A58" s="734" t="s">
        <v>550</v>
      </c>
      <c r="B58" s="313" t="s">
        <v>891</v>
      </c>
      <c r="C58" s="736"/>
      <c r="D58" s="736"/>
      <c r="E58" s="736"/>
      <c r="F58" s="737"/>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v>25500000</v>
      </c>
      <c r="AH58" s="738"/>
      <c r="AI58" s="738"/>
      <c r="AJ58" s="738"/>
      <c r="AK58" s="738"/>
      <c r="AL58" s="447">
        <f t="shared" si="0"/>
        <v>25500000</v>
      </c>
    </row>
    <row r="59" spans="1:38" ht="14.25">
      <c r="A59" s="734"/>
      <c r="B59" s="313" t="s">
        <v>551</v>
      </c>
      <c r="C59" s="736"/>
      <c r="D59" s="736"/>
      <c r="E59" s="736"/>
      <c r="F59" s="737"/>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v>19547696.045767315</v>
      </c>
      <c r="AH59" s="738"/>
      <c r="AI59" s="738"/>
      <c r="AJ59" s="738"/>
      <c r="AK59" s="738"/>
      <c r="AL59" s="447">
        <f t="shared" si="0"/>
        <v>19547696.045767315</v>
      </c>
    </row>
    <row r="60" spans="1:38" ht="14.25">
      <c r="A60" s="734" t="s">
        <v>552</v>
      </c>
      <c r="B60" s="313" t="s">
        <v>553</v>
      </c>
      <c r="C60" s="736">
        <v>711091.98</v>
      </c>
      <c r="D60" s="736">
        <v>823338.89</v>
      </c>
      <c r="E60" s="736">
        <v>1431380.3</v>
      </c>
      <c r="F60" s="737"/>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447">
        <f t="shared" si="0"/>
        <v>2965811.17</v>
      </c>
    </row>
    <row r="61" spans="1:38" ht="14.25">
      <c r="A61" s="734" t="s">
        <v>554</v>
      </c>
      <c r="B61" s="313" t="s">
        <v>155</v>
      </c>
      <c r="C61" s="736">
        <v>56872.76</v>
      </c>
      <c r="D61" s="736">
        <v>914.6800000001676</v>
      </c>
      <c r="E61" s="736">
        <v>17141.850000000093</v>
      </c>
      <c r="F61" s="737">
        <v>8519.120000000112</v>
      </c>
      <c r="G61" s="738">
        <v>0</v>
      </c>
      <c r="H61" s="738">
        <v>2234.37</v>
      </c>
      <c r="I61" s="738"/>
      <c r="J61" s="738"/>
      <c r="K61" s="738"/>
      <c r="L61" s="738">
        <v>0</v>
      </c>
      <c r="M61" s="738">
        <v>0</v>
      </c>
      <c r="N61" s="738">
        <v>0</v>
      </c>
      <c r="O61" s="738">
        <v>0</v>
      </c>
      <c r="P61" s="738">
        <v>0</v>
      </c>
      <c r="Q61" s="738">
        <v>0</v>
      </c>
      <c r="R61" s="738">
        <v>0</v>
      </c>
      <c r="S61" s="738">
        <v>0</v>
      </c>
      <c r="T61" s="738"/>
      <c r="U61" s="738">
        <v>1229.3599999998696</v>
      </c>
      <c r="V61" s="738"/>
      <c r="W61" s="738"/>
      <c r="X61" s="738"/>
      <c r="Y61" s="738">
        <v>66191.07</v>
      </c>
      <c r="Z61" s="738"/>
      <c r="AA61" s="738"/>
      <c r="AB61" s="738"/>
      <c r="AC61" s="738"/>
      <c r="AD61" s="738"/>
      <c r="AE61" s="738">
        <v>-0.01</v>
      </c>
      <c r="AF61" s="738">
        <v>695938.14</v>
      </c>
      <c r="AG61" s="738">
        <v>2000000</v>
      </c>
      <c r="AH61" s="738">
        <v>0</v>
      </c>
      <c r="AI61" s="738">
        <v>0</v>
      </c>
      <c r="AJ61" s="738"/>
      <c r="AK61" s="738">
        <v>0</v>
      </c>
      <c r="AL61" s="447">
        <f t="shared" si="0"/>
        <v>2849041.3400000003</v>
      </c>
    </row>
    <row r="62" spans="1:38" ht="14.25">
      <c r="A62" s="734"/>
      <c r="B62" s="313" t="s">
        <v>157</v>
      </c>
      <c r="C62" s="736"/>
      <c r="D62" s="736"/>
      <c r="E62" s="736"/>
      <c r="F62" s="737"/>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v>680291.63</v>
      </c>
      <c r="AH62" s="738"/>
      <c r="AI62" s="738"/>
      <c r="AJ62" s="738"/>
      <c r="AK62" s="738"/>
      <c r="AL62" s="447">
        <f t="shared" si="0"/>
        <v>680291.63</v>
      </c>
    </row>
    <row r="63" spans="1:38" ht="14.25">
      <c r="A63" s="734" t="s">
        <v>557</v>
      </c>
      <c r="B63" s="313" t="s">
        <v>156</v>
      </c>
      <c r="C63" s="736">
        <v>697552.89</v>
      </c>
      <c r="D63" s="736">
        <v>1007121.82</v>
      </c>
      <c r="E63" s="736">
        <v>1772179.82</v>
      </c>
      <c r="F63" s="737"/>
      <c r="G63" s="738">
        <v>47730.9</v>
      </c>
      <c r="H63" s="738">
        <v>250246.23</v>
      </c>
      <c r="I63" s="738">
        <v>38184.72</v>
      </c>
      <c r="J63" s="738">
        <v>75687.56</v>
      </c>
      <c r="K63" s="738">
        <v>71596.27</v>
      </c>
      <c r="L63" s="738">
        <v>37502.83</v>
      </c>
      <c r="M63" s="738"/>
      <c r="N63" s="738">
        <v>36820.97</v>
      </c>
      <c r="O63" s="738">
        <v>17046.74</v>
      </c>
      <c r="P63" s="738">
        <v>17046.74</v>
      </c>
      <c r="Q63" s="738">
        <v>18410.5</v>
      </c>
      <c r="R63" s="738">
        <v>15683.01</v>
      </c>
      <c r="S63" s="738">
        <v>16364.88</v>
      </c>
      <c r="T63" s="738">
        <v>45003.42</v>
      </c>
      <c r="U63" s="738">
        <v>565270.14</v>
      </c>
      <c r="V63" s="738"/>
      <c r="W63" s="738"/>
      <c r="X63" s="738"/>
      <c r="Y63" s="738"/>
      <c r="Z63" s="738">
        <v>1840366.81</v>
      </c>
      <c r="AA63" s="738"/>
      <c r="AB63" s="738"/>
      <c r="AC63" s="738"/>
      <c r="AD63" s="738"/>
      <c r="AE63" s="738"/>
      <c r="AF63" s="738"/>
      <c r="AG63" s="738"/>
      <c r="AH63" s="738"/>
      <c r="AI63" s="738">
        <v>47730.9</v>
      </c>
      <c r="AJ63" s="738"/>
      <c r="AK63" s="738">
        <v>201151.63</v>
      </c>
      <c r="AL63" s="447">
        <f aca="true" t="shared" si="1" ref="AL63:AL68">SUM(C63:AK63)</f>
        <v>6818698.78</v>
      </c>
    </row>
    <row r="64" spans="1:38" ht="14.25">
      <c r="A64" s="734"/>
      <c r="B64" s="313" t="s">
        <v>753</v>
      </c>
      <c r="C64" s="736"/>
      <c r="D64" s="736"/>
      <c r="E64" s="736"/>
      <c r="F64" s="737"/>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v>247003.18994378333</v>
      </c>
      <c r="AH64" s="738"/>
      <c r="AI64" s="738"/>
      <c r="AJ64" s="738"/>
      <c r="AK64" s="738"/>
      <c r="AL64" s="447">
        <f t="shared" si="1"/>
        <v>247003.18994378333</v>
      </c>
    </row>
    <row r="65" spans="1:38" ht="14.25">
      <c r="A65" s="734" t="s">
        <v>555</v>
      </c>
      <c r="B65" s="313" t="s">
        <v>556</v>
      </c>
      <c r="C65" s="736">
        <v>0</v>
      </c>
      <c r="D65" s="736">
        <v>0</v>
      </c>
      <c r="E65" s="736">
        <v>0</v>
      </c>
      <c r="F65" s="737">
        <v>0</v>
      </c>
      <c r="G65" s="738"/>
      <c r="H65" s="738">
        <v>0</v>
      </c>
      <c r="I65" s="738"/>
      <c r="J65" s="738"/>
      <c r="K65" s="738"/>
      <c r="L65" s="738"/>
      <c r="M65" s="738"/>
      <c r="N65" s="738"/>
      <c r="O65" s="738"/>
      <c r="P65" s="738"/>
      <c r="Q65" s="738"/>
      <c r="R65" s="738"/>
      <c r="S65" s="738"/>
      <c r="T65" s="738"/>
      <c r="U65" s="738">
        <v>0</v>
      </c>
      <c r="V65" s="738"/>
      <c r="W65" s="738"/>
      <c r="X65" s="738"/>
      <c r="Y65" s="738">
        <v>0</v>
      </c>
      <c r="Z65" s="738"/>
      <c r="AA65" s="738"/>
      <c r="AB65" s="738"/>
      <c r="AC65" s="738"/>
      <c r="AD65" s="738"/>
      <c r="AE65" s="738"/>
      <c r="AF65" s="738"/>
      <c r="AG65" s="738">
        <v>4582041.133020317</v>
      </c>
      <c r="AH65" s="738"/>
      <c r="AI65" s="738"/>
      <c r="AJ65" s="738"/>
      <c r="AK65" s="738"/>
      <c r="AL65" s="447">
        <f t="shared" si="1"/>
        <v>4582041.133020317</v>
      </c>
    </row>
    <row r="66" spans="1:38" ht="14.25">
      <c r="A66" s="734" t="s">
        <v>558</v>
      </c>
      <c r="B66" s="313" t="s">
        <v>559</v>
      </c>
      <c r="C66" s="736">
        <v>1411512.89</v>
      </c>
      <c r="D66" s="736">
        <v>38052.65</v>
      </c>
      <c r="E66" s="736">
        <v>14997.67</v>
      </c>
      <c r="F66" s="737"/>
      <c r="G66" s="738"/>
      <c r="H66" s="738"/>
      <c r="I66" s="738">
        <v>8830.13</v>
      </c>
      <c r="J66" s="738">
        <v>1645.47</v>
      </c>
      <c r="K66" s="738">
        <v>1193.3</v>
      </c>
      <c r="L66" s="738">
        <v>8994.25</v>
      </c>
      <c r="M66" s="738"/>
      <c r="N66" s="738"/>
      <c r="O66" s="738"/>
      <c r="P66" s="738"/>
      <c r="Q66" s="738"/>
      <c r="R66" s="738"/>
      <c r="S66" s="738"/>
      <c r="T66" s="738"/>
      <c r="U66" s="738"/>
      <c r="V66" s="738"/>
      <c r="W66" s="738"/>
      <c r="X66" s="738"/>
      <c r="Y66" s="738"/>
      <c r="Z66" s="738"/>
      <c r="AA66" s="738"/>
      <c r="AB66" s="738"/>
      <c r="AC66" s="738"/>
      <c r="AD66" s="738"/>
      <c r="AE66" s="738"/>
      <c r="AF66" s="738"/>
      <c r="AG66" s="738">
        <v>4805147.34</v>
      </c>
      <c r="AH66" s="738"/>
      <c r="AI66" s="738"/>
      <c r="AJ66" s="738"/>
      <c r="AK66" s="738"/>
      <c r="AL66" s="447">
        <f t="shared" si="1"/>
        <v>6290373.699999999</v>
      </c>
    </row>
    <row r="67" spans="1:38" ht="15" thickBot="1">
      <c r="A67" s="735" t="s">
        <v>750</v>
      </c>
      <c r="B67" s="314"/>
      <c r="C67" s="738"/>
      <c r="D67" s="738"/>
      <c r="E67" s="738"/>
      <c r="F67" s="738"/>
      <c r="G67" s="738"/>
      <c r="H67" s="738"/>
      <c r="I67" s="738"/>
      <c r="J67" s="738"/>
      <c r="K67" s="738"/>
      <c r="L67" s="738"/>
      <c r="M67" s="738"/>
      <c r="N67" s="738"/>
      <c r="O67" s="738"/>
      <c r="P67" s="738"/>
      <c r="Q67" s="738"/>
      <c r="R67" s="738"/>
      <c r="S67" s="738"/>
      <c r="T67" s="738"/>
      <c r="U67" s="738"/>
      <c r="V67" s="738"/>
      <c r="W67" s="738"/>
      <c r="X67" s="738"/>
      <c r="Y67" s="738"/>
      <c r="Z67" s="738"/>
      <c r="AA67" s="738"/>
      <c r="AB67" s="738"/>
      <c r="AC67" s="738"/>
      <c r="AD67" s="738">
        <v>0</v>
      </c>
      <c r="AE67" s="738"/>
      <c r="AF67" s="738"/>
      <c r="AG67" s="738"/>
      <c r="AH67" s="738"/>
      <c r="AI67" s="738"/>
      <c r="AJ67" s="738"/>
      <c r="AK67" s="738"/>
      <c r="AL67" s="457">
        <f t="shared" si="1"/>
        <v>0</v>
      </c>
    </row>
    <row r="68" spans="1:38" ht="15" thickBot="1">
      <c r="A68" s="314"/>
      <c r="B68" s="343" t="s">
        <v>784</v>
      </c>
      <c r="C68" s="448"/>
      <c r="D68" s="448"/>
      <c r="E68" s="448"/>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56">
        <v>-90000000</v>
      </c>
      <c r="AH68" s="446"/>
      <c r="AI68" s="446"/>
      <c r="AJ68" s="446"/>
      <c r="AK68" s="446"/>
      <c r="AL68" s="457">
        <f t="shared" si="1"/>
        <v>-90000000</v>
      </c>
    </row>
    <row r="69" spans="1:38" ht="14.25">
      <c r="A69" s="314"/>
      <c r="B69" s="314"/>
      <c r="C69" s="448"/>
      <c r="D69" s="448"/>
      <c r="E69" s="448"/>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7"/>
    </row>
    <row r="70" spans="1:38" ht="14.25">
      <c r="A70" s="315" t="s">
        <v>249</v>
      </c>
      <c r="B70" s="316"/>
      <c r="C70" s="449">
        <f aca="true" t="shared" si="2" ref="C70:AK70">SUM(C17:C67)</f>
        <v>55589105.18999999</v>
      </c>
      <c r="D70" s="449">
        <f t="shared" si="2"/>
        <v>83345065.60000001</v>
      </c>
      <c r="E70" s="449">
        <f t="shared" si="2"/>
        <v>169934560.41999996</v>
      </c>
      <c r="F70" s="447">
        <f t="shared" si="2"/>
        <v>1103928475.05</v>
      </c>
      <c r="G70" s="447">
        <f t="shared" si="2"/>
        <v>195697656.64</v>
      </c>
      <c r="H70" s="447">
        <f t="shared" si="2"/>
        <v>52083249.00999999</v>
      </c>
      <c r="I70" s="447">
        <f t="shared" si="2"/>
        <v>2170381.95</v>
      </c>
      <c r="J70" s="447">
        <f t="shared" si="2"/>
        <v>2143792.22</v>
      </c>
      <c r="K70" s="447">
        <f t="shared" si="2"/>
        <v>2410874.95</v>
      </c>
      <c r="L70" s="447">
        <f t="shared" si="2"/>
        <v>1404695.69</v>
      </c>
      <c r="M70" s="447">
        <f t="shared" si="2"/>
        <v>199019.68</v>
      </c>
      <c r="N70" s="447">
        <f t="shared" si="2"/>
        <v>10576139.33</v>
      </c>
      <c r="O70" s="447">
        <f t="shared" si="2"/>
        <v>8861665.71</v>
      </c>
      <c r="P70" s="447">
        <f t="shared" si="2"/>
        <v>5018154.350000001</v>
      </c>
      <c r="Q70" s="447">
        <f t="shared" si="2"/>
        <v>14622115.009999998</v>
      </c>
      <c r="R70" s="447">
        <f t="shared" si="2"/>
        <v>4737993.95</v>
      </c>
      <c r="S70" s="447">
        <f t="shared" si="2"/>
        <v>8141565.42</v>
      </c>
      <c r="T70" s="447">
        <f t="shared" si="2"/>
        <v>6072745.43</v>
      </c>
      <c r="U70" s="447">
        <f t="shared" si="2"/>
        <v>168799211.80000004</v>
      </c>
      <c r="V70" s="447">
        <f t="shared" si="2"/>
        <v>4806223.479999999</v>
      </c>
      <c r="W70" s="447">
        <f t="shared" si="2"/>
        <v>1204227.53</v>
      </c>
      <c r="X70" s="447">
        <f t="shared" si="2"/>
        <v>468778.24</v>
      </c>
      <c r="Y70" s="447">
        <f t="shared" si="2"/>
        <v>33036718.38</v>
      </c>
      <c r="Z70" s="447">
        <f t="shared" si="2"/>
        <v>20903264.19</v>
      </c>
      <c r="AA70" s="447">
        <f t="shared" si="2"/>
        <v>13182356.31</v>
      </c>
      <c r="AB70" s="447">
        <f t="shared" si="2"/>
        <v>11743987.760000002</v>
      </c>
      <c r="AC70" s="447">
        <f t="shared" si="2"/>
        <v>20434873.929999996</v>
      </c>
      <c r="AD70" s="447">
        <f t="shared" si="2"/>
        <v>6445756.319999999</v>
      </c>
      <c r="AE70" s="447">
        <f t="shared" si="2"/>
        <v>86210868.1</v>
      </c>
      <c r="AF70" s="447">
        <f t="shared" si="2"/>
        <v>695938.14</v>
      </c>
      <c r="AG70" s="447">
        <f>SUM(AG17:AG68)</f>
        <v>12795889.47668007</v>
      </c>
      <c r="AH70" s="447">
        <f t="shared" si="2"/>
        <v>832000</v>
      </c>
      <c r="AI70" s="447">
        <f t="shared" si="2"/>
        <v>191520613.97</v>
      </c>
      <c r="AJ70" s="447">
        <f t="shared" si="2"/>
        <v>25681641.98</v>
      </c>
      <c r="AK70" s="447">
        <f t="shared" si="2"/>
        <v>4784960.26</v>
      </c>
      <c r="AL70" s="447">
        <f>SUM(AL17:AL69)</f>
        <v>2330484565.4666805</v>
      </c>
    </row>
    <row r="71" spans="1:38" ht="14.25">
      <c r="A71" s="308"/>
      <c r="B71" s="308"/>
      <c r="C71" s="307"/>
      <c r="D71" s="307"/>
      <c r="E71" s="30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row>
    <row r="72" spans="1:38" ht="14.25">
      <c r="A72" s="308"/>
      <c r="B72" s="308"/>
      <c r="C72" s="307"/>
      <c r="D72" s="307"/>
      <c r="E72" s="30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row>
    <row r="73" spans="1:38" ht="14.25">
      <c r="A73" s="308"/>
      <c r="B73" s="308"/>
      <c r="C73" s="307"/>
      <c r="D73" s="307"/>
      <c r="E73" s="30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39"/>
      <c r="AF73" s="439"/>
      <c r="AG73" s="427"/>
      <c r="AH73" s="427"/>
      <c r="AI73" s="427"/>
      <c r="AJ73" s="427"/>
      <c r="AK73" s="427"/>
      <c r="AL73" s="427"/>
    </row>
    <row r="74" spans="1:38" ht="14.25">
      <c r="A74" s="308"/>
      <c r="B74" s="308"/>
      <c r="C74" s="307"/>
      <c r="D74" s="307"/>
      <c r="E74" s="30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39"/>
      <c r="AF74" s="439"/>
      <c r="AG74" s="427"/>
      <c r="AH74" s="427"/>
      <c r="AI74" s="427"/>
      <c r="AJ74" s="427"/>
      <c r="AK74" s="427"/>
      <c r="AL74" s="427"/>
    </row>
    <row r="75" spans="1:38" ht="14.25">
      <c r="A75" s="308"/>
      <c r="B75" s="308"/>
      <c r="C75" s="307"/>
      <c r="D75" s="307"/>
      <c r="E75" s="30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39"/>
      <c r="AF75" s="439"/>
      <c r="AG75" s="427"/>
      <c r="AH75" s="427"/>
      <c r="AI75" s="427"/>
      <c r="AJ75" s="427"/>
      <c r="AK75" s="427"/>
      <c r="AL75" s="427"/>
    </row>
    <row r="76" spans="1:38" ht="14.25">
      <c r="A76" s="308"/>
      <c r="B76" s="308"/>
      <c r="C76" s="307"/>
      <c r="D76" s="307"/>
      <c r="E76" s="30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39"/>
      <c r="AF76" s="439"/>
      <c r="AG76" s="427"/>
      <c r="AH76" s="427"/>
      <c r="AI76" s="427"/>
      <c r="AJ76" s="427"/>
      <c r="AK76" s="427"/>
      <c r="AL76" s="427"/>
    </row>
    <row r="77" spans="1:38" ht="14.25">
      <c r="A77" s="308"/>
      <c r="B77" s="308"/>
      <c r="C77" s="307"/>
      <c r="D77" s="307"/>
      <c r="E77" s="30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39"/>
      <c r="AF77" s="439"/>
      <c r="AG77" s="427"/>
      <c r="AH77" s="427"/>
      <c r="AI77" s="427"/>
      <c r="AJ77" s="427"/>
      <c r="AK77" s="427"/>
      <c r="AL77" s="427"/>
    </row>
    <row r="78" spans="1:38" ht="14.25">
      <c r="A78" s="308"/>
      <c r="B78" s="308"/>
      <c r="C78" s="307"/>
      <c r="D78" s="307"/>
      <c r="E78" s="30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39"/>
      <c r="AF78" s="439"/>
      <c r="AG78" s="427"/>
      <c r="AH78" s="427"/>
      <c r="AI78" s="427"/>
      <c r="AJ78" s="427"/>
      <c r="AK78" s="427"/>
      <c r="AL78" s="427"/>
    </row>
    <row r="79" spans="1:38" ht="14.25">
      <c r="A79" s="308"/>
      <c r="B79" s="308"/>
      <c r="C79" s="307"/>
      <c r="D79" s="307"/>
      <c r="E79" s="30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39"/>
      <c r="AF79" s="439"/>
      <c r="AG79" s="427"/>
      <c r="AH79" s="427"/>
      <c r="AI79" s="427"/>
      <c r="AJ79" s="427"/>
      <c r="AK79" s="427"/>
      <c r="AL79" s="427"/>
    </row>
    <row r="80" spans="1:38" ht="14.25">
      <c r="A80" s="308"/>
      <c r="B80" s="308"/>
      <c r="C80" s="307"/>
      <c r="D80" s="307"/>
      <c r="E80" s="30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39"/>
      <c r="AF80" s="439"/>
      <c r="AG80" s="427"/>
      <c r="AH80" s="427"/>
      <c r="AI80" s="427"/>
      <c r="AJ80" s="427"/>
      <c r="AK80" s="427"/>
      <c r="AL80" s="427"/>
    </row>
    <row r="81" spans="1:38" ht="14.25">
      <c r="A81" s="308"/>
      <c r="B81" s="308"/>
      <c r="C81" s="307"/>
      <c r="D81" s="307"/>
      <c r="E81" s="30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row>
    <row r="82" spans="1:38" ht="14.25">
      <c r="A82" s="308"/>
      <c r="B82" s="308"/>
      <c r="C82" s="307"/>
      <c r="D82" s="307"/>
      <c r="E82" s="30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row>
    <row r="83" spans="1:38" ht="14.25">
      <c r="A83" s="308"/>
      <c r="B83" s="308"/>
      <c r="C83" s="307"/>
      <c r="D83" s="307"/>
      <c r="E83" s="30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row>
    <row r="84" spans="1:38" ht="14.25">
      <c r="A84" s="308"/>
      <c r="B84" s="308"/>
      <c r="C84" s="307"/>
      <c r="D84" s="307"/>
      <c r="E84" s="30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row>
    <row r="85" spans="1:38" ht="14.25">
      <c r="A85" s="308"/>
      <c r="B85" s="308"/>
      <c r="C85" s="307"/>
      <c r="D85" s="307"/>
      <c r="E85" s="30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row>
    <row r="86" spans="1:38" ht="14.25">
      <c r="A86" s="308"/>
      <c r="B86" s="308"/>
      <c r="C86" s="307"/>
      <c r="D86" s="307"/>
      <c r="E86" s="30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row>
    <row r="87" spans="1:38" ht="14.25">
      <c r="A87" s="308"/>
      <c r="B87" s="308"/>
      <c r="C87" s="307"/>
      <c r="D87" s="307"/>
      <c r="E87" s="30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row>
    <row r="88" spans="1:38" ht="14.25">
      <c r="A88" s="308"/>
      <c r="B88" s="308"/>
      <c r="C88" s="307"/>
      <c r="D88" s="307"/>
      <c r="E88" s="30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row>
    <row r="89" spans="1:38" ht="14.25">
      <c r="A89" s="308"/>
      <c r="B89" s="308"/>
      <c r="C89" s="307"/>
      <c r="D89" s="307"/>
      <c r="E89" s="30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row>
    <row r="90" spans="1:38" ht="14.25">
      <c r="A90" s="308"/>
      <c r="B90" s="308"/>
      <c r="C90" s="307"/>
      <c r="D90" s="307"/>
      <c r="E90" s="30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row>
    <row r="91" spans="1:38" ht="14.25">
      <c r="A91" s="308"/>
      <c r="B91" s="308"/>
      <c r="C91" s="307"/>
      <c r="D91" s="307"/>
      <c r="E91" s="30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row>
    <row r="92" spans="1:38" ht="14.25">
      <c r="A92" s="308"/>
      <c r="B92" s="308"/>
      <c r="C92" s="307"/>
      <c r="D92" s="307"/>
      <c r="E92" s="30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row>
    <row r="93" spans="1:38" ht="14.25">
      <c r="A93" s="308"/>
      <c r="B93" s="308"/>
      <c r="C93" s="307"/>
      <c r="D93" s="307"/>
      <c r="E93" s="30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c r="AJ93" s="427"/>
      <c r="AK93" s="427"/>
      <c r="AL93" s="427"/>
    </row>
    <row r="94" spans="1:38" ht="14.25">
      <c r="A94" s="308"/>
      <c r="B94" s="308"/>
      <c r="C94" s="307"/>
      <c r="D94" s="307"/>
      <c r="E94" s="30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row>
    <row r="95" spans="1:38" ht="14.25">
      <c r="A95" s="308"/>
      <c r="B95" s="308"/>
      <c r="C95" s="307"/>
      <c r="D95" s="307"/>
      <c r="E95" s="30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row>
    <row r="96" spans="1:38" ht="14.25">
      <c r="A96" s="308"/>
      <c r="B96" s="308"/>
      <c r="C96" s="307"/>
      <c r="D96" s="307"/>
      <c r="E96" s="307"/>
      <c r="F96" s="427"/>
      <c r="G96" s="427"/>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row>
    <row r="97" spans="1:38" ht="14.25">
      <c r="A97" s="308"/>
      <c r="B97" s="308"/>
      <c r="C97" s="307"/>
      <c r="D97" s="307"/>
      <c r="E97" s="30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row>
    <row r="98" spans="1:38" ht="14.25">
      <c r="A98" s="308"/>
      <c r="B98" s="308"/>
      <c r="C98" s="307"/>
      <c r="D98" s="307"/>
      <c r="E98" s="30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row>
    <row r="99" spans="33:37" ht="14.25">
      <c r="AG99" s="427"/>
      <c r="AH99" s="427"/>
      <c r="AI99" s="427"/>
      <c r="AJ99" s="427"/>
      <c r="AK99" s="427"/>
    </row>
    <row r="100" spans="33:37" ht="14.25">
      <c r="AG100" s="427"/>
      <c r="AH100" s="427"/>
      <c r="AI100" s="427"/>
      <c r="AJ100" s="427"/>
      <c r="AK100" s="427"/>
    </row>
  </sheetData>
  <sheetProtection/>
  <mergeCells count="6">
    <mergeCell ref="A10:G10"/>
    <mergeCell ref="C4:F4"/>
    <mergeCell ref="C5:F5"/>
    <mergeCell ref="C6:F6"/>
    <mergeCell ref="C8:F8"/>
    <mergeCell ref="C9:F9"/>
  </mergeCells>
  <printOptions horizontalCentered="1"/>
  <pageMargins left="0.4" right="0.4" top="0.5" bottom="0.5" header="0.3" footer="0.3"/>
  <pageSetup fitToWidth="2" horizontalDpi="600" verticalDpi="600" orientation="landscape" scale="35" r:id="rId2"/>
  <colBreaks count="1" manualBreakCount="1">
    <brk id="21" max="69" man="1"/>
  </colBreaks>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L26"/>
  <sheetViews>
    <sheetView view="pageBreakPreview" zoomScale="85" zoomScaleSheetLayoutView="85" zoomScalePageLayoutView="0" workbookViewId="0" topLeftCell="A1">
      <selection activeCell="B28" sqref="B28"/>
    </sheetView>
  </sheetViews>
  <sheetFormatPr defaultColWidth="9.00390625" defaultRowHeight="12.75"/>
  <cols>
    <col min="1" max="1" width="7.75390625" style="27" bestFit="1" customWidth="1"/>
    <col min="2" max="2" width="9.00390625" style="27" bestFit="1" customWidth="1"/>
    <col min="3" max="3" width="47.50390625" style="27" customWidth="1"/>
    <col min="4" max="4" width="16.875" style="27" bestFit="1" customWidth="1"/>
    <col min="5" max="5" width="2.75390625" style="27" customWidth="1"/>
    <col min="6" max="6" width="7.25390625" style="27" customWidth="1"/>
    <col min="7" max="7" width="1.875" style="27" customWidth="1"/>
    <col min="8" max="8" width="34.625" style="27" bestFit="1" customWidth="1"/>
    <col min="9" max="16384" width="9.00390625" style="27" customWidth="1"/>
  </cols>
  <sheetData>
    <row r="1" spans="1:12" s="104" customFormat="1" ht="15">
      <c r="A1" s="332" t="s">
        <v>1384</v>
      </c>
      <c r="B1" s="20"/>
      <c r="C1" s="458"/>
      <c r="D1" s="20"/>
      <c r="E1" s="20"/>
      <c r="F1" s="20"/>
      <c r="G1" s="20"/>
      <c r="H1" s="168"/>
      <c r="L1" s="22"/>
    </row>
    <row r="3" spans="1:12" ht="17.25">
      <c r="A3" s="12"/>
      <c r="B3" s="11"/>
      <c r="C3" s="459"/>
      <c r="D3" s="11"/>
      <c r="E3" s="11"/>
      <c r="F3" s="11"/>
      <c r="G3" s="11"/>
      <c r="H3" s="11"/>
      <c r="I3" s="11"/>
      <c r="J3" s="11"/>
      <c r="K3" s="25"/>
      <c r="L3" s="442"/>
    </row>
    <row r="4" spans="1:12" ht="17.25">
      <c r="A4" s="1531" t="s">
        <v>228</v>
      </c>
      <c r="B4" s="1531"/>
      <c r="C4" s="1531"/>
      <c r="D4" s="1531"/>
      <c r="E4" s="1531"/>
      <c r="F4" s="1531"/>
      <c r="G4" s="1531"/>
      <c r="H4" s="1531"/>
      <c r="I4" s="73"/>
      <c r="J4" s="73"/>
      <c r="K4" s="73"/>
      <c r="L4" s="73"/>
    </row>
    <row r="5" spans="1:12" ht="17.25">
      <c r="A5" s="1531" t="s">
        <v>111</v>
      </c>
      <c r="B5" s="1531"/>
      <c r="C5" s="1531"/>
      <c r="D5" s="1531"/>
      <c r="E5" s="1531"/>
      <c r="F5" s="1531"/>
      <c r="G5" s="1531"/>
      <c r="H5" s="1531"/>
      <c r="I5" s="73"/>
      <c r="J5" s="73"/>
      <c r="K5" s="73"/>
      <c r="L5" s="73"/>
    </row>
    <row r="6" spans="1:12" ht="17.25">
      <c r="A6" s="1532" t="s">
        <v>1377</v>
      </c>
      <c r="B6" s="1532"/>
      <c r="C6" s="1532"/>
      <c r="D6" s="1532"/>
      <c r="E6" s="1532"/>
      <c r="F6" s="1532"/>
      <c r="G6" s="1532"/>
      <c r="H6" s="1532"/>
      <c r="I6" s="73"/>
      <c r="J6" s="73"/>
      <c r="K6" s="73"/>
      <c r="L6" s="73"/>
    </row>
    <row r="7" spans="1:12" ht="12" customHeight="1">
      <c r="A7" s="11"/>
      <c r="B7" s="11"/>
      <c r="C7" s="23"/>
      <c r="D7" s="11"/>
      <c r="E7" s="11"/>
      <c r="F7" s="11"/>
      <c r="G7" s="11"/>
      <c r="H7" s="11"/>
      <c r="I7" s="11"/>
      <c r="J7" s="11"/>
      <c r="K7" s="11"/>
      <c r="L7" s="11"/>
    </row>
    <row r="8" spans="1:12" ht="17.25">
      <c r="A8" s="1533" t="s">
        <v>1141</v>
      </c>
      <c r="B8" s="1533"/>
      <c r="C8" s="1533"/>
      <c r="D8" s="1533"/>
      <c r="E8" s="1533"/>
      <c r="F8" s="1533"/>
      <c r="G8" s="1533"/>
      <c r="H8" s="1533"/>
      <c r="I8" s="29"/>
      <c r="J8" s="29"/>
      <c r="K8" s="29"/>
      <c r="L8" s="29"/>
    </row>
    <row r="9" spans="1:12" ht="17.25">
      <c r="A9" s="1531" t="s">
        <v>940</v>
      </c>
      <c r="B9" s="1531"/>
      <c r="C9" s="1531"/>
      <c r="D9" s="1531"/>
      <c r="E9" s="1531"/>
      <c r="F9" s="1531"/>
      <c r="G9" s="1531"/>
      <c r="H9" s="1531"/>
      <c r="I9" s="73"/>
      <c r="J9" s="73"/>
      <c r="K9" s="73"/>
      <c r="L9" s="73"/>
    </row>
    <row r="11" s="104" customFormat="1" ht="15"/>
    <row r="12" s="104" customFormat="1" ht="15"/>
    <row r="13" spans="4:8" s="104" customFormat="1" ht="15">
      <c r="D13" s="542" t="s">
        <v>421</v>
      </c>
      <c r="E13" s="501"/>
      <c r="F13" s="543" t="s">
        <v>160</v>
      </c>
      <c r="H13" s="458" t="s">
        <v>424</v>
      </c>
    </row>
    <row r="14" spans="2:6" s="104" customFormat="1" ht="15">
      <c r="B14" s="544" t="s">
        <v>1</v>
      </c>
      <c r="D14" s="545" t="s">
        <v>220</v>
      </c>
      <c r="E14" s="545"/>
      <c r="F14" s="545" t="s">
        <v>221</v>
      </c>
    </row>
    <row r="15" spans="2:7" s="104" customFormat="1" ht="15">
      <c r="B15" s="544"/>
      <c r="D15" s="498"/>
      <c r="E15" s="498"/>
      <c r="F15" s="498"/>
      <c r="G15" s="498"/>
    </row>
    <row r="16" spans="2:8" s="104" customFormat="1" ht="15">
      <c r="B16" s="444">
        <v>1</v>
      </c>
      <c r="C16" s="104" t="s">
        <v>582</v>
      </c>
      <c r="D16" s="488">
        <f>SUM('B2-Plant'!P24:P25,'B2-Plant'!P33)</f>
        <v>2070575994.305</v>
      </c>
      <c r="E16" s="668"/>
      <c r="F16" s="546"/>
      <c r="G16" s="546"/>
      <c r="H16" s="104" t="s">
        <v>1139</v>
      </c>
    </row>
    <row r="17" spans="2:6" s="104" customFormat="1" ht="15">
      <c r="B17" s="444"/>
      <c r="D17" s="488"/>
      <c r="E17" s="668"/>
      <c r="F17" s="546"/>
    </row>
    <row r="18" spans="2:8" s="104" customFormat="1" ht="30">
      <c r="B18" s="444">
        <v>2</v>
      </c>
      <c r="C18" s="595" t="s">
        <v>432</v>
      </c>
      <c r="D18" s="488">
        <f>'WP-BF'!E44</f>
        <v>39841215.63</v>
      </c>
      <c r="E18" s="668"/>
      <c r="H18" s="104" t="s">
        <v>1318</v>
      </c>
    </row>
    <row r="19" spans="2:4" s="104" customFormat="1" ht="15.75" thickBot="1">
      <c r="B19" s="444"/>
      <c r="D19" s="488"/>
    </row>
    <row r="20" spans="2:8" s="104" customFormat="1" ht="15.75" thickBot="1">
      <c r="B20" s="444">
        <v>3</v>
      </c>
      <c r="C20" s="332" t="s">
        <v>160</v>
      </c>
      <c r="D20" s="488"/>
      <c r="F20" s="548">
        <f>D18/D16</f>
        <v>0.019241609938288173</v>
      </c>
      <c r="G20" s="676"/>
      <c r="H20" s="104" t="s">
        <v>458</v>
      </c>
    </row>
    <row r="21" spans="2:4" s="104" customFormat="1" ht="15">
      <c r="B21" s="332"/>
      <c r="D21" s="488"/>
    </row>
    <row r="22" spans="2:8" s="104" customFormat="1" ht="15">
      <c r="B22" s="444">
        <v>4</v>
      </c>
      <c r="C22" s="104" t="s">
        <v>431</v>
      </c>
      <c r="D22" s="488">
        <f>'A1-O&amp;M'!H29</f>
        <v>42132293.61</v>
      </c>
      <c r="H22" s="104" t="s">
        <v>1136</v>
      </c>
    </row>
    <row r="23" spans="2:4" s="104" customFormat="1" ht="15">
      <c r="B23" s="332"/>
      <c r="D23" s="488"/>
    </row>
    <row r="24" spans="2:8" s="104" customFormat="1" ht="15">
      <c r="B24" s="444">
        <v>5</v>
      </c>
      <c r="C24" s="332" t="s">
        <v>944</v>
      </c>
      <c r="D24" s="577">
        <f>-D22*F20</f>
        <v>-810693.1594490513</v>
      </c>
      <c r="E24" s="332"/>
      <c r="H24" s="104" t="s">
        <v>1317</v>
      </c>
    </row>
    <row r="25" spans="2:4" s="104" customFormat="1" ht="15">
      <c r="B25" s="444"/>
      <c r="D25" s="488"/>
    </row>
    <row r="26" s="104" customFormat="1" ht="15">
      <c r="B26" s="444"/>
    </row>
    <row r="27" s="104" customFormat="1" ht="15"/>
    <row r="28" s="104" customFormat="1" ht="15"/>
    <row r="29" s="104" customFormat="1" ht="15"/>
  </sheetData>
  <sheetProtection/>
  <mergeCells count="5">
    <mergeCell ref="A4:H4"/>
    <mergeCell ref="A5:H5"/>
    <mergeCell ref="A6:H6"/>
    <mergeCell ref="A8:H8"/>
    <mergeCell ref="A9:H9"/>
  </mergeCells>
  <printOptions horizontalCentered="1"/>
  <pageMargins left="0.45" right="0.45" top="0.75" bottom="0.75" header="0.3" footer="0.3"/>
  <pageSetup fitToHeight="1" fitToWidth="1" horizontalDpi="600" verticalDpi="600" orientation="landscape"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K25"/>
  <sheetViews>
    <sheetView view="pageBreakPreview" zoomScale="85" zoomScaleSheetLayoutView="85" zoomScalePageLayoutView="0" workbookViewId="0" topLeftCell="A1">
      <selection activeCell="B28" sqref="B28"/>
    </sheetView>
  </sheetViews>
  <sheetFormatPr defaultColWidth="9.00390625" defaultRowHeight="12.75"/>
  <cols>
    <col min="1" max="1" width="1.625" style="36" customWidth="1"/>
    <col min="2" max="2" width="7.25390625" style="36" customWidth="1"/>
    <col min="3" max="3" width="43.375" style="36" bestFit="1" customWidth="1"/>
    <col min="4" max="4" width="17.125" style="36" customWidth="1"/>
    <col min="5" max="5" width="12.625" style="36" bestFit="1" customWidth="1"/>
    <col min="6" max="6" width="34.75390625" style="36" bestFit="1" customWidth="1"/>
    <col min="7" max="7" width="1.75390625" style="36" customWidth="1"/>
    <col min="8" max="16384" width="9.00390625" style="36" customWidth="1"/>
  </cols>
  <sheetData>
    <row r="1" spans="1:11" s="17" customFormat="1" ht="15">
      <c r="A1" s="14" t="s">
        <v>1137</v>
      </c>
      <c r="B1" s="20"/>
      <c r="C1" s="67"/>
      <c r="D1" s="20"/>
      <c r="E1" s="20"/>
      <c r="F1" s="168"/>
      <c r="K1" s="22"/>
    </row>
    <row r="2" s="13" customFormat="1" ht="12"/>
    <row r="3" spans="1:11" s="13" customFormat="1" ht="17.25">
      <c r="A3" s="12"/>
      <c r="B3" s="11"/>
      <c r="C3" s="43"/>
      <c r="D3" s="11"/>
      <c r="E3" s="11"/>
      <c r="F3" s="11"/>
      <c r="G3" s="11"/>
      <c r="H3" s="11"/>
      <c r="I3" s="11"/>
      <c r="J3" s="25"/>
      <c r="K3" s="173"/>
    </row>
    <row r="4" spans="1:11" s="13" customFormat="1" ht="17.25">
      <c r="A4" s="1531" t="s">
        <v>228</v>
      </c>
      <c r="B4" s="1531"/>
      <c r="C4" s="1531"/>
      <c r="D4" s="1531"/>
      <c r="E4" s="1531"/>
      <c r="F4" s="1531"/>
      <c r="G4" s="73"/>
      <c r="H4" s="73"/>
      <c r="I4" s="73"/>
      <c r="J4" s="73"/>
      <c r="K4" s="73"/>
    </row>
    <row r="5" spans="1:11" s="13" customFormat="1" ht="17.25">
      <c r="A5" s="1531" t="s">
        <v>111</v>
      </c>
      <c r="B5" s="1531"/>
      <c r="C5" s="1531"/>
      <c r="D5" s="1531"/>
      <c r="E5" s="1531"/>
      <c r="F5" s="1531"/>
      <c r="G5" s="73"/>
      <c r="H5" s="73"/>
      <c r="I5" s="73"/>
      <c r="J5" s="73"/>
      <c r="K5" s="73"/>
    </row>
    <row r="6" spans="1:11" s="13" customFormat="1" ht="17.25">
      <c r="A6" s="1532" t="s">
        <v>1377</v>
      </c>
      <c r="B6" s="1532"/>
      <c r="C6" s="1532"/>
      <c r="D6" s="1532"/>
      <c r="E6" s="1532"/>
      <c r="F6" s="1532"/>
      <c r="G6" s="73"/>
      <c r="H6" s="73"/>
      <c r="I6" s="73"/>
      <c r="J6" s="73"/>
      <c r="K6" s="73"/>
    </row>
    <row r="7" spans="1:11" s="13" customFormat="1" ht="12" customHeight="1">
      <c r="A7" s="11"/>
      <c r="B7" s="11"/>
      <c r="C7" s="23"/>
      <c r="D7" s="11"/>
      <c r="E7" s="11"/>
      <c r="F7" s="11"/>
      <c r="G7" s="11"/>
      <c r="H7" s="11"/>
      <c r="I7" s="11"/>
      <c r="J7" s="11"/>
      <c r="K7" s="11"/>
    </row>
    <row r="8" spans="1:11" s="13" customFormat="1" ht="17.25">
      <c r="A8" s="1533" t="s">
        <v>1138</v>
      </c>
      <c r="B8" s="1533"/>
      <c r="C8" s="1533"/>
      <c r="D8" s="1533"/>
      <c r="E8" s="1533"/>
      <c r="F8" s="1533"/>
      <c r="G8" s="29"/>
      <c r="H8" s="29"/>
      <c r="I8" s="29"/>
      <c r="J8" s="29"/>
      <c r="K8" s="29"/>
    </row>
    <row r="9" spans="1:11" s="27" customFormat="1" ht="17.25">
      <c r="A9" s="1531" t="s">
        <v>941</v>
      </c>
      <c r="B9" s="1531"/>
      <c r="C9" s="1531"/>
      <c r="D9" s="1531"/>
      <c r="E9" s="1531"/>
      <c r="F9" s="1531"/>
      <c r="G9" s="73"/>
      <c r="H9" s="73"/>
      <c r="I9" s="73"/>
      <c r="J9" s="73"/>
      <c r="K9" s="73"/>
    </row>
    <row r="10" spans="1:11" s="27" customFormat="1" ht="17.25">
      <c r="A10" s="442"/>
      <c r="B10" s="442"/>
      <c r="C10" s="442"/>
      <c r="D10" s="442"/>
      <c r="E10" s="442"/>
      <c r="F10" s="442"/>
      <c r="G10" s="73"/>
      <c r="H10" s="73"/>
      <c r="I10" s="73"/>
      <c r="J10" s="73"/>
      <c r="K10" s="73"/>
    </row>
    <row r="11" spans="1:11" s="27" customFormat="1" ht="17.25">
      <c r="A11" s="442"/>
      <c r="B11" s="442"/>
      <c r="C11" s="442"/>
      <c r="D11" s="442"/>
      <c r="E11" s="442"/>
      <c r="F11" s="442"/>
      <c r="G11" s="73"/>
      <c r="H11" s="73"/>
      <c r="I11" s="73"/>
      <c r="J11" s="73"/>
      <c r="K11" s="73"/>
    </row>
    <row r="12" s="27" customFormat="1" ht="12.75"/>
    <row r="13" spans="4:6" s="104" customFormat="1" ht="15">
      <c r="D13" s="542" t="s">
        <v>421</v>
      </c>
      <c r="E13" s="543" t="s">
        <v>160</v>
      </c>
      <c r="F13" s="458" t="s">
        <v>424</v>
      </c>
    </row>
    <row r="14" spans="2:5" s="104" customFormat="1" ht="15">
      <c r="B14" s="544" t="s">
        <v>1</v>
      </c>
      <c r="D14" s="545" t="s">
        <v>220</v>
      </c>
      <c r="E14" s="545" t="s">
        <v>221</v>
      </c>
    </row>
    <row r="15" spans="2:6" s="104" customFormat="1" ht="15">
      <c r="B15" s="544"/>
      <c r="D15" s="498"/>
      <c r="E15" s="498"/>
      <c r="F15" s="498"/>
    </row>
    <row r="16" spans="2:6" s="104" customFormat="1" ht="15">
      <c r="B16" s="444">
        <v>1</v>
      </c>
      <c r="C16" s="104" t="s">
        <v>582</v>
      </c>
      <c r="D16" s="1434">
        <f>SUM('B2-Plant'!P24:P25,'B2-Plant'!P33)</f>
        <v>2070575994.305</v>
      </c>
      <c r="E16" s="546"/>
      <c r="F16" s="104" t="s">
        <v>1139</v>
      </c>
    </row>
    <row r="17" spans="2:5" s="104" customFormat="1" ht="15">
      <c r="B17" s="444"/>
      <c r="D17" s="1434"/>
      <c r="E17" s="546"/>
    </row>
    <row r="18" spans="2:6" s="104" customFormat="1" ht="15">
      <c r="B18" s="444">
        <v>2</v>
      </c>
      <c r="C18" s="547" t="s">
        <v>429</v>
      </c>
      <c r="D18" s="1434">
        <f>'WP-BE'!F41</f>
        <v>44499916.51</v>
      </c>
      <c r="F18" s="104" t="s">
        <v>1319</v>
      </c>
    </row>
    <row r="19" spans="2:4" s="104" customFormat="1" ht="15.75" thickBot="1">
      <c r="B19" s="444"/>
      <c r="D19" s="1038"/>
    </row>
    <row r="20" spans="2:6" s="104" customFormat="1" ht="15.75" thickBot="1">
      <c r="B20" s="444">
        <v>3</v>
      </c>
      <c r="C20" s="332" t="s">
        <v>160</v>
      </c>
      <c r="D20" s="1038"/>
      <c r="E20" s="548">
        <f>D18/D16</f>
        <v>0.021491564005568717</v>
      </c>
      <c r="F20" s="104" t="s">
        <v>458</v>
      </c>
    </row>
    <row r="21" spans="2:4" s="104" customFormat="1" ht="15">
      <c r="B21" s="444"/>
      <c r="D21" s="1038"/>
    </row>
    <row r="22" spans="2:6" s="104" customFormat="1" ht="15">
      <c r="B22" s="444">
        <v>4</v>
      </c>
      <c r="C22" s="104" t="s">
        <v>431</v>
      </c>
      <c r="D22" s="1434">
        <f>'A1-O&amp;M'!H29</f>
        <v>42132293.61</v>
      </c>
      <c r="F22" s="104" t="s">
        <v>1140</v>
      </c>
    </row>
    <row r="23" spans="2:4" s="104" customFormat="1" ht="15">
      <c r="B23" s="444"/>
      <c r="D23" s="1038"/>
    </row>
    <row r="24" spans="2:6" s="104" customFormat="1" ht="15">
      <c r="B24" s="444">
        <v>5</v>
      </c>
      <c r="C24" s="332" t="s">
        <v>430</v>
      </c>
      <c r="D24" s="1427">
        <f>-D22*E20</f>
        <v>-905488.8848207288</v>
      </c>
      <c r="F24" s="104" t="s">
        <v>1320</v>
      </c>
    </row>
    <row r="25" spans="4:5" s="104" customFormat="1" ht="15">
      <c r="D25" s="1428"/>
      <c r="E25" s="550"/>
    </row>
    <row r="26" s="104" customFormat="1" ht="15"/>
    <row r="27" s="104" customFormat="1" ht="15"/>
    <row r="28" s="104" customFormat="1" ht="15"/>
    <row r="29" s="104" customFormat="1" ht="15"/>
  </sheetData>
  <sheetProtection/>
  <mergeCells count="5">
    <mergeCell ref="A4:F4"/>
    <mergeCell ref="A5:F5"/>
    <mergeCell ref="A6:F6"/>
    <mergeCell ref="A8:F8"/>
    <mergeCell ref="A9:F9"/>
  </mergeCells>
  <printOptions horizontalCentered="1"/>
  <pageMargins left="0.45" right="0.45" top="0.75" bottom="0.75" header="0.3" footer="0.3"/>
  <pageSetup fitToHeight="1" fitToWidth="1"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L38"/>
  <sheetViews>
    <sheetView view="pageBreakPreview" zoomScale="85" zoomScaleSheetLayoutView="85" zoomScalePageLayoutView="0" workbookViewId="0" topLeftCell="A13">
      <selection activeCell="B28" sqref="B28"/>
    </sheetView>
  </sheetViews>
  <sheetFormatPr defaultColWidth="16.75390625" defaultRowHeight="12.75"/>
  <cols>
    <col min="1" max="1" width="7.75390625" style="27" customWidth="1"/>
    <col min="2" max="2" width="8.75390625" style="563" customWidth="1"/>
    <col min="3" max="3" width="3.00390625" style="563" customWidth="1"/>
    <col min="4" max="4" width="13.875" style="27" customWidth="1"/>
    <col min="5" max="5" width="3.625" style="27" customWidth="1"/>
    <col min="6" max="6" width="11.625" style="27" bestFit="1" customWidth="1"/>
    <col min="7" max="7" width="3.50390625" style="27" customWidth="1"/>
    <col min="8" max="8" width="14.375" style="27" bestFit="1" customWidth="1"/>
    <col min="9" max="9" width="2.75390625" style="27" customWidth="1"/>
    <col min="10" max="10" width="6.125" style="27" customWidth="1"/>
    <col min="11" max="16384" width="16.75390625" style="27" customWidth="1"/>
  </cols>
  <sheetData>
    <row r="1" spans="1:11" ht="15">
      <c r="A1" s="14" t="s">
        <v>1076</v>
      </c>
      <c r="B1" s="113"/>
      <c r="C1" s="113"/>
      <c r="D1" s="14"/>
      <c r="E1" s="20"/>
      <c r="F1" s="458"/>
      <c r="G1" s="20"/>
      <c r="H1" s="20"/>
      <c r="I1" s="20"/>
      <c r="K1" s="68"/>
    </row>
    <row r="2" spans="1:12" ht="15">
      <c r="A2" s="14"/>
      <c r="D2" s="14"/>
      <c r="E2" s="20"/>
      <c r="F2" s="458"/>
      <c r="G2" s="20"/>
      <c r="H2" s="20"/>
      <c r="I2" s="20"/>
      <c r="J2" s="68"/>
      <c r="K2" s="68"/>
      <c r="L2" s="22"/>
    </row>
    <row r="3" spans="1:12" ht="17.25">
      <c r="A3" s="12"/>
      <c r="B3" s="117"/>
      <c r="C3" s="117"/>
      <c r="D3" s="12"/>
      <c r="E3" s="11"/>
      <c r="F3" s="459"/>
      <c r="G3" s="11"/>
      <c r="H3" s="11"/>
      <c r="I3" s="11"/>
      <c r="J3" s="11"/>
      <c r="K3" s="11"/>
      <c r="L3" s="442"/>
    </row>
    <row r="4" spans="1:12" ht="17.25">
      <c r="A4" s="1531" t="s">
        <v>228</v>
      </c>
      <c r="B4" s="1531"/>
      <c r="C4" s="1531"/>
      <c r="D4" s="1531"/>
      <c r="E4" s="1531"/>
      <c r="F4" s="1531"/>
      <c r="G4" s="1531"/>
      <c r="H4" s="1531"/>
      <c r="I4" s="1531"/>
      <c r="J4" s="1531"/>
      <c r="K4" s="73"/>
      <c r="L4" s="73"/>
    </row>
    <row r="5" spans="1:12" ht="17.25">
      <c r="A5" s="1531" t="s">
        <v>111</v>
      </c>
      <c r="B5" s="1531"/>
      <c r="C5" s="1531"/>
      <c r="D5" s="1531"/>
      <c r="E5" s="1531"/>
      <c r="F5" s="1531"/>
      <c r="G5" s="1531"/>
      <c r="H5" s="1531"/>
      <c r="I5" s="1531"/>
      <c r="J5" s="1531"/>
      <c r="K5" s="73"/>
      <c r="L5" s="73"/>
    </row>
    <row r="6" spans="1:12" ht="17.25">
      <c r="A6" s="1532" t="s">
        <v>1377</v>
      </c>
      <c r="B6" s="1532"/>
      <c r="C6" s="1532"/>
      <c r="D6" s="1532"/>
      <c r="E6" s="1532"/>
      <c r="F6" s="1532"/>
      <c r="G6" s="1532"/>
      <c r="H6" s="1532"/>
      <c r="I6" s="1532"/>
      <c r="J6" s="1532"/>
      <c r="K6" s="73"/>
      <c r="L6" s="73"/>
    </row>
    <row r="7" spans="1:12" ht="17.25">
      <c r="A7" s="11"/>
      <c r="B7" s="117"/>
      <c r="C7" s="117"/>
      <c r="D7" s="11"/>
      <c r="E7" s="11"/>
      <c r="F7" s="23"/>
      <c r="G7" s="11"/>
      <c r="H7" s="11"/>
      <c r="I7" s="11"/>
      <c r="J7" s="11"/>
      <c r="K7" s="11"/>
      <c r="L7" s="11"/>
    </row>
    <row r="8" spans="1:12" ht="17.25">
      <c r="A8" s="1533" t="s">
        <v>1142</v>
      </c>
      <c r="B8" s="1533"/>
      <c r="C8" s="1533"/>
      <c r="D8" s="1533"/>
      <c r="E8" s="1533"/>
      <c r="F8" s="1533"/>
      <c r="G8" s="1533"/>
      <c r="H8" s="1533"/>
      <c r="I8" s="1533"/>
      <c r="J8" s="1533"/>
      <c r="K8" s="29"/>
      <c r="L8" s="29"/>
    </row>
    <row r="9" spans="1:12" ht="17.25">
      <c r="A9" s="1531" t="s">
        <v>911</v>
      </c>
      <c r="B9" s="1531"/>
      <c r="C9" s="1531"/>
      <c r="D9" s="1531"/>
      <c r="E9" s="1531"/>
      <c r="F9" s="1531"/>
      <c r="G9" s="1531"/>
      <c r="H9" s="1531"/>
      <c r="I9" s="1531"/>
      <c r="J9" s="1531"/>
      <c r="K9" s="73"/>
      <c r="L9" s="73"/>
    </row>
    <row r="10" spans="1:12" ht="17.25">
      <c r="A10" s="73"/>
      <c r="B10" s="445"/>
      <c r="C10" s="445"/>
      <c r="D10" s="73"/>
      <c r="E10" s="73"/>
      <c r="F10" s="73"/>
      <c r="G10" s="73"/>
      <c r="H10" s="73"/>
      <c r="I10" s="73"/>
      <c r="J10" s="73"/>
      <c r="K10" s="73"/>
      <c r="L10" s="73"/>
    </row>
    <row r="11" spans="1:12" ht="17.25">
      <c r="A11" s="73"/>
      <c r="B11" s="445"/>
      <c r="C11" s="445"/>
      <c r="D11" s="73"/>
      <c r="E11" s="73"/>
      <c r="F11" s="73"/>
      <c r="G11" s="73"/>
      <c r="H11" s="73"/>
      <c r="I11" s="73"/>
      <c r="J11" s="73"/>
      <c r="K11" s="73"/>
      <c r="L11" s="73"/>
    </row>
    <row r="12" spans="1:12" ht="17.25">
      <c r="A12" s="73"/>
      <c r="D12" s="73"/>
      <c r="E12" s="73"/>
      <c r="F12" s="73"/>
      <c r="G12" s="73"/>
      <c r="H12" s="40"/>
      <c r="I12" s="73"/>
      <c r="J12" s="73"/>
      <c r="K12" s="73"/>
      <c r="L12" s="73"/>
    </row>
    <row r="13" spans="2:9" s="104" customFormat="1" ht="15">
      <c r="B13" s="563"/>
      <c r="C13" s="563"/>
      <c r="D13" s="444"/>
      <c r="E13" s="444"/>
      <c r="F13" s="444"/>
      <c r="G13" s="444"/>
      <c r="H13" s="444"/>
      <c r="I13" s="444"/>
    </row>
    <row r="14" spans="2:9" s="104" customFormat="1" ht="15">
      <c r="B14" s="565"/>
      <c r="C14" s="563"/>
      <c r="D14" s="444" t="s">
        <v>385</v>
      </c>
      <c r="E14" s="444"/>
      <c r="F14" s="444"/>
      <c r="G14" s="444"/>
      <c r="H14" s="444" t="s">
        <v>905</v>
      </c>
      <c r="I14" s="444"/>
    </row>
    <row r="15" spans="2:9" s="104" customFormat="1" ht="15">
      <c r="B15" s="591" t="s">
        <v>1</v>
      </c>
      <c r="C15" s="565"/>
      <c r="D15" s="603" t="s">
        <v>386</v>
      </c>
      <c r="E15" s="444"/>
      <c r="F15" s="603" t="s">
        <v>2</v>
      </c>
      <c r="G15" s="604"/>
      <c r="H15" s="603" t="s">
        <v>421</v>
      </c>
      <c r="I15" s="604"/>
    </row>
    <row r="16" spans="2:9" s="104" customFormat="1" ht="15">
      <c r="B16" s="498">
        <v>1</v>
      </c>
      <c r="C16" s="605"/>
      <c r="D16" s="1453">
        <v>42034</v>
      </c>
      <c r="E16" s="1454"/>
      <c r="F16" s="1455">
        <v>514180</v>
      </c>
      <c r="G16" s="1456"/>
      <c r="H16" s="787">
        <v>1350</v>
      </c>
      <c r="I16" s="607"/>
    </row>
    <row r="17" spans="2:9" s="104" customFormat="1" ht="15">
      <c r="B17" s="498">
        <v>2</v>
      </c>
      <c r="C17" s="585"/>
      <c r="D17" s="1453">
        <v>42087</v>
      </c>
      <c r="E17" s="1454"/>
      <c r="F17" s="1455">
        <v>514180</v>
      </c>
      <c r="G17" s="1456"/>
      <c r="H17" s="787">
        <v>1350</v>
      </c>
      <c r="I17" s="607"/>
    </row>
    <row r="18" spans="2:9" s="104" customFormat="1" ht="15">
      <c r="B18" s="498">
        <v>3</v>
      </c>
      <c r="C18" s="585"/>
      <c r="D18" s="1453">
        <v>42116</v>
      </c>
      <c r="E18" s="1454"/>
      <c r="F18" s="1455">
        <v>514180</v>
      </c>
      <c r="G18" s="1456"/>
      <c r="H18" s="787">
        <v>18254.98</v>
      </c>
      <c r="I18" s="607"/>
    </row>
    <row r="19" spans="2:9" s="104" customFormat="1" ht="15">
      <c r="B19" s="498">
        <v>4</v>
      </c>
      <c r="C19" s="498"/>
      <c r="D19" s="1453">
        <v>42131</v>
      </c>
      <c r="E19" s="1454"/>
      <c r="F19" s="1455">
        <v>514180</v>
      </c>
      <c r="G19" s="1456"/>
      <c r="H19" s="787">
        <v>675</v>
      </c>
      <c r="I19" s="607"/>
    </row>
    <row r="20" spans="2:9" s="104" customFormat="1" ht="15">
      <c r="B20" s="498">
        <v>5</v>
      </c>
      <c r="C20" s="498"/>
      <c r="D20" s="1453">
        <v>42153</v>
      </c>
      <c r="E20" s="1454"/>
      <c r="F20" s="1455">
        <v>514180</v>
      </c>
      <c r="G20" s="1456"/>
      <c r="H20" s="1457">
        <v>675</v>
      </c>
      <c r="I20" s="607"/>
    </row>
    <row r="21" spans="2:9" s="104" customFormat="1" ht="15">
      <c r="B21" s="498">
        <v>6</v>
      </c>
      <c r="C21" s="498"/>
      <c r="D21" s="1453">
        <v>42213</v>
      </c>
      <c r="E21" s="1454"/>
      <c r="F21" s="1455">
        <v>514180</v>
      </c>
      <c r="G21" s="1456"/>
      <c r="H21" s="787">
        <v>1350</v>
      </c>
      <c r="I21" s="607"/>
    </row>
    <row r="22" spans="2:9" s="104" customFormat="1" ht="15">
      <c r="B22" s="498">
        <v>7</v>
      </c>
      <c r="C22" s="498"/>
      <c r="D22" s="1453">
        <v>42213</v>
      </c>
      <c r="E22" s="1456"/>
      <c r="F22" s="1455">
        <v>514180</v>
      </c>
      <c r="G22" s="1456"/>
      <c r="H22" s="1457">
        <v>5000</v>
      </c>
      <c r="I22" s="607"/>
    </row>
    <row r="23" spans="2:9" s="104" customFormat="1" ht="15">
      <c r="B23" s="498">
        <v>8</v>
      </c>
      <c r="C23" s="498"/>
      <c r="D23" s="1453">
        <v>42235</v>
      </c>
      <c r="E23" s="1456"/>
      <c r="F23" s="1455">
        <v>514180</v>
      </c>
      <c r="G23" s="1456"/>
      <c r="H23" s="1457">
        <v>7800</v>
      </c>
      <c r="I23" s="607"/>
    </row>
    <row r="24" spans="2:9" s="104" customFormat="1" ht="15">
      <c r="B24" s="498">
        <v>9</v>
      </c>
      <c r="C24" s="498"/>
      <c r="D24" s="1453">
        <v>42236</v>
      </c>
      <c r="E24" s="1456"/>
      <c r="F24" s="1455">
        <v>514180</v>
      </c>
      <c r="G24" s="1456"/>
      <c r="H24" s="1457">
        <v>271.64</v>
      </c>
      <c r="I24" s="607"/>
    </row>
    <row r="25" spans="2:9" s="104" customFormat="1" ht="15">
      <c r="B25" s="498">
        <v>10</v>
      </c>
      <c r="C25" s="601"/>
      <c r="D25" s="1453">
        <v>42256</v>
      </c>
      <c r="E25" s="1456"/>
      <c r="F25" s="1455">
        <v>514180</v>
      </c>
      <c r="G25" s="1456"/>
      <c r="H25" s="1457">
        <v>1350</v>
      </c>
      <c r="I25" s="607"/>
    </row>
    <row r="26" spans="2:9" s="104" customFormat="1" ht="15">
      <c r="B26" s="498">
        <v>11</v>
      </c>
      <c r="C26" s="601"/>
      <c r="D26" s="1453">
        <v>42269</v>
      </c>
      <c r="E26" s="1456"/>
      <c r="F26" s="1455">
        <v>514180</v>
      </c>
      <c r="G26" s="1456"/>
      <c r="H26" s="1457">
        <v>14111.32</v>
      </c>
      <c r="I26" s="607"/>
    </row>
    <row r="27" spans="2:9" s="104" customFormat="1" ht="15">
      <c r="B27" s="498">
        <v>12</v>
      </c>
      <c r="C27" s="601"/>
      <c r="D27" s="1453">
        <v>42293</v>
      </c>
      <c r="E27" s="1456"/>
      <c r="F27" s="1455">
        <v>514180</v>
      </c>
      <c r="G27" s="1456"/>
      <c r="H27" s="1457">
        <v>675</v>
      </c>
      <c r="I27" s="607"/>
    </row>
    <row r="28" spans="2:9" s="104" customFormat="1" ht="15">
      <c r="B28" s="498">
        <v>13</v>
      </c>
      <c r="C28" s="602"/>
      <c r="D28" s="1453">
        <v>42303</v>
      </c>
      <c r="E28" s="1454"/>
      <c r="F28" s="1455">
        <v>514180</v>
      </c>
      <c r="G28" s="1456"/>
      <c r="H28" s="787">
        <v>16919.42</v>
      </c>
      <c r="I28" s="607"/>
    </row>
    <row r="29" spans="2:9" s="104" customFormat="1" ht="15">
      <c r="B29" s="498">
        <v>14</v>
      </c>
      <c r="C29" s="602"/>
      <c r="D29" s="1453">
        <v>42312</v>
      </c>
      <c r="E29" s="1456"/>
      <c r="F29" s="1455">
        <v>514180</v>
      </c>
      <c r="G29" s="1456"/>
      <c r="H29" s="1457">
        <v>675</v>
      </c>
      <c r="I29" s="607"/>
    </row>
    <row r="30" spans="2:9" s="104" customFormat="1" ht="15">
      <c r="B30" s="498">
        <v>15</v>
      </c>
      <c r="C30" s="602"/>
      <c r="D30" s="1453">
        <v>42327</v>
      </c>
      <c r="E30" s="1456"/>
      <c r="F30" s="1455">
        <v>514180</v>
      </c>
      <c r="G30" s="1456"/>
      <c r="H30" s="1457">
        <v>5280.37</v>
      </c>
      <c r="I30" s="607"/>
    </row>
    <row r="31" spans="2:9" s="104" customFormat="1" ht="15">
      <c r="B31" s="498">
        <v>16</v>
      </c>
      <c r="C31" s="602"/>
      <c r="D31" s="1453">
        <v>42331</v>
      </c>
      <c r="E31" s="1454"/>
      <c r="F31" s="1455">
        <v>514180</v>
      </c>
      <c r="G31" s="1456"/>
      <c r="H31" s="787">
        <v>10000</v>
      </c>
      <c r="I31" s="607"/>
    </row>
    <row r="32" spans="2:9" s="104" customFormat="1" ht="15">
      <c r="B32" s="498">
        <v>17</v>
      </c>
      <c r="C32" s="602"/>
      <c r="D32" s="1453">
        <v>42338</v>
      </c>
      <c r="E32" s="1456"/>
      <c r="F32" s="1455">
        <v>514180</v>
      </c>
      <c r="G32" s="1456"/>
      <c r="H32" s="1457">
        <v>12000</v>
      </c>
      <c r="I32" s="607"/>
    </row>
    <row r="33" spans="2:9" s="104" customFormat="1" ht="15">
      <c r="B33" s="498">
        <v>18</v>
      </c>
      <c r="C33" s="602"/>
      <c r="D33" s="1453">
        <v>42355</v>
      </c>
      <c r="E33" s="1456"/>
      <c r="F33" s="1455">
        <v>514180</v>
      </c>
      <c r="G33" s="1456"/>
      <c r="H33" s="1458">
        <v>675</v>
      </c>
      <c r="I33" s="607"/>
    </row>
    <row r="34" spans="2:9" s="104" customFormat="1" ht="15">
      <c r="B34" s="498"/>
      <c r="C34" s="571"/>
      <c r="D34" s="606"/>
      <c r="E34" s="606"/>
      <c r="F34" s="606" t="s">
        <v>379</v>
      </c>
      <c r="G34" s="606"/>
      <c r="H34" s="608">
        <f>SUM(H16:H33)</f>
        <v>98412.72999999998</v>
      </c>
      <c r="I34" s="609"/>
    </row>
    <row r="35" spans="2:8" s="104" customFormat="1" ht="15">
      <c r="B35" s="563"/>
      <c r="C35" s="563"/>
      <c r="H35" s="332"/>
    </row>
    <row r="36" spans="2:8" s="104" customFormat="1" ht="15">
      <c r="B36" s="563"/>
      <c r="C36" s="563"/>
      <c r="H36" s="332"/>
    </row>
    <row r="37" spans="2:3" s="104" customFormat="1" ht="15">
      <c r="B37" s="563"/>
      <c r="C37" s="563"/>
    </row>
    <row r="38" spans="2:3" s="104" customFormat="1" ht="15">
      <c r="B38" s="563"/>
      <c r="C38" s="563"/>
    </row>
  </sheetData>
  <sheetProtection/>
  <mergeCells count="5">
    <mergeCell ref="A4:J4"/>
    <mergeCell ref="A5:J5"/>
    <mergeCell ref="A6:J6"/>
    <mergeCell ref="A8:J8"/>
    <mergeCell ref="A9:J9"/>
  </mergeCells>
  <printOptions horizontalCentered="1"/>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P25"/>
  <sheetViews>
    <sheetView view="pageBreakPreview" zoomScaleSheetLayoutView="100" zoomScalePageLayoutView="0" workbookViewId="0" topLeftCell="A1">
      <selection activeCell="B28" sqref="B28"/>
    </sheetView>
  </sheetViews>
  <sheetFormatPr defaultColWidth="9.00390625" defaultRowHeight="12.75"/>
  <cols>
    <col min="1" max="1" width="12.375" style="563" customWidth="1"/>
    <col min="2" max="2" width="7.50390625" style="563" bestFit="1" customWidth="1"/>
    <col min="3" max="3" width="5.00390625" style="563" customWidth="1"/>
    <col min="4" max="4" width="35.625" style="563" bestFit="1" customWidth="1"/>
    <col min="5" max="5" width="14.625" style="563" bestFit="1" customWidth="1"/>
    <col min="6" max="6" width="3.50390625" style="563" customWidth="1"/>
    <col min="7" max="7" width="2.125" style="563" customWidth="1"/>
    <col min="8" max="8" width="12.875" style="563" bestFit="1" customWidth="1"/>
    <col min="9" max="9" width="19.875" style="563" bestFit="1" customWidth="1"/>
    <col min="10" max="10" width="13.375" style="563" bestFit="1" customWidth="1"/>
    <col min="11" max="11" width="5.125" style="563" customWidth="1"/>
    <col min="12" max="12" width="41.375" style="563" customWidth="1"/>
    <col min="13" max="13" width="10.00390625" style="563" bestFit="1" customWidth="1"/>
    <col min="14" max="14" width="17.125" style="563" bestFit="1" customWidth="1"/>
    <col min="15" max="16384" width="9.00390625" style="563" customWidth="1"/>
  </cols>
  <sheetData>
    <row r="1" spans="1:16" s="565" customFormat="1" ht="15">
      <c r="A1" s="14" t="s">
        <v>1143</v>
      </c>
      <c r="B1" s="113"/>
      <c r="C1" s="113"/>
      <c r="D1" s="572"/>
      <c r="E1" s="572"/>
      <c r="F1" s="572"/>
      <c r="G1" s="572"/>
      <c r="H1" s="572"/>
      <c r="I1" s="113"/>
      <c r="J1" s="113"/>
      <c r="K1" s="113"/>
      <c r="L1" s="179"/>
      <c r="P1" s="180"/>
    </row>
    <row r="3" spans="1:16" ht="17.25">
      <c r="A3" s="116"/>
      <c r="B3" s="117"/>
      <c r="C3" s="117"/>
      <c r="D3" s="584"/>
      <c r="E3" s="584"/>
      <c r="F3" s="584"/>
      <c r="G3" s="584"/>
      <c r="H3" s="584"/>
      <c r="I3" s="117"/>
      <c r="J3" s="117"/>
      <c r="K3" s="117"/>
      <c r="L3" s="117"/>
      <c r="M3" s="117"/>
      <c r="N3" s="117"/>
      <c r="O3" s="117"/>
      <c r="P3" s="445"/>
    </row>
    <row r="4" spans="1:16" ht="17.25">
      <c r="A4" s="1579" t="s">
        <v>228</v>
      </c>
      <c r="B4" s="1579"/>
      <c r="C4" s="1579"/>
      <c r="D4" s="1579"/>
      <c r="E4" s="1579"/>
      <c r="F4" s="1579"/>
      <c r="G4" s="1579"/>
      <c r="H4" s="1579"/>
      <c r="I4" s="182"/>
      <c r="J4" s="182"/>
      <c r="K4" s="182"/>
      <c r="L4" s="182"/>
      <c r="M4" s="182"/>
      <c r="N4" s="182"/>
      <c r="O4" s="182"/>
      <c r="P4" s="182"/>
    </row>
    <row r="5" spans="1:16" ht="17.25">
      <c r="A5" s="1579" t="s">
        <v>111</v>
      </c>
      <c r="B5" s="1579"/>
      <c r="C5" s="1579"/>
      <c r="D5" s="1579"/>
      <c r="E5" s="1579"/>
      <c r="F5" s="1579"/>
      <c r="G5" s="1579"/>
      <c r="H5" s="1579"/>
      <c r="I5" s="182"/>
      <c r="J5" s="182"/>
      <c r="K5" s="182"/>
      <c r="L5" s="182"/>
      <c r="M5" s="182"/>
      <c r="N5" s="182"/>
      <c r="O5" s="182"/>
      <c r="P5" s="182"/>
    </row>
    <row r="6" spans="1:16" ht="17.25">
      <c r="A6" s="1580" t="s">
        <v>1377</v>
      </c>
      <c r="B6" s="1580"/>
      <c r="C6" s="1580"/>
      <c r="D6" s="1580"/>
      <c r="E6" s="1580"/>
      <c r="F6" s="1580"/>
      <c r="G6" s="1580"/>
      <c r="H6" s="1580"/>
      <c r="I6" s="182"/>
      <c r="J6" s="182"/>
      <c r="K6" s="182"/>
      <c r="L6" s="182"/>
      <c r="M6" s="182"/>
      <c r="N6" s="182"/>
      <c r="O6" s="182"/>
      <c r="P6" s="182"/>
    </row>
    <row r="7" spans="1:16" ht="12" customHeight="1">
      <c r="A7" s="117"/>
      <c r="B7" s="117"/>
      <c r="C7" s="117"/>
      <c r="D7" s="120"/>
      <c r="E7" s="120"/>
      <c r="F7" s="120"/>
      <c r="G7" s="120"/>
      <c r="H7" s="120"/>
      <c r="I7" s="117"/>
      <c r="J7" s="117"/>
      <c r="K7" s="117"/>
      <c r="L7" s="117"/>
      <c r="M7" s="117"/>
      <c r="N7" s="117"/>
      <c r="O7" s="117"/>
      <c r="P7" s="117"/>
    </row>
    <row r="8" spans="1:16" ht="17.25">
      <c r="A8" s="1581" t="s">
        <v>1144</v>
      </c>
      <c r="B8" s="1581"/>
      <c r="C8" s="1581"/>
      <c r="D8" s="1581"/>
      <c r="E8" s="1581"/>
      <c r="F8" s="1581"/>
      <c r="G8" s="1581"/>
      <c r="H8" s="1581"/>
      <c r="I8" s="183"/>
      <c r="J8" s="183"/>
      <c r="K8" s="183"/>
      <c r="L8" s="183"/>
      <c r="M8" s="183"/>
      <c r="N8" s="183"/>
      <c r="O8" s="183"/>
      <c r="P8" s="183"/>
    </row>
    <row r="9" spans="1:16" ht="17.25">
      <c r="A9" s="1579" t="s">
        <v>987</v>
      </c>
      <c r="B9" s="1579"/>
      <c r="C9" s="1579"/>
      <c r="D9" s="1579"/>
      <c r="E9" s="1579"/>
      <c r="F9" s="1579"/>
      <c r="G9" s="1579"/>
      <c r="H9" s="1579"/>
      <c r="I9" s="182"/>
      <c r="J9" s="182"/>
      <c r="K9" s="182"/>
      <c r="L9" s="182"/>
      <c r="M9" s="182"/>
      <c r="N9" s="182"/>
      <c r="O9" s="182"/>
      <c r="P9" s="182"/>
    </row>
    <row r="10" spans="1:16" ht="17.25">
      <c r="A10" s="445"/>
      <c r="B10" s="445"/>
      <c r="C10" s="445"/>
      <c r="D10" s="445"/>
      <c r="E10" s="445"/>
      <c r="F10" s="445"/>
      <c r="G10" s="445"/>
      <c r="H10" s="445"/>
      <c r="I10" s="445"/>
      <c r="J10" s="445"/>
      <c r="K10" s="445"/>
      <c r="L10" s="445"/>
      <c r="M10" s="445"/>
      <c r="N10" s="182"/>
      <c r="O10" s="182"/>
      <c r="P10" s="182"/>
    </row>
    <row r="11" spans="2:9" ht="15">
      <c r="B11" s="591" t="s">
        <v>1</v>
      </c>
      <c r="C11" s="543"/>
      <c r="D11" s="591" t="s">
        <v>260</v>
      </c>
      <c r="E11" s="565"/>
      <c r="F11" s="565"/>
      <c r="G11" s="571"/>
      <c r="H11" s="592" t="s">
        <v>421</v>
      </c>
      <c r="I11" s="593"/>
    </row>
    <row r="12" spans="2:9" ht="15">
      <c r="B12" s="544"/>
      <c r="C12" s="544"/>
      <c r="D12" s="104"/>
      <c r="E12" s="104"/>
      <c r="F12" s="104"/>
      <c r="G12" s="104"/>
      <c r="H12" s="498"/>
      <c r="I12" s="593"/>
    </row>
    <row r="13" spans="2:9" ht="15">
      <c r="B13" s="444">
        <v>1</v>
      </c>
      <c r="C13" s="444"/>
      <c r="D13" s="565" t="s">
        <v>1267</v>
      </c>
      <c r="E13" s="104"/>
      <c r="F13" s="104"/>
      <c r="G13" s="104"/>
      <c r="H13" s="786">
        <v>38499600</v>
      </c>
      <c r="I13" s="593"/>
    </row>
    <row r="14" spans="2:9" ht="15">
      <c r="B14" s="444"/>
      <c r="C14" s="444"/>
      <c r="D14" s="565"/>
      <c r="E14" s="104"/>
      <c r="F14" s="104"/>
      <c r="G14" s="104"/>
      <c r="H14" s="594"/>
      <c r="I14" s="593"/>
    </row>
    <row r="15" spans="2:9" ht="15">
      <c r="B15" s="444">
        <v>2</v>
      </c>
      <c r="C15" s="444"/>
      <c r="D15" s="565" t="s">
        <v>988</v>
      </c>
      <c r="E15" s="595"/>
      <c r="F15" s="595"/>
      <c r="G15" s="595"/>
      <c r="H15" s="786">
        <v>3214554</v>
      </c>
      <c r="I15" s="593"/>
    </row>
    <row r="16" spans="2:9" ht="15">
      <c r="B16" s="444"/>
      <c r="C16" s="444"/>
      <c r="D16" s="565"/>
      <c r="E16" s="595"/>
      <c r="F16" s="595"/>
      <c r="G16" s="595"/>
      <c r="H16" s="596"/>
      <c r="I16" s="593"/>
    </row>
    <row r="17" spans="2:9" ht="15">
      <c r="B17" s="444">
        <v>3</v>
      </c>
      <c r="C17" s="444"/>
      <c r="D17" s="565" t="s">
        <v>920</v>
      </c>
      <c r="E17" s="597" t="s">
        <v>919</v>
      </c>
      <c r="F17" s="595"/>
      <c r="G17" s="595"/>
      <c r="H17" s="596">
        <f>H13-H15</f>
        <v>35285046</v>
      </c>
      <c r="I17" s="593"/>
    </row>
    <row r="18" spans="2:9" ht="15">
      <c r="B18" s="444"/>
      <c r="C18" s="444"/>
      <c r="D18" s="565"/>
      <c r="E18" s="595"/>
      <c r="F18" s="595"/>
      <c r="G18" s="595"/>
      <c r="H18" s="596"/>
      <c r="I18" s="593"/>
    </row>
    <row r="19" spans="2:9" ht="15">
      <c r="B19" s="444">
        <v>4</v>
      </c>
      <c r="C19" s="444"/>
      <c r="D19" s="565" t="s">
        <v>915</v>
      </c>
      <c r="E19" s="595"/>
      <c r="F19" s="595"/>
      <c r="G19" s="595"/>
      <c r="H19" s="598">
        <v>35797785</v>
      </c>
      <c r="I19" s="593"/>
    </row>
    <row r="20" spans="2:9" ht="15">
      <c r="B20" s="444"/>
      <c r="C20" s="444"/>
      <c r="D20" s="565"/>
      <c r="E20" s="104"/>
      <c r="F20" s="104"/>
      <c r="G20" s="104"/>
      <c r="H20" s="594"/>
      <c r="I20" s="593"/>
    </row>
    <row r="21" spans="2:9" ht="15">
      <c r="B21" s="444">
        <v>5</v>
      </c>
      <c r="C21" s="444"/>
      <c r="D21" s="566" t="s">
        <v>900</v>
      </c>
      <c r="E21" s="599" t="s">
        <v>917</v>
      </c>
      <c r="F21" s="600"/>
      <c r="G21" s="600"/>
      <c r="H21" s="549">
        <f>H19-H17</f>
        <v>512739</v>
      </c>
      <c r="I21" s="593"/>
    </row>
    <row r="22" spans="2:9" ht="15">
      <c r="B22" s="332"/>
      <c r="C22" s="332"/>
      <c r="D22" s="104"/>
      <c r="E22" s="104"/>
      <c r="F22" s="104"/>
      <c r="G22" s="104"/>
      <c r="H22" s="577"/>
      <c r="I22" s="20"/>
    </row>
    <row r="23" spans="2:9" ht="15">
      <c r="B23" s="332"/>
      <c r="C23" s="332"/>
      <c r="D23" s="104"/>
      <c r="E23" s="104"/>
      <c r="F23" s="104"/>
      <c r="G23" s="104"/>
      <c r="H23" s="577"/>
      <c r="I23" s="593"/>
    </row>
    <row r="24" spans="1:9" ht="15">
      <c r="A24" s="1577"/>
      <c r="B24" s="1578"/>
      <c r="C24" s="1578"/>
      <c r="D24" s="1578"/>
      <c r="E24" s="1578"/>
      <c r="F24" s="1578"/>
      <c r="G24" s="1578"/>
      <c r="H24" s="1578"/>
      <c r="I24" s="593"/>
    </row>
    <row r="25" spans="1:9" ht="15">
      <c r="A25" s="1578"/>
      <c r="B25" s="1578"/>
      <c r="C25" s="1578"/>
      <c r="D25" s="1578"/>
      <c r="E25" s="1578"/>
      <c r="F25" s="1578"/>
      <c r="G25" s="1578"/>
      <c r="H25" s="1578"/>
      <c r="I25" s="104"/>
    </row>
  </sheetData>
  <sheetProtection/>
  <mergeCells count="6">
    <mergeCell ref="A24:H25"/>
    <mergeCell ref="A4:H4"/>
    <mergeCell ref="A5:H5"/>
    <mergeCell ref="A6:H6"/>
    <mergeCell ref="A8:H8"/>
    <mergeCell ref="A9:H9"/>
  </mergeCells>
  <printOptions horizontalCentered="1"/>
  <pageMargins left="0.7" right="0.7" top="0.75" bottom="0.75" header="0.3" footer="0.3"/>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J51"/>
  <sheetViews>
    <sheetView showGridLines="0" defaultGridColor="0" view="pageBreakPreview" zoomScale="110" zoomScaleNormal="80" zoomScaleSheetLayoutView="110" zoomScalePageLayoutView="0" colorId="22" workbookViewId="0" topLeftCell="A31">
      <selection activeCell="B28" sqref="B28"/>
    </sheetView>
  </sheetViews>
  <sheetFormatPr defaultColWidth="13.625" defaultRowHeight="12.75"/>
  <cols>
    <col min="1" max="1" width="9.75390625" style="0" customWidth="1"/>
    <col min="2" max="2" width="30.25390625" style="0" customWidth="1"/>
    <col min="3" max="3" width="13.50390625" style="0" customWidth="1"/>
    <col min="4" max="4" width="18.00390625" style="0" customWidth="1"/>
    <col min="5" max="5" width="6.00390625" style="0" customWidth="1"/>
    <col min="6" max="6" width="23.50390625" style="0" customWidth="1"/>
    <col min="7" max="7" width="7.75390625" style="0" customWidth="1"/>
    <col min="8" max="8" width="5.875" style="0" customWidth="1"/>
    <col min="9" max="9" width="13.625" style="0" customWidth="1"/>
    <col min="10" max="10" width="14.375" style="0" bestFit="1" customWidth="1"/>
  </cols>
  <sheetData>
    <row r="1" spans="1:6" ht="15">
      <c r="A1" s="5" t="s">
        <v>1366</v>
      </c>
      <c r="B1" s="5"/>
      <c r="C1" s="4"/>
      <c r="D1" s="4"/>
      <c r="E1" s="4"/>
      <c r="F1" s="168"/>
    </row>
    <row r="2" spans="1:6" ht="15">
      <c r="A2" s="4"/>
      <c r="B2" s="26"/>
      <c r="C2" s="4"/>
      <c r="D2" s="4"/>
      <c r="E2" s="4"/>
      <c r="F2" s="4"/>
    </row>
    <row r="5" spans="1:8" ht="15">
      <c r="A5" s="1527" t="s">
        <v>227</v>
      </c>
      <c r="B5" s="1527"/>
      <c r="C5" s="1527"/>
      <c r="D5" s="1527"/>
      <c r="E5" s="1527"/>
      <c r="F5" s="1527"/>
      <c r="G5" s="1527"/>
      <c r="H5" s="1527"/>
    </row>
    <row r="6" spans="1:8" ht="15">
      <c r="A6" s="1527" t="s">
        <v>111</v>
      </c>
      <c r="B6" s="1527"/>
      <c r="C6" s="1527"/>
      <c r="D6" s="1527"/>
      <c r="E6" s="1527"/>
      <c r="F6" s="1527"/>
      <c r="G6" s="1527"/>
      <c r="H6" s="1527"/>
    </row>
    <row r="7" spans="1:8" ht="15">
      <c r="A7" s="1528" t="s">
        <v>1377</v>
      </c>
      <c r="B7" s="1528"/>
      <c r="C7" s="1528"/>
      <c r="D7" s="1528"/>
      <c r="E7" s="1528"/>
      <c r="F7" s="1528"/>
      <c r="G7" s="1528"/>
      <c r="H7" s="1528"/>
    </row>
    <row r="10" spans="1:8" ht="15">
      <c r="A10" s="1529" t="s">
        <v>435</v>
      </c>
      <c r="B10" s="1529"/>
      <c r="C10" s="1529"/>
      <c r="D10" s="1529"/>
      <c r="E10" s="1529"/>
      <c r="F10" s="1529"/>
      <c r="G10" s="1529"/>
      <c r="H10" s="1529"/>
    </row>
    <row r="11" spans="1:7" ht="15">
      <c r="A11" s="4"/>
      <c r="B11" s="4"/>
      <c r="C11" s="5" t="s">
        <v>97</v>
      </c>
      <c r="D11" s="4"/>
      <c r="E11" s="4"/>
      <c r="F11" s="4"/>
      <c r="G11" s="4"/>
    </row>
    <row r="14" spans="2:7" s="137" customFormat="1" ht="15">
      <c r="B14" s="136"/>
      <c r="C14" s="136"/>
      <c r="D14" s="136"/>
      <c r="E14" s="136"/>
      <c r="F14" s="136"/>
      <c r="G14" s="136"/>
    </row>
    <row r="15" spans="1:7" s="160" customFormat="1" ht="15">
      <c r="A15" s="1360" t="s">
        <v>1</v>
      </c>
      <c r="B15" s="1361" t="s">
        <v>98</v>
      </c>
      <c r="C15" s="4"/>
      <c r="D15" s="553" t="s">
        <v>443</v>
      </c>
      <c r="E15" s="4"/>
      <c r="F15" s="1118" t="s">
        <v>56</v>
      </c>
      <c r="G15" s="4"/>
    </row>
    <row r="16" spans="1:6" s="160" customFormat="1" ht="15">
      <c r="A16" s="4"/>
      <c r="B16" s="4"/>
      <c r="C16" s="4"/>
      <c r="D16" s="554" t="s">
        <v>6</v>
      </c>
      <c r="E16" s="4"/>
      <c r="F16" s="554" t="s">
        <v>7</v>
      </c>
    </row>
    <row r="17" s="167" customFormat="1" ht="15"/>
    <row r="18" spans="1:6" s="167" customFormat="1" ht="15">
      <c r="A18" s="829">
        <v>1</v>
      </c>
      <c r="B18" s="4" t="s">
        <v>99</v>
      </c>
      <c r="C18" s="4"/>
      <c r="D18" s="1127">
        <f>'A1-O&amp;M'!J37</f>
        <v>61722658.82573023</v>
      </c>
      <c r="E18" s="4"/>
      <c r="F18" s="1362" t="s">
        <v>1065</v>
      </c>
    </row>
    <row r="19" s="167" customFormat="1" ht="15">
      <c r="D19" s="1363"/>
    </row>
    <row r="20" spans="1:6" s="167" customFormat="1" ht="15">
      <c r="A20" s="829">
        <v>2</v>
      </c>
      <c r="B20" s="4" t="s">
        <v>101</v>
      </c>
      <c r="C20" s="4"/>
      <c r="D20" s="1127">
        <f>'A2-A&amp;G'!J39</f>
        <v>41584418.24921066</v>
      </c>
      <c r="E20" s="4"/>
      <c r="F20" s="1362" t="s">
        <v>1066</v>
      </c>
    </row>
    <row r="21" s="167" customFormat="1" ht="15">
      <c r="D21" s="1363"/>
    </row>
    <row r="22" spans="1:6" s="167" customFormat="1" ht="15">
      <c r="A22" s="829">
        <v>3</v>
      </c>
      <c r="B22" s="4" t="s">
        <v>100</v>
      </c>
      <c r="C22" s="4"/>
      <c r="D22" s="1127">
        <f>'B1-Depn'!P47</f>
        <v>46333801.97245155</v>
      </c>
      <c r="E22" s="4"/>
      <c r="F22" s="1362" t="s">
        <v>1061</v>
      </c>
    </row>
    <row r="23" s="167" customFormat="1" ht="15">
      <c r="D23" s="1430"/>
    </row>
    <row r="24" spans="1:6" s="167" customFormat="1" ht="15">
      <c r="A24" s="829">
        <v>4</v>
      </c>
      <c r="B24" s="5" t="s">
        <v>102</v>
      </c>
      <c r="C24" s="4"/>
      <c r="D24" s="1429">
        <f>SUM(D18:D22)</f>
        <v>149640879.04739243</v>
      </c>
      <c r="E24" s="4"/>
      <c r="F24" s="4" t="s">
        <v>739</v>
      </c>
    </row>
    <row r="25" s="167" customFormat="1" ht="15">
      <c r="D25" s="1363"/>
    </row>
    <row r="26" spans="1:6" s="167" customFormat="1" ht="15.75" thickBot="1">
      <c r="A26" s="829">
        <v>5</v>
      </c>
      <c r="B26" s="1118" t="s">
        <v>103</v>
      </c>
      <c r="C26" s="4"/>
      <c r="D26" s="1431">
        <f>'C1-Rate Base'!L31</f>
        <v>656767179.5609475</v>
      </c>
      <c r="E26" s="4"/>
      <c r="F26" s="1362" t="s">
        <v>1062</v>
      </c>
    </row>
    <row r="27" s="167" customFormat="1" ht="15" thickTop="1">
      <c r="D27" s="1363"/>
    </row>
    <row r="28" spans="1:6" s="167" customFormat="1" ht="15">
      <c r="A28" s="829">
        <v>6</v>
      </c>
      <c r="B28" s="4" t="s">
        <v>104</v>
      </c>
      <c r="C28" s="4"/>
      <c r="D28" s="1429">
        <f>'C1-Rate Base'!P31</f>
        <v>48584525.83793238</v>
      </c>
      <c r="E28" s="4"/>
      <c r="F28" s="1362" t="s">
        <v>1063</v>
      </c>
    </row>
    <row r="29" s="167" customFormat="1" ht="15">
      <c r="D29" s="1363"/>
    </row>
    <row r="30" spans="1:10" s="167" customFormat="1" ht="15">
      <c r="A30" s="829">
        <v>7</v>
      </c>
      <c r="B30" s="5" t="s">
        <v>587</v>
      </c>
      <c r="C30" s="4"/>
      <c r="D30" s="1419">
        <f>D24+D28</f>
        <v>198225404.8853248</v>
      </c>
      <c r="E30" s="4"/>
      <c r="F30" s="1362" t="s">
        <v>738</v>
      </c>
      <c r="J30" s="1364"/>
    </row>
    <row r="31" s="160" customFormat="1" ht="12.75">
      <c r="J31" s="1365"/>
    </row>
    <row r="32" spans="1:10" s="160" customFormat="1" ht="15">
      <c r="A32" s="829">
        <v>8</v>
      </c>
      <c r="B32" s="1366" t="s">
        <v>1017</v>
      </c>
      <c r="C32" s="167"/>
      <c r="D32" s="1363">
        <f>+'F1-Proj RR'!O67</f>
        <v>0</v>
      </c>
      <c r="E32" s="268"/>
      <c r="F32" s="268" t="s">
        <v>1343</v>
      </c>
      <c r="G32" s="268"/>
      <c r="H32" s="268"/>
      <c r="I32" s="267"/>
      <c r="J32" s="1267"/>
    </row>
    <row r="33" spans="1:10" s="160" customFormat="1" ht="15">
      <c r="A33" s="1370"/>
      <c r="I33" s="268"/>
      <c r="J33" s="269"/>
    </row>
    <row r="34" spans="1:10" s="160" customFormat="1" ht="15">
      <c r="A34" s="1433">
        <v>9</v>
      </c>
      <c r="B34" s="1366" t="s">
        <v>736</v>
      </c>
      <c r="C34" s="167"/>
      <c r="D34" s="1367">
        <f>+'F3-True-Up'!J30</f>
        <v>0</v>
      </c>
      <c r="E34" s="1277"/>
      <c r="F34" s="1382" t="s">
        <v>1344</v>
      </c>
      <c r="G34" s="1368"/>
      <c r="H34" s="1369"/>
      <c r="I34" s="268"/>
      <c r="J34" s="269"/>
    </row>
    <row r="35" spans="1:10" s="160" customFormat="1" ht="15">
      <c r="A35" s="1370"/>
      <c r="B35" s="1366"/>
      <c r="C35" s="167"/>
      <c r="D35" s="267"/>
      <c r="E35" s="268"/>
      <c r="F35" s="268"/>
      <c r="G35" s="268"/>
      <c r="H35" s="268"/>
      <c r="I35" s="268"/>
      <c r="J35" s="269"/>
    </row>
    <row r="36" spans="1:10" s="160" customFormat="1" ht="15.75" thickBot="1">
      <c r="A36" s="829">
        <v>10</v>
      </c>
      <c r="B36" s="1371" t="s">
        <v>737</v>
      </c>
      <c r="C36" s="167"/>
      <c r="D36" s="1432">
        <f>+D30+D34+D32</f>
        <v>198225404.8853248</v>
      </c>
      <c r="E36" s="268"/>
      <c r="F36" s="269" t="s">
        <v>1019</v>
      </c>
      <c r="G36" s="269"/>
      <c r="H36" s="269"/>
      <c r="I36" s="269"/>
      <c r="J36" s="270"/>
    </row>
    <row r="37" spans="1:9" s="160" customFormat="1" ht="15" thickTop="1">
      <c r="A37" s="167"/>
      <c r="B37" s="167"/>
      <c r="C37" s="167"/>
      <c r="D37" s="167"/>
      <c r="E37" s="167"/>
      <c r="F37" s="167"/>
      <c r="G37" s="167"/>
      <c r="H37" s="167"/>
      <c r="I37" s="167"/>
    </row>
    <row r="38" spans="1:9" s="160" customFormat="1" ht="15">
      <c r="A38" s="829"/>
      <c r="B38" s="1129" t="s">
        <v>740</v>
      </c>
      <c r="C38" s="167"/>
      <c r="D38" s="167"/>
      <c r="E38" s="167"/>
      <c r="F38" s="167"/>
      <c r="G38" s="167"/>
      <c r="H38" s="167"/>
      <c r="I38" s="167"/>
    </row>
    <row r="39" spans="1:9" s="160" customFormat="1" ht="15">
      <c r="A39" s="167"/>
      <c r="B39" s="167"/>
      <c r="C39" s="167"/>
      <c r="D39" s="167"/>
      <c r="E39" s="167"/>
      <c r="F39" s="167"/>
      <c r="G39" s="167"/>
      <c r="H39" s="167"/>
      <c r="I39" s="167"/>
    </row>
    <row r="40" spans="1:9" s="160" customFormat="1" ht="15">
      <c r="A40" s="829">
        <v>11</v>
      </c>
      <c r="B40" s="167" t="s">
        <v>934</v>
      </c>
      <c r="C40" s="167"/>
      <c r="D40" s="1363">
        <f>+'F1-Proj RR'!R47</f>
        <v>198225404.88532484</v>
      </c>
      <c r="E40" s="167"/>
      <c r="F40" s="269" t="s">
        <v>1340</v>
      </c>
      <c r="G40" s="167"/>
      <c r="H40" s="167"/>
      <c r="I40" s="167"/>
    </row>
    <row r="41" spans="1:9" s="160" customFormat="1" ht="15">
      <c r="A41" s="829" t="s">
        <v>1277</v>
      </c>
      <c r="B41" s="167" t="s">
        <v>1367</v>
      </c>
      <c r="C41" s="167"/>
      <c r="D41" s="1363">
        <f>+'F1-Proj RR'!R48</f>
        <v>0</v>
      </c>
      <c r="E41" s="167"/>
      <c r="F41" s="269" t="s">
        <v>1342</v>
      </c>
      <c r="G41" s="167"/>
      <c r="H41" s="167"/>
      <c r="I41" s="167"/>
    </row>
    <row r="42" spans="1:9" s="160" customFormat="1" ht="15">
      <c r="A42" s="829" t="s">
        <v>1278</v>
      </c>
      <c r="B42" s="167" t="s">
        <v>715</v>
      </c>
      <c r="C42" s="167"/>
      <c r="D42" s="1363">
        <f>+'F1-Proj RR'!R49</f>
        <v>0</v>
      </c>
      <c r="E42" s="167"/>
      <c r="F42" s="269" t="s">
        <v>1341</v>
      </c>
      <c r="G42" s="167"/>
      <c r="H42" s="167"/>
      <c r="I42" s="167"/>
    </row>
    <row r="43" spans="1:9" s="160" customFormat="1" ht="15">
      <c r="A43" s="829" t="s">
        <v>1279</v>
      </c>
      <c r="B43" s="1372">
        <v>0</v>
      </c>
      <c r="C43" s="167"/>
      <c r="D43" s="1363"/>
      <c r="E43" s="167"/>
      <c r="F43" s="167"/>
      <c r="G43" s="167"/>
      <c r="H43" s="167"/>
      <c r="I43" s="167"/>
    </row>
    <row r="44" spans="1:9" s="160" customFormat="1" ht="15">
      <c r="A44" s="829" t="s">
        <v>681</v>
      </c>
      <c r="B44" s="1372">
        <v>0</v>
      </c>
      <c r="C44" s="167"/>
      <c r="D44" s="1363"/>
      <c r="E44" s="167"/>
      <c r="F44" s="167"/>
      <c r="G44" s="167"/>
      <c r="H44" s="167"/>
      <c r="I44" s="167"/>
    </row>
    <row r="45" spans="1:9" s="160" customFormat="1" ht="15">
      <c r="A45" s="167"/>
      <c r="B45" s="167"/>
      <c r="C45" s="167"/>
      <c r="D45" s="1430"/>
      <c r="E45" s="167"/>
      <c r="F45" s="167"/>
      <c r="G45" s="167"/>
      <c r="H45" s="167"/>
      <c r="I45" s="167"/>
    </row>
    <row r="46" spans="1:9" s="160" customFormat="1" ht="15.75" thickBot="1">
      <c r="A46" s="829">
        <v>12</v>
      </c>
      <c r="B46" s="167" t="s">
        <v>741</v>
      </c>
      <c r="C46" s="167"/>
      <c r="D46" s="1431">
        <f>SUM(D40:D45)</f>
        <v>198225404.88532484</v>
      </c>
      <c r="E46" s="1509"/>
      <c r="F46" s="269" t="s">
        <v>1280</v>
      </c>
      <c r="G46" s="167"/>
      <c r="H46" s="167"/>
      <c r="I46" s="167"/>
    </row>
    <row r="47" spans="1:9" s="160" customFormat="1" ht="15" thickTop="1">
      <c r="A47" s="167"/>
      <c r="B47" s="167"/>
      <c r="C47" s="167"/>
      <c r="D47" s="1452"/>
      <c r="E47" s="167"/>
      <c r="F47" s="167"/>
      <c r="G47" s="167"/>
      <c r="H47" s="167"/>
      <c r="I47" s="167"/>
    </row>
    <row r="48" spans="1:9" s="160" customFormat="1" ht="15">
      <c r="A48" s="167"/>
      <c r="B48" s="167"/>
      <c r="C48" s="167"/>
      <c r="D48" s="1452"/>
      <c r="E48" s="1478"/>
      <c r="F48" s="167"/>
      <c r="G48" s="167"/>
      <c r="H48" s="167"/>
      <c r="I48" s="167"/>
    </row>
    <row r="49" spans="1:9" s="160" customFormat="1" ht="15">
      <c r="A49" s="167" t="s">
        <v>922</v>
      </c>
      <c r="B49" s="1530" t="s">
        <v>938</v>
      </c>
      <c r="C49" s="1530"/>
      <c r="D49" s="1530"/>
      <c r="E49" s="1530"/>
      <c r="F49" s="1530"/>
      <c r="G49" s="1530"/>
      <c r="H49" s="1530"/>
      <c r="I49" s="167"/>
    </row>
    <row r="50" spans="1:9" s="160" customFormat="1" ht="15">
      <c r="A50" s="167"/>
      <c r="B50" s="1530"/>
      <c r="C50" s="1530"/>
      <c r="D50" s="1530"/>
      <c r="E50" s="1530"/>
      <c r="F50" s="1530"/>
      <c r="G50" s="1530"/>
      <c r="H50" s="1530"/>
      <c r="I50" s="167"/>
    </row>
    <row r="51" spans="1:9" ht="15">
      <c r="A51" s="146"/>
      <c r="B51" s="146"/>
      <c r="C51" s="146"/>
      <c r="D51" s="146"/>
      <c r="E51" s="146"/>
      <c r="F51" s="146"/>
      <c r="G51" s="146"/>
      <c r="H51" s="146"/>
      <c r="I51" s="146"/>
    </row>
  </sheetData>
  <sheetProtection/>
  <mergeCells count="5">
    <mergeCell ref="A5:H5"/>
    <mergeCell ref="A6:H6"/>
    <mergeCell ref="A7:H7"/>
    <mergeCell ref="A10:H10"/>
    <mergeCell ref="B49:H50"/>
  </mergeCells>
  <printOptions horizontalCentered="1"/>
  <pageMargins left="0.5" right="0.5" top="1" bottom="1" header="0.5" footer="0.5"/>
  <pageSetup fitToHeight="1" fitToWidth="1" horizontalDpi="600" verticalDpi="600" orientation="landscape" scale="60"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R45"/>
  <sheetViews>
    <sheetView view="pageBreakPreview" zoomScale="85" zoomScaleNormal="80" zoomScaleSheetLayoutView="85" zoomScalePageLayoutView="0" workbookViewId="0" topLeftCell="A13">
      <selection activeCell="B28" sqref="B28"/>
    </sheetView>
  </sheetViews>
  <sheetFormatPr defaultColWidth="9.00390625" defaultRowHeight="12.75"/>
  <cols>
    <col min="1" max="1" width="1.4921875" style="189" customWidth="1"/>
    <col min="2" max="2" width="7.50390625" style="189" bestFit="1" customWidth="1"/>
    <col min="3" max="3" width="2.125" style="189" customWidth="1"/>
    <col min="4" max="4" width="49.75390625" style="189" bestFit="1" customWidth="1"/>
    <col min="5" max="5" width="3.75390625" style="189" customWidth="1"/>
    <col min="6" max="6" width="12.50390625" style="189" customWidth="1"/>
    <col min="7" max="7" width="3.25390625" style="189" customWidth="1"/>
    <col min="8" max="8" width="10.125" style="189" bestFit="1" customWidth="1"/>
    <col min="9" max="9" width="2.00390625" style="189" customWidth="1"/>
    <col min="10" max="10" width="14.75390625" style="189" bestFit="1" customWidth="1"/>
    <col min="11" max="11" width="3.875" style="189" customWidth="1"/>
    <col min="12" max="12" width="49.625" style="189" bestFit="1" customWidth="1"/>
    <col min="13" max="13" width="2.50390625" style="189" customWidth="1"/>
    <col min="14" max="16384" width="9.00390625" style="189" customWidth="1"/>
  </cols>
  <sheetData>
    <row r="1" spans="1:18" s="115" customFormat="1" ht="15">
      <c r="A1" s="14" t="s">
        <v>1145</v>
      </c>
      <c r="B1" s="113"/>
      <c r="C1" s="113"/>
      <c r="D1" s="114"/>
      <c r="E1" s="114"/>
      <c r="F1" s="113"/>
      <c r="G1" s="113"/>
      <c r="H1" s="113"/>
      <c r="I1" s="113"/>
      <c r="J1" s="113"/>
      <c r="K1" s="113"/>
      <c r="L1" s="179"/>
      <c r="R1" s="180"/>
    </row>
    <row r="2" s="119" customFormat="1" ht="12"/>
    <row r="3" spans="1:18" s="119" customFormat="1" ht="17.25">
      <c r="A3" s="116"/>
      <c r="B3" s="117"/>
      <c r="C3" s="117"/>
      <c r="D3" s="118"/>
      <c r="E3" s="118"/>
      <c r="F3" s="117"/>
      <c r="G3" s="117"/>
      <c r="H3" s="117"/>
      <c r="I3" s="117"/>
      <c r="J3" s="117"/>
      <c r="K3" s="117"/>
      <c r="L3" s="117"/>
      <c r="M3" s="117"/>
      <c r="N3" s="117"/>
      <c r="O3" s="117"/>
      <c r="P3" s="117"/>
      <c r="Q3" s="181"/>
      <c r="R3" s="178"/>
    </row>
    <row r="4" spans="1:18" s="119" customFormat="1" ht="17.25">
      <c r="A4" s="1579" t="s">
        <v>228</v>
      </c>
      <c r="B4" s="1579"/>
      <c r="C4" s="1579"/>
      <c r="D4" s="1579"/>
      <c r="E4" s="1579"/>
      <c r="F4" s="1579"/>
      <c r="G4" s="1579"/>
      <c r="H4" s="1579"/>
      <c r="I4" s="1579"/>
      <c r="J4" s="1579"/>
      <c r="K4" s="1579"/>
      <c r="L4" s="1579"/>
      <c r="M4" s="1579"/>
      <c r="N4" s="182"/>
      <c r="O4" s="182"/>
      <c r="P4" s="182"/>
      <c r="Q4" s="182"/>
      <c r="R4" s="182"/>
    </row>
    <row r="5" spans="1:18" s="119" customFormat="1" ht="17.25">
      <c r="A5" s="1579" t="s">
        <v>111</v>
      </c>
      <c r="B5" s="1579"/>
      <c r="C5" s="1579"/>
      <c r="D5" s="1579"/>
      <c r="E5" s="1579"/>
      <c r="F5" s="1579"/>
      <c r="G5" s="1579"/>
      <c r="H5" s="1579"/>
      <c r="I5" s="1579"/>
      <c r="J5" s="1579"/>
      <c r="K5" s="1579"/>
      <c r="L5" s="1579"/>
      <c r="M5" s="1579"/>
      <c r="N5" s="182"/>
      <c r="O5" s="182"/>
      <c r="P5" s="182"/>
      <c r="Q5" s="182"/>
      <c r="R5" s="182"/>
    </row>
    <row r="6" spans="1:18" s="119" customFormat="1" ht="17.25">
      <c r="A6" s="1580" t="s">
        <v>1377</v>
      </c>
      <c r="B6" s="1580"/>
      <c r="C6" s="1580"/>
      <c r="D6" s="1580"/>
      <c r="E6" s="1580"/>
      <c r="F6" s="1580"/>
      <c r="G6" s="1580"/>
      <c r="H6" s="1580"/>
      <c r="I6" s="1580"/>
      <c r="J6" s="1580"/>
      <c r="K6" s="1580"/>
      <c r="L6" s="1580"/>
      <c r="M6" s="1580"/>
      <c r="N6" s="182"/>
      <c r="O6" s="182"/>
      <c r="P6" s="182"/>
      <c r="Q6" s="182"/>
      <c r="R6" s="182"/>
    </row>
    <row r="7" spans="1:18" s="119" customFormat="1" ht="12" customHeight="1">
      <c r="A7" s="117"/>
      <c r="B7" s="117"/>
      <c r="C7" s="117"/>
      <c r="D7" s="120"/>
      <c r="E7" s="120"/>
      <c r="F7" s="117"/>
      <c r="G7" s="117"/>
      <c r="H7" s="117"/>
      <c r="I7" s="117"/>
      <c r="J7" s="117"/>
      <c r="K7" s="117"/>
      <c r="L7" s="117"/>
      <c r="M7" s="117"/>
      <c r="N7" s="117"/>
      <c r="O7" s="117"/>
      <c r="P7" s="117"/>
      <c r="Q7" s="117"/>
      <c r="R7" s="117"/>
    </row>
    <row r="8" spans="1:18" s="119" customFormat="1" ht="17.25">
      <c r="A8" s="1581" t="s">
        <v>1146</v>
      </c>
      <c r="B8" s="1581"/>
      <c r="C8" s="1581"/>
      <c r="D8" s="1581"/>
      <c r="E8" s="1581"/>
      <c r="F8" s="1581"/>
      <c r="G8" s="1581"/>
      <c r="H8" s="1581"/>
      <c r="I8" s="1581"/>
      <c r="J8" s="1581"/>
      <c r="K8" s="1581"/>
      <c r="L8" s="1581"/>
      <c r="M8" s="1581"/>
      <c r="N8" s="183"/>
      <c r="O8" s="183"/>
      <c r="P8" s="183"/>
      <c r="Q8" s="183"/>
      <c r="R8" s="183"/>
    </row>
    <row r="9" spans="1:18" s="119" customFormat="1" ht="17.25">
      <c r="A9" s="1579" t="s">
        <v>418</v>
      </c>
      <c r="B9" s="1579"/>
      <c r="C9" s="1579"/>
      <c r="D9" s="1579"/>
      <c r="E9" s="1579"/>
      <c r="F9" s="1579"/>
      <c r="G9" s="1579"/>
      <c r="H9" s="1579"/>
      <c r="I9" s="1579"/>
      <c r="J9" s="1579"/>
      <c r="K9" s="1579"/>
      <c r="L9" s="1579"/>
      <c r="M9" s="1579"/>
      <c r="N9" s="182"/>
      <c r="O9" s="182"/>
      <c r="P9" s="182"/>
      <c r="Q9" s="182"/>
      <c r="R9" s="182"/>
    </row>
    <row r="10" spans="1:18" s="186" customFormat="1" ht="18">
      <c r="A10" s="184"/>
      <c r="B10" s="184"/>
      <c r="C10" s="184"/>
      <c r="D10" s="184"/>
      <c r="E10" s="184"/>
      <c r="F10" s="184"/>
      <c r="G10" s="184"/>
      <c r="H10" s="184"/>
      <c r="I10" s="184"/>
      <c r="J10" s="184"/>
      <c r="K10" s="184"/>
      <c r="L10" s="184"/>
      <c r="M10" s="184"/>
      <c r="N10" s="185"/>
      <c r="O10" s="185"/>
      <c r="P10" s="185"/>
      <c r="Q10" s="185"/>
      <c r="R10" s="185"/>
    </row>
    <row r="11" s="563" customFormat="1" ht="15" customHeight="1">
      <c r="J11" s="564" t="s">
        <v>419</v>
      </c>
    </row>
    <row r="12" s="563" customFormat="1" ht="15" customHeight="1">
      <c r="J12" s="564" t="s">
        <v>345</v>
      </c>
    </row>
    <row r="13" spans="3:10" s="565" customFormat="1" ht="15" customHeight="1">
      <c r="C13" s="564"/>
      <c r="D13" s="566"/>
      <c r="E13" s="566"/>
      <c r="J13" s="564" t="s">
        <v>420</v>
      </c>
    </row>
    <row r="14" spans="2:12" s="565" customFormat="1" ht="15" customHeight="1">
      <c r="B14" s="567" t="s">
        <v>1</v>
      </c>
      <c r="C14" s="568"/>
      <c r="D14" s="569" t="s">
        <v>262</v>
      </c>
      <c r="F14" s="570" t="s">
        <v>421</v>
      </c>
      <c r="G14" s="571"/>
      <c r="H14" s="570" t="s">
        <v>160</v>
      </c>
      <c r="I14" s="571"/>
      <c r="J14" s="568" t="s">
        <v>423</v>
      </c>
      <c r="K14" s="568"/>
      <c r="L14" s="572" t="s">
        <v>424</v>
      </c>
    </row>
    <row r="15" spans="2:12" s="565" customFormat="1" ht="15">
      <c r="B15" s="573"/>
      <c r="C15" s="571"/>
      <c r="F15" s="545" t="s">
        <v>220</v>
      </c>
      <c r="G15" s="104"/>
      <c r="H15" s="545" t="s">
        <v>221</v>
      </c>
      <c r="I15" s="104"/>
      <c r="J15" s="545" t="s">
        <v>222</v>
      </c>
      <c r="K15" s="104"/>
      <c r="L15" s="574" t="s">
        <v>459</v>
      </c>
    </row>
    <row r="16" spans="2:12" s="565" customFormat="1" ht="15">
      <c r="B16" s="573"/>
      <c r="C16" s="571"/>
      <c r="F16" s="545"/>
      <c r="G16" s="104"/>
      <c r="H16" s="545"/>
      <c r="I16" s="104"/>
      <c r="J16" s="545"/>
      <c r="K16" s="104"/>
      <c r="L16" s="574"/>
    </row>
    <row r="17" spans="2:12" s="565" customFormat="1" ht="15">
      <c r="B17" s="571">
        <v>1</v>
      </c>
      <c r="D17" s="778" t="s">
        <v>116</v>
      </c>
      <c r="F17" s="766">
        <f>'WP-AB'!C56</f>
        <v>526059.39</v>
      </c>
      <c r="J17" s="575"/>
      <c r="L17" s="778"/>
    </row>
    <row r="18" spans="4:12" s="565" customFormat="1" ht="15">
      <c r="D18" s="778"/>
      <c r="F18" s="766"/>
      <c r="G18" s="546"/>
      <c r="H18" s="546"/>
      <c r="I18" s="546"/>
      <c r="J18" s="575"/>
      <c r="K18" s="546"/>
      <c r="L18" s="778"/>
    </row>
    <row r="19" spans="2:12" s="565" customFormat="1" ht="15">
      <c r="B19" s="571">
        <v>2</v>
      </c>
      <c r="C19" s="571"/>
      <c r="D19" s="778" t="s">
        <v>117</v>
      </c>
      <c r="F19" s="766">
        <f>'WP-AB'!D56</f>
        <v>1116948.8</v>
      </c>
      <c r="G19" s="546"/>
      <c r="H19" s="546"/>
      <c r="I19" s="546"/>
      <c r="J19" s="488"/>
      <c r="K19" s="546"/>
      <c r="L19" s="778"/>
    </row>
    <row r="20" spans="2:12" s="565" customFormat="1" ht="15">
      <c r="B20" s="571"/>
      <c r="C20" s="571"/>
      <c r="D20" s="778"/>
      <c r="F20" s="766"/>
      <c r="G20" s="546"/>
      <c r="H20" s="546"/>
      <c r="I20" s="546"/>
      <c r="J20" s="488"/>
      <c r="L20" s="778"/>
    </row>
    <row r="21" spans="2:12" s="565" customFormat="1" ht="15">
      <c r="B21" s="571">
        <v>3</v>
      </c>
      <c r="C21" s="571"/>
      <c r="D21" s="778" t="s">
        <v>118</v>
      </c>
      <c r="F21" s="766">
        <f>'WP-AB'!E56</f>
        <v>1828755.06</v>
      </c>
      <c r="J21" s="488"/>
      <c r="L21" s="778"/>
    </row>
    <row r="22" spans="2:12" s="565" customFormat="1" ht="15">
      <c r="B22" s="571"/>
      <c r="C22" s="571"/>
      <c r="D22" s="778"/>
      <c r="F22" s="750"/>
      <c r="J22" s="488"/>
      <c r="L22" s="778"/>
    </row>
    <row r="23" spans="2:12" s="565" customFormat="1" ht="15">
      <c r="B23" s="571">
        <v>4</v>
      </c>
      <c r="C23" s="571"/>
      <c r="D23" s="778" t="s">
        <v>120</v>
      </c>
      <c r="F23" s="779">
        <f>'WP-AB'!AG56</f>
        <v>198485.41</v>
      </c>
      <c r="J23" s="576"/>
      <c r="L23" s="778"/>
    </row>
    <row r="24" spans="2:12" s="565" customFormat="1" ht="15">
      <c r="B24" s="571"/>
      <c r="C24" s="571"/>
      <c r="F24" s="488"/>
      <c r="J24" s="488"/>
      <c r="L24" s="778"/>
    </row>
    <row r="25" spans="2:12" s="565" customFormat="1" ht="30">
      <c r="B25" s="571">
        <v>5</v>
      </c>
      <c r="C25" s="571"/>
      <c r="D25" s="566" t="s">
        <v>1321</v>
      </c>
      <c r="F25" s="577">
        <f>SUM(F17:F23)</f>
        <v>3670248.66</v>
      </c>
      <c r="H25" s="578">
        <f>'WP-AI'!I24</f>
        <v>0.15112169548384957</v>
      </c>
      <c r="J25" s="577">
        <f>F25*H25</f>
        <v>554654.2003465269</v>
      </c>
      <c r="L25" s="1401" t="s">
        <v>1322</v>
      </c>
    </row>
    <row r="26" spans="2:12" s="565" customFormat="1" ht="15">
      <c r="B26" s="571"/>
      <c r="C26" s="571"/>
      <c r="F26" s="488"/>
      <c r="J26" s="488"/>
      <c r="L26" s="1402"/>
    </row>
    <row r="27" spans="2:12" s="565" customFormat="1" ht="15">
      <c r="B27" s="571"/>
      <c r="C27" s="571"/>
      <c r="F27" s="488"/>
      <c r="J27" s="488"/>
      <c r="L27" s="778"/>
    </row>
    <row r="28" spans="2:12" s="565" customFormat="1" ht="15">
      <c r="B28" s="571">
        <v>6</v>
      </c>
      <c r="C28" s="571"/>
      <c r="D28" s="778" t="s">
        <v>425</v>
      </c>
      <c r="F28" s="766">
        <f>'WP-AB'!Y56</f>
        <v>409287.94</v>
      </c>
      <c r="J28" s="488"/>
      <c r="L28" s="778"/>
    </row>
    <row r="29" spans="2:12" s="565" customFormat="1" ht="15">
      <c r="B29" s="571"/>
      <c r="C29" s="571"/>
      <c r="D29" s="778"/>
      <c r="F29" s="766"/>
      <c r="J29" s="488"/>
      <c r="L29" s="778"/>
    </row>
    <row r="30" spans="2:12" s="565" customFormat="1" ht="15">
      <c r="B30" s="571">
        <v>7</v>
      </c>
      <c r="C30" s="571"/>
      <c r="D30" s="778" t="s">
        <v>119</v>
      </c>
      <c r="F30" s="779">
        <f>'WP-AB'!AB56</f>
        <v>98168.13</v>
      </c>
      <c r="J30" s="488"/>
      <c r="L30" s="778"/>
    </row>
    <row r="31" spans="2:12" s="565" customFormat="1" ht="15">
      <c r="B31" s="571"/>
      <c r="C31" s="571"/>
      <c r="F31" s="488"/>
      <c r="J31" s="488"/>
      <c r="L31" s="778"/>
    </row>
    <row r="32" spans="2:12" s="565" customFormat="1" ht="15">
      <c r="B32" s="571">
        <v>8</v>
      </c>
      <c r="C32" s="571"/>
      <c r="D32" s="566" t="s">
        <v>438</v>
      </c>
      <c r="F32" s="577">
        <f>SUM(F28:F30)</f>
        <v>507456.07</v>
      </c>
      <c r="H32" s="578">
        <v>1</v>
      </c>
      <c r="J32" s="579">
        <f>F32*H32</f>
        <v>507456.07</v>
      </c>
      <c r="K32" s="580"/>
      <c r="L32" s="780"/>
    </row>
    <row r="33" spans="2:10" s="565" customFormat="1" ht="15.75" thickBot="1">
      <c r="B33" s="571"/>
      <c r="C33" s="571"/>
      <c r="J33" s="577"/>
    </row>
    <row r="34" spans="2:10" s="565" customFormat="1" ht="15.75" thickBot="1">
      <c r="B34" s="571">
        <v>9</v>
      </c>
      <c r="C34" s="571"/>
      <c r="D34" s="566" t="s">
        <v>5</v>
      </c>
      <c r="J34" s="582">
        <f>SUM(J25:J32)</f>
        <v>1062110.270346527</v>
      </c>
    </row>
    <row r="35" spans="2:10" s="565" customFormat="1" ht="15">
      <c r="B35" s="571"/>
      <c r="C35" s="571"/>
      <c r="E35" s="581"/>
      <c r="J35" s="488"/>
    </row>
    <row r="36" spans="2:10" s="565" customFormat="1" ht="15">
      <c r="B36" s="571"/>
      <c r="C36" s="571"/>
      <c r="D36" s="581"/>
      <c r="E36" s="581"/>
      <c r="J36" s="488"/>
    </row>
    <row r="37" spans="2:9" s="565" customFormat="1" ht="15">
      <c r="B37" s="571"/>
      <c r="C37" s="571"/>
      <c r="E37" s="581"/>
      <c r="F37" s="563"/>
      <c r="G37" s="563"/>
      <c r="H37" s="563"/>
      <c r="I37" s="563"/>
    </row>
    <row r="38" spans="6:9" s="565" customFormat="1" ht="15">
      <c r="F38" s="566"/>
      <c r="G38" s="550"/>
      <c r="H38" s="550"/>
      <c r="I38" s="550"/>
    </row>
    <row r="39" s="565" customFormat="1" ht="15">
      <c r="J39" s="583"/>
    </row>
    <row r="40" s="187" customFormat="1" ht="15">
      <c r="J40" s="188"/>
    </row>
    <row r="41" s="187" customFormat="1" ht="15"/>
    <row r="42" s="186" customFormat="1" ht="15">
      <c r="J42" s="188"/>
    </row>
    <row r="45" ht="15">
      <c r="E45" s="187"/>
    </row>
  </sheetData>
  <sheetProtection/>
  <mergeCells count="5">
    <mergeCell ref="A4:M4"/>
    <mergeCell ref="A5:M5"/>
    <mergeCell ref="A6:M6"/>
    <mergeCell ref="A8:M8"/>
    <mergeCell ref="A9:M9"/>
  </mergeCells>
  <printOptions horizontalCentered="1"/>
  <pageMargins left="0.7" right="0.7" top="0.75" bottom="0.75" header="0.3" footer="0.3"/>
  <pageSetup fitToHeight="1" fitToWidth="1" horizontalDpi="600" verticalDpi="600" orientation="landscape" scale="76"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O35"/>
  <sheetViews>
    <sheetView view="pageBreakPreview" zoomScale="85" zoomScaleNormal="90" zoomScaleSheetLayoutView="85" zoomScalePageLayoutView="0" workbookViewId="0" topLeftCell="A4">
      <selection activeCell="B28" sqref="B28"/>
    </sheetView>
  </sheetViews>
  <sheetFormatPr defaultColWidth="9.00390625" defaultRowHeight="12.75"/>
  <cols>
    <col min="1" max="1" width="1.4921875" style="563" customWidth="1"/>
    <col min="2" max="2" width="8.75390625" style="563" customWidth="1"/>
    <col min="3" max="3" width="3.875" style="563" customWidth="1"/>
    <col min="4" max="4" width="25.125" style="563" customWidth="1"/>
    <col min="5" max="5" width="2.50390625" style="563" customWidth="1"/>
    <col min="6" max="6" width="12.50390625" style="563" bestFit="1" customWidth="1"/>
    <col min="7" max="7" width="2.00390625" style="563" customWidth="1"/>
    <col min="8" max="8" width="12.625" style="563" bestFit="1" customWidth="1"/>
    <col min="9" max="9" width="4.75390625" style="563" customWidth="1"/>
    <col min="10" max="10" width="13.375" style="563" bestFit="1" customWidth="1"/>
    <col min="11" max="11" width="5.125" style="563" customWidth="1"/>
    <col min="12" max="12" width="46.50390625" style="563" bestFit="1" customWidth="1"/>
    <col min="13" max="13" width="17.125" style="563" bestFit="1" customWidth="1"/>
    <col min="14" max="16384" width="9.00390625" style="563" customWidth="1"/>
  </cols>
  <sheetData>
    <row r="1" spans="1:15" s="565" customFormat="1" ht="15">
      <c r="A1" s="14" t="s">
        <v>1148</v>
      </c>
      <c r="B1" s="113"/>
      <c r="C1" s="113"/>
      <c r="D1" s="572"/>
      <c r="E1" s="572"/>
      <c r="F1" s="113"/>
      <c r="G1" s="113"/>
      <c r="H1" s="113"/>
      <c r="I1" s="113"/>
      <c r="J1" s="113"/>
      <c r="K1" s="113"/>
      <c r="L1" s="179"/>
      <c r="O1" s="180"/>
    </row>
    <row r="3" spans="1:15" ht="17.25">
      <c r="A3" s="116"/>
      <c r="B3" s="117"/>
      <c r="C3" s="117"/>
      <c r="D3" s="584"/>
      <c r="E3" s="584"/>
      <c r="F3" s="117"/>
      <c r="G3" s="117"/>
      <c r="H3" s="117"/>
      <c r="I3" s="117"/>
      <c r="J3" s="117"/>
      <c r="K3" s="117"/>
      <c r="L3" s="117"/>
      <c r="M3" s="117"/>
      <c r="N3" s="117"/>
      <c r="O3" s="445"/>
    </row>
    <row r="4" spans="1:15" ht="17.25">
      <c r="A4" s="1579" t="s">
        <v>228</v>
      </c>
      <c r="B4" s="1579"/>
      <c r="C4" s="1579"/>
      <c r="D4" s="1579"/>
      <c r="E4" s="1579"/>
      <c r="F4" s="1579"/>
      <c r="G4" s="1579"/>
      <c r="H4" s="1579"/>
      <c r="I4" s="1579"/>
      <c r="J4" s="1579"/>
      <c r="K4" s="1579"/>
      <c r="L4" s="1579"/>
      <c r="M4" s="182"/>
      <c r="N4" s="182"/>
      <c r="O4" s="182"/>
    </row>
    <row r="5" spans="1:15" ht="17.25">
      <c r="A5" s="1579" t="s">
        <v>111</v>
      </c>
      <c r="B5" s="1579"/>
      <c r="C5" s="1579"/>
      <c r="D5" s="1579"/>
      <c r="E5" s="1579"/>
      <c r="F5" s="1579"/>
      <c r="G5" s="1579"/>
      <c r="H5" s="1579"/>
      <c r="I5" s="1579"/>
      <c r="J5" s="1579"/>
      <c r="K5" s="1579"/>
      <c r="L5" s="1579"/>
      <c r="M5" s="182"/>
      <c r="N5" s="182"/>
      <c r="O5" s="182"/>
    </row>
    <row r="6" spans="1:15" ht="17.25">
      <c r="A6" s="1580" t="s">
        <v>1377</v>
      </c>
      <c r="B6" s="1580"/>
      <c r="C6" s="1580"/>
      <c r="D6" s="1580"/>
      <c r="E6" s="1580"/>
      <c r="F6" s="1580"/>
      <c r="G6" s="1580"/>
      <c r="H6" s="1580"/>
      <c r="I6" s="1580"/>
      <c r="J6" s="1580"/>
      <c r="K6" s="1580"/>
      <c r="L6" s="1580"/>
      <c r="M6" s="182"/>
      <c r="N6" s="182"/>
      <c r="O6" s="182"/>
    </row>
    <row r="7" spans="1:15" ht="12" customHeight="1">
      <c r="A7" s="117"/>
      <c r="B7" s="117"/>
      <c r="C7" s="117"/>
      <c r="D7" s="120"/>
      <c r="E7" s="120"/>
      <c r="F7" s="117"/>
      <c r="G7" s="117"/>
      <c r="H7" s="117"/>
      <c r="I7" s="117"/>
      <c r="J7" s="117"/>
      <c r="K7" s="117"/>
      <c r="L7" s="117"/>
      <c r="M7" s="117"/>
      <c r="N7" s="117"/>
      <c r="O7" s="117"/>
    </row>
    <row r="8" spans="1:15" ht="17.25">
      <c r="A8" s="1581" t="s">
        <v>1147</v>
      </c>
      <c r="B8" s="1581"/>
      <c r="C8" s="1581"/>
      <c r="D8" s="1581"/>
      <c r="E8" s="1581"/>
      <c r="F8" s="1581"/>
      <c r="G8" s="1581"/>
      <c r="H8" s="1581"/>
      <c r="I8" s="1581"/>
      <c r="J8" s="1581"/>
      <c r="K8" s="1581"/>
      <c r="L8" s="1581"/>
      <c r="M8" s="183"/>
      <c r="N8" s="183"/>
      <c r="O8" s="183"/>
    </row>
    <row r="9" spans="1:15" ht="17.25">
      <c r="A9" s="1579" t="s">
        <v>428</v>
      </c>
      <c r="B9" s="1579"/>
      <c r="C9" s="1579"/>
      <c r="D9" s="1579"/>
      <c r="E9" s="1579"/>
      <c r="F9" s="1579"/>
      <c r="G9" s="1579"/>
      <c r="H9" s="1579"/>
      <c r="I9" s="1579"/>
      <c r="J9" s="1579"/>
      <c r="K9" s="1579"/>
      <c r="L9" s="1579"/>
      <c r="M9" s="182"/>
      <c r="N9" s="182"/>
      <c r="O9" s="182"/>
    </row>
    <row r="10" spans="1:15" ht="17.25">
      <c r="A10" s="445"/>
      <c r="B10" s="445"/>
      <c r="C10" s="445"/>
      <c r="D10" s="445"/>
      <c r="E10" s="445"/>
      <c r="F10" s="445"/>
      <c r="G10" s="445"/>
      <c r="H10" s="445"/>
      <c r="I10" s="445"/>
      <c r="J10" s="445"/>
      <c r="K10" s="445"/>
      <c r="L10" s="445"/>
      <c r="M10" s="182"/>
      <c r="N10" s="182"/>
      <c r="O10" s="182"/>
    </row>
    <row r="11" spans="1:15" ht="17.25">
      <c r="A11" s="445"/>
      <c r="B11" s="445"/>
      <c r="C11" s="445"/>
      <c r="D11" s="445"/>
      <c r="E11" s="445"/>
      <c r="F11" s="445"/>
      <c r="G11" s="445"/>
      <c r="H11" s="445"/>
      <c r="I11" s="445"/>
      <c r="J11" s="445"/>
      <c r="K11" s="445"/>
      <c r="L11" s="445"/>
      <c r="M11" s="182"/>
      <c r="N11" s="182"/>
      <c r="O11" s="182"/>
    </row>
    <row r="12" spans="8:10" ht="15" customHeight="1">
      <c r="H12" s="564"/>
      <c r="I12" s="445"/>
      <c r="J12" s="564" t="s">
        <v>419</v>
      </c>
    </row>
    <row r="13" spans="8:10" ht="15" customHeight="1">
      <c r="H13" s="564"/>
      <c r="I13" s="445"/>
      <c r="J13" s="564" t="s">
        <v>426</v>
      </c>
    </row>
    <row r="14" spans="8:10" ht="15" customHeight="1">
      <c r="H14" s="564"/>
      <c r="I14" s="445"/>
      <c r="J14" s="564" t="s">
        <v>345</v>
      </c>
    </row>
    <row r="15" spans="3:10" s="565" customFormat="1" ht="15" customHeight="1">
      <c r="C15" s="564"/>
      <c r="D15" s="566"/>
      <c r="E15" s="566"/>
      <c r="H15" s="564"/>
      <c r="I15" s="445"/>
      <c r="J15" s="564" t="s">
        <v>420</v>
      </c>
    </row>
    <row r="16" spans="2:12" s="565" customFormat="1" ht="15" customHeight="1">
      <c r="B16" s="569" t="s">
        <v>1</v>
      </c>
      <c r="C16" s="543"/>
      <c r="D16" s="569" t="s">
        <v>262</v>
      </c>
      <c r="F16" s="570" t="s">
        <v>421</v>
      </c>
      <c r="G16" s="571"/>
      <c r="H16" s="570" t="s">
        <v>422</v>
      </c>
      <c r="I16" s="571"/>
      <c r="J16" s="568" t="s">
        <v>423</v>
      </c>
      <c r="K16" s="568"/>
      <c r="L16" s="569" t="s">
        <v>424</v>
      </c>
    </row>
    <row r="17" spans="2:12" s="565" customFormat="1" ht="15">
      <c r="B17" s="585"/>
      <c r="C17" s="498"/>
      <c r="F17" s="545" t="s">
        <v>220</v>
      </c>
      <c r="G17" s="104"/>
      <c r="H17" s="545" t="s">
        <v>221</v>
      </c>
      <c r="I17" s="104"/>
      <c r="J17" s="545" t="s">
        <v>222</v>
      </c>
      <c r="K17" s="104"/>
      <c r="L17" s="574" t="s">
        <v>459</v>
      </c>
    </row>
    <row r="18" spans="2:12" s="565" customFormat="1" ht="15">
      <c r="B18" s="585"/>
      <c r="C18" s="498"/>
      <c r="F18" s="545"/>
      <c r="G18" s="104"/>
      <c r="H18" s="545"/>
      <c r="I18" s="104"/>
      <c r="J18" s="545"/>
      <c r="K18" s="104"/>
      <c r="L18" s="574"/>
    </row>
    <row r="19" spans="2:12" s="565" customFormat="1" ht="15">
      <c r="B19" s="498">
        <v>1</v>
      </c>
      <c r="C19" s="104"/>
      <c r="D19" s="778" t="s">
        <v>116</v>
      </c>
      <c r="F19" s="781">
        <f>'WP-AB'!C57</f>
        <v>277906.73</v>
      </c>
      <c r="J19" s="575"/>
      <c r="L19" s="778"/>
    </row>
    <row r="20" spans="2:12" s="565" customFormat="1" ht="15">
      <c r="B20" s="498"/>
      <c r="C20" s="104"/>
      <c r="D20" s="778"/>
      <c r="F20" s="781"/>
      <c r="G20" s="546"/>
      <c r="H20" s="546"/>
      <c r="I20" s="546"/>
      <c r="J20" s="575"/>
      <c r="K20" s="546"/>
      <c r="L20" s="778"/>
    </row>
    <row r="21" spans="2:12" s="565" customFormat="1" ht="15">
      <c r="B21" s="498">
        <v>2</v>
      </c>
      <c r="C21" s="498"/>
      <c r="D21" s="778" t="s">
        <v>117</v>
      </c>
      <c r="F21" s="781">
        <f>'WP-AB'!D57</f>
        <v>375317.05</v>
      </c>
      <c r="G21" s="546"/>
      <c r="H21" s="546"/>
      <c r="I21" s="546"/>
      <c r="J21" s="575"/>
      <c r="K21" s="546"/>
      <c r="L21" s="778"/>
    </row>
    <row r="22" spans="2:12" s="565" customFormat="1" ht="15">
      <c r="B22" s="498"/>
      <c r="C22" s="498"/>
      <c r="D22" s="778"/>
      <c r="F22" s="781"/>
      <c r="G22" s="546"/>
      <c r="H22" s="546"/>
      <c r="I22" s="546"/>
      <c r="J22" s="575"/>
      <c r="L22" s="778"/>
    </row>
    <row r="23" spans="2:12" s="565" customFormat="1" ht="15">
      <c r="B23" s="498">
        <v>3</v>
      </c>
      <c r="C23" s="498"/>
      <c r="D23" s="778" t="s">
        <v>118</v>
      </c>
      <c r="F23" s="781">
        <f>'WP-AB'!E57</f>
        <v>1128630.64</v>
      </c>
      <c r="J23" s="575"/>
      <c r="L23" s="778"/>
    </row>
    <row r="24" spans="2:12" s="565" customFormat="1" ht="15">
      <c r="B24" s="498"/>
      <c r="C24" s="498"/>
      <c r="D24" s="778"/>
      <c r="F24" s="782"/>
      <c r="J24" s="575"/>
      <c r="L24" s="778"/>
    </row>
    <row r="25" spans="2:12" s="565" customFormat="1" ht="15">
      <c r="B25" s="498">
        <v>4</v>
      </c>
      <c r="C25" s="104"/>
      <c r="D25" s="778" t="s">
        <v>120</v>
      </c>
      <c r="F25" s="783">
        <f>'WP-AB'!AG57</f>
        <v>-264775.8</v>
      </c>
      <c r="H25" s="586"/>
      <c r="J25" s="488"/>
      <c r="L25" s="778"/>
    </row>
    <row r="26" spans="2:12" s="565" customFormat="1" ht="15">
      <c r="B26" s="498"/>
      <c r="C26" s="498"/>
      <c r="F26" s="778"/>
      <c r="J26" s="488"/>
      <c r="L26" s="778"/>
    </row>
    <row r="27" spans="2:12" s="565" customFormat="1" ht="30">
      <c r="B27" s="498">
        <v>5</v>
      </c>
      <c r="C27" s="498"/>
      <c r="D27" s="566" t="s">
        <v>437</v>
      </c>
      <c r="F27" s="577">
        <f>SUM(F19:F25)</f>
        <v>1517078.6199999999</v>
      </c>
      <c r="H27" s="1403">
        <f>'E1-Labor Ratio'!H21*100</f>
        <v>27.609832339076547</v>
      </c>
      <c r="J27" s="577">
        <f>F27*(H27/100)</f>
        <v>418862.86343397613</v>
      </c>
      <c r="L27" s="1401" t="s">
        <v>1323</v>
      </c>
    </row>
    <row r="28" spans="2:12" s="565" customFormat="1" ht="15">
      <c r="B28" s="498"/>
      <c r="C28" s="498"/>
      <c r="H28" s="571"/>
      <c r="J28" s="488"/>
      <c r="L28" s="778"/>
    </row>
    <row r="29" spans="2:12" s="565" customFormat="1" ht="15">
      <c r="B29" s="498">
        <v>6</v>
      </c>
      <c r="C29" s="498"/>
      <c r="D29" s="778" t="s">
        <v>425</v>
      </c>
      <c r="F29" s="781">
        <f>'WP-AB'!Y57</f>
        <v>312330.9</v>
      </c>
      <c r="G29" s="563"/>
      <c r="H29" s="1403">
        <v>100</v>
      </c>
      <c r="J29" s="579">
        <f>F29*(H29/100)</f>
        <v>312330.9</v>
      </c>
      <c r="L29" s="778"/>
    </row>
    <row r="30" spans="2:10" s="565" customFormat="1" ht="15.75" thickBot="1">
      <c r="B30" s="498"/>
      <c r="C30" s="104"/>
      <c r="G30" s="550"/>
      <c r="H30" s="586"/>
      <c r="J30" s="488"/>
    </row>
    <row r="31" spans="2:12" ht="15.75" thickBot="1">
      <c r="B31" s="498">
        <v>7</v>
      </c>
      <c r="C31" s="27"/>
      <c r="D31" s="566" t="s">
        <v>5</v>
      </c>
      <c r="F31" s="575"/>
      <c r="J31" s="582">
        <f>SUM(J19:J29)</f>
        <v>731193.7634339761</v>
      </c>
      <c r="K31" s="565"/>
      <c r="L31" s="581"/>
    </row>
    <row r="32" spans="2:12" ht="15">
      <c r="B32" s="571"/>
      <c r="D32" s="565"/>
      <c r="E32" s="565"/>
      <c r="H32" s="586"/>
      <c r="I32" s="565"/>
      <c r="J32" s="577"/>
      <c r="K32" s="565"/>
      <c r="L32" s="565"/>
    </row>
    <row r="33" spans="2:12" ht="15">
      <c r="B33" s="571"/>
      <c r="H33" s="565"/>
      <c r="I33" s="565"/>
      <c r="J33" s="515"/>
      <c r="K33" s="580"/>
      <c r="L33" s="580"/>
    </row>
    <row r="34" spans="10:12" ht="15">
      <c r="J34" s="515"/>
      <c r="K34" s="565"/>
      <c r="L34" s="565"/>
    </row>
    <row r="35" spans="10:12" ht="15">
      <c r="J35" s="515"/>
      <c r="K35" s="565"/>
      <c r="L35" s="565"/>
    </row>
  </sheetData>
  <sheetProtection/>
  <mergeCells count="5">
    <mergeCell ref="A4:L4"/>
    <mergeCell ref="A5:L5"/>
    <mergeCell ref="A6:L6"/>
    <mergeCell ref="A8:L8"/>
    <mergeCell ref="A9:L9"/>
  </mergeCells>
  <printOptions horizontalCentered="1"/>
  <pageMargins left="0.7" right="0.7" top="0.75" bottom="0.75" header="0.3" footer="0.3"/>
  <pageSetup fitToHeight="1" fitToWidth="1" horizontalDpi="600" verticalDpi="600" orientation="landscape" scale="87" r:id="rId2"/>
  <drawing r:id="rId1"/>
</worksheet>
</file>

<file path=xl/worksheets/sheet22.xml><?xml version="1.0" encoding="utf-8"?>
<worksheet xmlns="http://schemas.openxmlformats.org/spreadsheetml/2006/main" xmlns:r="http://schemas.openxmlformats.org/officeDocument/2006/relationships">
  <sheetPr transitionEvaluation="1">
    <tabColor rgb="FF92D050"/>
    <pageSetUpPr fitToPage="1"/>
  </sheetPr>
  <dimension ref="A1:J32"/>
  <sheetViews>
    <sheetView showGridLines="0" defaultGridColor="0" view="pageBreakPreview" zoomScale="85" zoomScaleSheetLayoutView="85" zoomScalePageLayoutView="0" colorId="22" workbookViewId="0" topLeftCell="A1">
      <selection activeCell="B28" sqref="B28"/>
    </sheetView>
  </sheetViews>
  <sheetFormatPr defaultColWidth="14.625" defaultRowHeight="12.75"/>
  <cols>
    <col min="1" max="1" width="7.00390625" style="0" customWidth="1"/>
    <col min="2" max="2" width="39.75390625" style="0" bestFit="1" customWidth="1"/>
    <col min="3" max="3" width="4.875" style="0" customWidth="1"/>
    <col min="4" max="5" width="18.375" style="0" bestFit="1" customWidth="1"/>
    <col min="6" max="6" width="3.75390625" style="0" customWidth="1"/>
    <col min="7" max="7" width="15.75390625" style="0" customWidth="1"/>
    <col min="8" max="8" width="3.00390625" style="0" customWidth="1"/>
    <col min="9" max="9" width="14.25390625" style="0" bestFit="1" customWidth="1"/>
    <col min="10" max="10" width="2.75390625" style="0" customWidth="1"/>
  </cols>
  <sheetData>
    <row r="1" spans="1:10" s="8" customFormat="1" ht="15">
      <c r="A1" s="14" t="s">
        <v>1150</v>
      </c>
      <c r="C1" s="105"/>
      <c r="D1" s="4"/>
      <c r="E1" s="4"/>
      <c r="F1" s="4"/>
      <c r="G1" s="4"/>
      <c r="H1" s="4"/>
      <c r="J1" s="167"/>
    </row>
    <row r="2" spans="1:10" ht="15">
      <c r="A2" s="4"/>
      <c r="C2" s="4"/>
      <c r="D2" s="4"/>
      <c r="E2" s="4"/>
      <c r="F2" s="4"/>
      <c r="G2" s="4"/>
      <c r="H2" s="4"/>
      <c r="I2" s="4"/>
      <c r="J2" s="6"/>
    </row>
    <row r="3" spans="1:10" ht="15">
      <c r="A3" s="4"/>
      <c r="B3" s="4"/>
      <c r="C3" s="4"/>
      <c r="E3" s="4"/>
      <c r="F3" s="4"/>
      <c r="G3" s="4"/>
      <c r="H3" s="4"/>
      <c r="I3" s="4"/>
      <c r="J3" s="4"/>
    </row>
    <row r="4" ht="15">
      <c r="J4" s="4"/>
    </row>
    <row r="5" spans="1:10" ht="17.25">
      <c r="A5" s="1583" t="s">
        <v>227</v>
      </c>
      <c r="B5" s="1583"/>
      <c r="C5" s="1583"/>
      <c r="D5" s="1583"/>
      <c r="E5" s="1583"/>
      <c r="F5" s="1583"/>
      <c r="G5" s="1583"/>
      <c r="H5" s="1583"/>
      <c r="I5" s="1583"/>
      <c r="J5" s="1583"/>
    </row>
    <row r="6" spans="1:10" ht="17.25">
      <c r="A6" s="1584" t="s">
        <v>111</v>
      </c>
      <c r="B6" s="1584"/>
      <c r="C6" s="1584"/>
      <c r="D6" s="1584"/>
      <c r="E6" s="1584"/>
      <c r="F6" s="1584"/>
      <c r="G6" s="1584"/>
      <c r="H6" s="1584"/>
      <c r="I6" s="1584"/>
      <c r="J6" s="1584"/>
    </row>
    <row r="7" spans="1:10" ht="17.25">
      <c r="A7" s="1582" t="s">
        <v>1377</v>
      </c>
      <c r="B7" s="1582"/>
      <c r="C7" s="1582"/>
      <c r="D7" s="1582"/>
      <c r="E7" s="1582"/>
      <c r="F7" s="1582"/>
      <c r="G7" s="1582"/>
      <c r="H7" s="1582"/>
      <c r="I7" s="1582"/>
      <c r="J7" s="1582"/>
    </row>
    <row r="8" spans="1:10" ht="15">
      <c r="A8" s="191"/>
      <c r="B8" s="191"/>
      <c r="C8" s="191"/>
      <c r="D8" s="191"/>
      <c r="E8" s="191"/>
      <c r="F8" s="191"/>
      <c r="G8" s="191"/>
      <c r="H8" s="191"/>
      <c r="I8" s="191"/>
      <c r="J8" s="191"/>
    </row>
    <row r="9" spans="1:10" ht="15">
      <c r="A9" s="1529" t="s">
        <v>1149</v>
      </c>
      <c r="B9" s="1529"/>
      <c r="C9" s="1529"/>
      <c r="D9" s="1529"/>
      <c r="E9" s="1529"/>
      <c r="F9" s="1529"/>
      <c r="G9" s="1529"/>
      <c r="H9" s="1529"/>
      <c r="I9" s="1529"/>
      <c r="J9" s="1529"/>
    </row>
    <row r="10" spans="1:10" ht="15">
      <c r="A10" s="1527" t="s">
        <v>942</v>
      </c>
      <c r="B10" s="1527"/>
      <c r="C10" s="1527"/>
      <c r="D10" s="1527"/>
      <c r="E10" s="1527"/>
      <c r="F10" s="1527"/>
      <c r="G10" s="1527"/>
      <c r="H10" s="1527"/>
      <c r="I10" s="1527"/>
      <c r="J10" s="1527"/>
    </row>
    <row r="11" spans="1:10" ht="15">
      <c r="A11" s="1527"/>
      <c r="B11" s="1527"/>
      <c r="C11" s="1527"/>
      <c r="D11" s="1527"/>
      <c r="E11" s="1527"/>
      <c r="F11" s="1527"/>
      <c r="G11" s="1527"/>
      <c r="H11" s="1527"/>
      <c r="I11" s="1527"/>
      <c r="J11" s="1527"/>
    </row>
    <row r="12" spans="1:10" ht="15">
      <c r="A12" s="194"/>
      <c r="B12" s="194"/>
      <c r="C12" s="194"/>
      <c r="D12" s="194"/>
      <c r="E12" s="194"/>
      <c r="F12" s="194"/>
      <c r="G12" s="194"/>
      <c r="H12" s="194"/>
      <c r="I12" s="194"/>
      <c r="J12" s="194"/>
    </row>
    <row r="14" spans="6:10" ht="12.75">
      <c r="F14" s="10"/>
      <c r="J14" s="160"/>
    </row>
    <row r="15" s="160" customFormat="1" ht="12.75"/>
    <row r="16" spans="1:9" s="160" customFormat="1" ht="15">
      <c r="A16" s="4"/>
      <c r="B16" s="4"/>
      <c r="C16" s="4"/>
      <c r="D16" s="551"/>
      <c r="E16" s="551"/>
      <c r="F16" s="551"/>
      <c r="G16" s="4"/>
      <c r="H16" s="4"/>
      <c r="I16" s="4"/>
    </row>
    <row r="17" spans="6:10" s="160" customFormat="1" ht="15">
      <c r="F17" s="552"/>
      <c r="J17" s="4"/>
    </row>
    <row r="18" spans="1:9" s="160" customFormat="1" ht="15">
      <c r="A18" s="4"/>
      <c r="B18" s="4"/>
      <c r="C18" s="4"/>
      <c r="E18" s="4"/>
      <c r="F18" s="551"/>
      <c r="G18" s="4"/>
      <c r="H18" s="4"/>
      <c r="I18" s="441" t="s">
        <v>889</v>
      </c>
    </row>
    <row r="19" spans="3:10" s="160" customFormat="1" ht="15">
      <c r="C19" s="4"/>
      <c r="D19" s="777" t="s">
        <v>1381</v>
      </c>
      <c r="E19" s="777" t="s">
        <v>946</v>
      </c>
      <c r="F19" s="4"/>
      <c r="G19" s="553" t="s">
        <v>68</v>
      </c>
      <c r="H19" s="4"/>
      <c r="I19" s="553" t="s">
        <v>890</v>
      </c>
      <c r="J19" s="441"/>
    </row>
    <row r="20" spans="1:10" s="160" customFormat="1" ht="15">
      <c r="A20" s="4"/>
      <c r="B20" s="4"/>
      <c r="C20" s="4"/>
      <c r="D20" s="554" t="s">
        <v>6</v>
      </c>
      <c r="E20" s="554" t="s">
        <v>7</v>
      </c>
      <c r="F20" s="4"/>
      <c r="G20" s="554" t="s">
        <v>8</v>
      </c>
      <c r="H20" s="4"/>
      <c r="I20" s="554" t="s">
        <v>9</v>
      </c>
      <c r="J20" s="553"/>
    </row>
    <row r="21" s="160" customFormat="1" ht="15">
      <c r="J21" s="554"/>
    </row>
    <row r="22" spans="1:9" s="160" customFormat="1" ht="15">
      <c r="A22" s="554" t="s">
        <v>67</v>
      </c>
      <c r="B22" s="555" t="s">
        <v>54</v>
      </c>
      <c r="C22" s="4"/>
      <c r="D22" s="1404">
        <f>'WP-BC'!E157+'WP-BC'!E98+SUM('WP-BC'!E33:E50)-'WP-BC'!E97-'WP-BC'!E155-'WP-BC'!E156</f>
        <v>3546055152.8</v>
      </c>
      <c r="E22" s="1404">
        <f>'WP-BC'!I157+'WP-BC'!I98+SUM('WP-BC'!I33:I50)-'WP-BC'!I97-'WP-BC'!I155-'WP-BC'!I156</f>
        <v>3502393917.3</v>
      </c>
      <c r="F22" s="1405"/>
      <c r="G22" s="1406">
        <f>(E22+D22)/2</f>
        <v>3524224535.05</v>
      </c>
      <c r="H22" s="4"/>
      <c r="I22" s="557">
        <f>G22/G26</f>
        <v>0.8488783045161504</v>
      </c>
    </row>
    <row r="23" spans="1:10" s="160" customFormat="1" ht="15.75" thickBot="1">
      <c r="A23" s="558"/>
      <c r="B23" s="558"/>
      <c r="D23" s="1407"/>
      <c r="E23" s="1407"/>
      <c r="F23" s="1408"/>
      <c r="G23" s="1409"/>
      <c r="I23" s="559"/>
      <c r="J23" s="560"/>
    </row>
    <row r="24" spans="1:10" s="160" customFormat="1" ht="15.75" thickBot="1">
      <c r="A24" s="554" t="s">
        <v>70</v>
      </c>
      <c r="B24" s="555" t="s">
        <v>752</v>
      </c>
      <c r="C24" s="4"/>
      <c r="D24" s="1410">
        <f>'WP-BC'!E162+'WP-BC'!E173+'WP-BC'!E177+'WP-BC'!E186+'WP-BC'!E187+'WP-BC'!E193+'WP-BC'!E199</f>
        <v>635868170.04</v>
      </c>
      <c r="E24" s="1410">
        <f>'WP-BC'!I162+'WP-BC'!I173+'WP-BC'!I177+'WP-BC'!I186+'WP-BC'!I187+'WP-BC'!I193+'WP-BC'!I199</f>
        <v>618933099.28</v>
      </c>
      <c r="F24" s="1405"/>
      <c r="G24" s="1411">
        <f>(E24+D24)/2</f>
        <v>627400634.66</v>
      </c>
      <c r="H24" s="4"/>
      <c r="I24" s="1386">
        <f>G24/G26</f>
        <v>0.15112169548384957</v>
      </c>
      <c r="J24" s="561"/>
    </row>
    <row r="25" spans="1:10" s="160" customFormat="1" ht="15">
      <c r="A25" s="558"/>
      <c r="D25" s="1412"/>
      <c r="E25" s="1412"/>
      <c r="F25" s="1412"/>
      <c r="G25" s="1413"/>
      <c r="J25" s="560"/>
    </row>
    <row r="26" spans="1:10" s="160" customFormat="1" ht="15">
      <c r="A26" s="4"/>
      <c r="B26" s="5" t="s">
        <v>33</v>
      </c>
      <c r="C26" s="4"/>
      <c r="D26" s="1414">
        <f>SUM(D22:D25)</f>
        <v>4181923322.84</v>
      </c>
      <c r="E26" s="1414">
        <f>SUM(E22:E25)</f>
        <v>4121327016.58</v>
      </c>
      <c r="F26" s="1415"/>
      <c r="G26" s="1414">
        <f>SUM(G22:G25)</f>
        <v>4151625169.71</v>
      </c>
      <c r="H26" s="4"/>
      <c r="I26" s="557">
        <f>G26/G26</f>
        <v>1</v>
      </c>
      <c r="J26" s="559"/>
    </row>
    <row r="27" spans="4:10" s="160" customFormat="1" ht="15">
      <c r="D27" s="556"/>
      <c r="E27" s="556"/>
      <c r="F27" s="556"/>
      <c r="G27" s="562"/>
      <c r="H27" s="556"/>
      <c r="I27" s="556"/>
      <c r="J27" s="556"/>
    </row>
    <row r="28" spans="1:10" s="137" customFormat="1" ht="13.5">
      <c r="A28"/>
      <c r="B28"/>
      <c r="C28"/>
      <c r="D28"/>
      <c r="E28"/>
      <c r="F28"/>
      <c r="G28"/>
      <c r="H28"/>
      <c r="I28"/>
      <c r="J28" s="160"/>
    </row>
    <row r="29" ht="12.75">
      <c r="J29" s="160"/>
    </row>
    <row r="30" ht="12.75">
      <c r="J30" s="160"/>
    </row>
    <row r="31" ht="12.75">
      <c r="J31" s="160"/>
    </row>
    <row r="32" ht="12.75">
      <c r="J32" s="160"/>
    </row>
  </sheetData>
  <sheetProtection/>
  <mergeCells count="6">
    <mergeCell ref="A11:J11"/>
    <mergeCell ref="A7:J7"/>
    <mergeCell ref="A9:J9"/>
    <mergeCell ref="A5:J5"/>
    <mergeCell ref="A6:J6"/>
    <mergeCell ref="A10:J10"/>
  </mergeCells>
  <printOptions horizontalCentered="1"/>
  <pageMargins left="0.5" right="0.25" top="0.25" bottom="0.25" header="0.5" footer="0.5"/>
  <pageSetup fitToHeight="1" fitToWidth="1" horizontalDpi="600" verticalDpi="600" orientation="landscape" r:id="rId2"/>
  <colBreaks count="1" manualBreakCount="1">
    <brk id="12" max="65535" man="1"/>
  </colBreaks>
  <drawing r:id="rId1"/>
</worksheet>
</file>

<file path=xl/worksheets/sheet23.xml><?xml version="1.0" encoding="utf-8"?>
<worksheet xmlns="http://schemas.openxmlformats.org/spreadsheetml/2006/main" xmlns:r="http://schemas.openxmlformats.org/officeDocument/2006/relationships">
  <sheetPr transitionEvaluation="1">
    <tabColor rgb="FF0070C0"/>
  </sheetPr>
  <dimension ref="A1:M190"/>
  <sheetViews>
    <sheetView showGridLines="0" defaultGridColor="0" view="pageBreakPreview" zoomScale="59" zoomScaleNormal="85" zoomScaleSheetLayoutView="59" zoomScalePageLayoutView="0" colorId="22" workbookViewId="0" topLeftCell="A1">
      <pane xSplit="5" ySplit="13" topLeftCell="F14" activePane="bottomRight" state="frozen"/>
      <selection pane="topLeft" activeCell="B28" sqref="B28"/>
      <selection pane="topRight" activeCell="B28" sqref="B28"/>
      <selection pane="bottomLeft" activeCell="B28" sqref="B28"/>
      <selection pane="bottomRight" activeCell="B28" sqref="B28"/>
    </sheetView>
  </sheetViews>
  <sheetFormatPr defaultColWidth="13.625" defaultRowHeight="12.75"/>
  <cols>
    <col min="1" max="1" width="2.625" style="13" customWidth="1"/>
    <col min="2" max="2" width="2.75390625" style="13" customWidth="1"/>
    <col min="3" max="3" width="21.75390625" style="107" customWidth="1"/>
    <col min="4" max="4" width="2.375" style="13" customWidth="1"/>
    <col min="5" max="5" width="0.875" style="13" customWidth="1"/>
    <col min="6" max="6" width="18.50390625" style="13" customWidth="1"/>
    <col min="7" max="7" width="2.75390625" style="13" customWidth="1"/>
    <col min="8" max="8" width="42.50390625" style="13" customWidth="1"/>
    <col min="9" max="9" width="2.50390625" style="13" customWidth="1"/>
    <col min="10" max="10" width="14.75390625" style="195" bestFit="1" customWidth="1"/>
    <col min="11" max="11" width="1.12109375" style="13" customWidth="1"/>
    <col min="12" max="12" width="5.625" style="13" hidden="1" customWidth="1"/>
    <col min="13" max="13" width="5.625" style="13" customWidth="1"/>
    <col min="14" max="16384" width="13.625" style="13" customWidth="1"/>
  </cols>
  <sheetData>
    <row r="1" spans="1:13" s="17" customFormat="1" ht="15">
      <c r="A1" s="70" t="s">
        <v>1151</v>
      </c>
      <c r="B1" s="85"/>
      <c r="C1" s="197"/>
      <c r="D1" s="85"/>
      <c r="E1" s="85"/>
      <c r="F1" s="85"/>
      <c r="G1" s="85"/>
      <c r="H1" s="85"/>
      <c r="I1" s="85"/>
      <c r="J1" s="209"/>
      <c r="K1" s="85"/>
      <c r="L1" s="85"/>
      <c r="M1" s="168"/>
    </row>
    <row r="2" spans="3:13" ht="17.25">
      <c r="C2" s="198"/>
      <c r="D2" s="11"/>
      <c r="F2" s="11"/>
      <c r="G2" s="11"/>
      <c r="H2" s="11"/>
      <c r="I2" s="11"/>
      <c r="J2" s="210"/>
      <c r="K2" s="11"/>
      <c r="L2" s="11"/>
      <c r="M2" s="11"/>
    </row>
    <row r="3" spans="1:13" ht="17.25">
      <c r="A3" s="1533" t="s">
        <v>227</v>
      </c>
      <c r="B3" s="1533"/>
      <c r="C3" s="1533"/>
      <c r="D3" s="1533"/>
      <c r="E3" s="1533"/>
      <c r="F3" s="1533"/>
      <c r="G3" s="1533"/>
      <c r="H3" s="1533"/>
      <c r="I3" s="1533"/>
      <c r="J3" s="1533"/>
      <c r="K3" s="1533"/>
      <c r="L3" s="1533"/>
      <c r="M3" s="1533"/>
    </row>
    <row r="4" spans="1:13" ht="17.25">
      <c r="A4" s="1533" t="s">
        <v>111</v>
      </c>
      <c r="B4" s="1533"/>
      <c r="C4" s="1533"/>
      <c r="D4" s="1533"/>
      <c r="E4" s="1533"/>
      <c r="F4" s="1533"/>
      <c r="G4" s="1533"/>
      <c r="H4" s="1533"/>
      <c r="I4" s="1533"/>
      <c r="J4" s="1533"/>
      <c r="K4" s="1533"/>
      <c r="L4" s="1533"/>
      <c r="M4" s="1533"/>
    </row>
    <row r="5" spans="1:13" ht="17.25">
      <c r="A5" s="1582" t="s">
        <v>1377</v>
      </c>
      <c r="B5" s="1582"/>
      <c r="C5" s="1582"/>
      <c r="D5" s="1582"/>
      <c r="E5" s="1582"/>
      <c r="F5" s="1582"/>
      <c r="G5" s="1582"/>
      <c r="H5" s="1582"/>
      <c r="I5" s="1582"/>
      <c r="J5" s="1582"/>
      <c r="K5" s="1582"/>
      <c r="L5" s="1582"/>
      <c r="M5" s="1582"/>
    </row>
    <row r="6" spans="1:13" ht="17.25">
      <c r="A6" s="65"/>
      <c r="C6" s="199"/>
      <c r="D6" s="11"/>
      <c r="E6" s="11"/>
      <c r="F6" s="11"/>
      <c r="G6" s="11"/>
      <c r="H6" s="11"/>
      <c r="I6" s="11"/>
      <c r="J6" s="210"/>
      <c r="K6" s="11"/>
      <c r="L6" s="11"/>
      <c r="M6" s="11"/>
    </row>
    <row r="7" spans="1:13" ht="17.25">
      <c r="A7" s="1533" t="s">
        <v>1152</v>
      </c>
      <c r="B7" s="1533"/>
      <c r="C7" s="1533"/>
      <c r="D7" s="1533"/>
      <c r="E7" s="1533"/>
      <c r="F7" s="1533"/>
      <c r="G7" s="1533"/>
      <c r="H7" s="1533"/>
      <c r="I7" s="1533"/>
      <c r="J7" s="1533"/>
      <c r="K7" s="1533"/>
      <c r="L7" s="1533"/>
      <c r="M7" s="1533"/>
    </row>
    <row r="8" spans="1:13" ht="17.25">
      <c r="A8" s="1533" t="s">
        <v>319</v>
      </c>
      <c r="B8" s="1533"/>
      <c r="C8" s="1533"/>
      <c r="D8" s="1533"/>
      <c r="E8" s="1533"/>
      <c r="F8" s="1533"/>
      <c r="G8" s="1533"/>
      <c r="H8" s="1533"/>
      <c r="I8" s="1533"/>
      <c r="J8" s="1533"/>
      <c r="K8" s="1533"/>
      <c r="L8" s="1533"/>
      <c r="M8" s="1533"/>
    </row>
    <row r="9" spans="1:13" ht="17.25">
      <c r="A9" s="814"/>
      <c r="B9" s="814"/>
      <c r="C9" s="200"/>
      <c r="D9" s="814"/>
      <c r="E9" s="814"/>
      <c r="F9" s="814"/>
      <c r="G9" s="814"/>
      <c r="H9" s="814"/>
      <c r="I9" s="814"/>
      <c r="J9" s="211"/>
      <c r="K9" s="814"/>
      <c r="L9" s="814"/>
      <c r="M9" s="814"/>
    </row>
    <row r="10" spans="1:13" s="86" customFormat="1" ht="15">
      <c r="A10" s="1585" t="s">
        <v>1380</v>
      </c>
      <c r="B10" s="1585"/>
      <c r="C10" s="1585"/>
      <c r="D10" s="1585"/>
      <c r="E10" s="1585"/>
      <c r="F10" s="1585"/>
      <c r="G10" s="1585"/>
      <c r="H10" s="1585"/>
      <c r="I10" s="1585"/>
      <c r="J10" s="1585"/>
      <c r="K10" s="1585"/>
      <c r="L10" s="1585"/>
      <c r="M10" s="1585"/>
    </row>
    <row r="11" spans="3:11" s="87" customFormat="1" ht="15">
      <c r="C11" s="201"/>
      <c r="E11" s="88"/>
      <c r="F11" s="88"/>
      <c r="G11" s="88"/>
      <c r="H11" s="88"/>
      <c r="I11" s="88"/>
      <c r="J11" s="212"/>
      <c r="K11" s="88"/>
    </row>
    <row r="12" spans="3:12" s="87" customFormat="1" ht="15">
      <c r="C12" s="201"/>
      <c r="E12" s="88"/>
      <c r="F12" s="369" t="s">
        <v>261</v>
      </c>
      <c r="G12" s="88"/>
      <c r="H12" s="88"/>
      <c r="I12" s="88"/>
      <c r="J12" s="213"/>
      <c r="K12" s="88"/>
      <c r="L12" s="97"/>
    </row>
    <row r="13" spans="3:12" s="87" customFormat="1" ht="15">
      <c r="C13" s="202" t="s">
        <v>262</v>
      </c>
      <c r="D13" s="100"/>
      <c r="E13" s="88"/>
      <c r="F13" s="370" t="s">
        <v>259</v>
      </c>
      <c r="G13" s="101"/>
      <c r="H13" s="98" t="s">
        <v>260</v>
      </c>
      <c r="I13" s="88"/>
      <c r="J13" s="214" t="s">
        <v>342</v>
      </c>
      <c r="K13" s="88"/>
      <c r="L13" s="99"/>
    </row>
    <row r="14" spans="3:10" s="86" customFormat="1" ht="13.5">
      <c r="C14" s="203"/>
      <c r="F14" s="156"/>
      <c r="J14" s="215"/>
    </row>
    <row r="15" spans="2:10" s="845" customFormat="1" ht="15">
      <c r="B15" s="843" t="s">
        <v>320</v>
      </c>
      <c r="C15" s="844"/>
      <c r="F15" s="846"/>
      <c r="J15" s="847"/>
    </row>
    <row r="16" spans="3:12" s="845" customFormat="1" ht="12.75">
      <c r="C16" s="848" t="s">
        <v>186</v>
      </c>
      <c r="D16" s="849"/>
      <c r="E16" s="849"/>
      <c r="F16" s="850">
        <v>390</v>
      </c>
      <c r="G16" s="850"/>
      <c r="H16" s="851" t="s">
        <v>73</v>
      </c>
      <c r="I16" s="852"/>
      <c r="J16" s="853">
        <f>'WP-BC'!$H$236</f>
        <v>432007.46</v>
      </c>
      <c r="K16" s="854"/>
      <c r="L16" s="845" t="s">
        <v>258</v>
      </c>
    </row>
    <row r="17" spans="3:12" s="845" customFormat="1" ht="12.75">
      <c r="C17" s="848" t="s">
        <v>31</v>
      </c>
      <c r="D17" s="849"/>
      <c r="E17" s="849"/>
      <c r="F17" s="850">
        <v>390</v>
      </c>
      <c r="G17" s="850"/>
      <c r="H17" s="851" t="s">
        <v>73</v>
      </c>
      <c r="I17" s="852"/>
      <c r="J17" s="853">
        <f>'WP-BC'!$H$246</f>
        <v>2118744</v>
      </c>
      <c r="K17" s="854"/>
      <c r="L17" s="845" t="s">
        <v>258</v>
      </c>
    </row>
    <row r="18" spans="3:12" s="845" customFormat="1" ht="12.75">
      <c r="C18" s="848" t="s">
        <v>30</v>
      </c>
      <c r="D18" s="849"/>
      <c r="E18" s="849"/>
      <c r="F18" s="850">
        <v>390</v>
      </c>
      <c r="G18" s="850"/>
      <c r="H18" s="851" t="s">
        <v>73</v>
      </c>
      <c r="I18" s="852"/>
      <c r="J18" s="853">
        <f>'WP-BC'!$H$254</f>
        <v>0</v>
      </c>
      <c r="K18" s="854"/>
      <c r="L18" s="845" t="s">
        <v>258</v>
      </c>
    </row>
    <row r="19" spans="3:12" s="845" customFormat="1" ht="12.75">
      <c r="C19" s="848" t="s">
        <v>191</v>
      </c>
      <c r="D19" s="849"/>
      <c r="E19" s="849"/>
      <c r="F19" s="850">
        <v>390</v>
      </c>
      <c r="G19" s="850"/>
      <c r="H19" s="851" t="s">
        <v>73</v>
      </c>
      <c r="I19" s="852"/>
      <c r="J19" s="853">
        <f>'WP-BC'!$H$257</f>
        <v>207384.23</v>
      </c>
      <c r="K19" s="854"/>
      <c r="L19" s="845" t="s">
        <v>258</v>
      </c>
    </row>
    <row r="20" spans="3:12" s="845" customFormat="1" ht="12.75">
      <c r="C20" s="848" t="s">
        <v>29</v>
      </c>
      <c r="D20" s="849"/>
      <c r="E20" s="849"/>
      <c r="F20" s="850">
        <v>390</v>
      </c>
      <c r="G20" s="850"/>
      <c r="H20" s="851" t="s">
        <v>73</v>
      </c>
      <c r="I20" s="852"/>
      <c r="J20" s="853">
        <f>'WP-BC'!$H$266</f>
        <v>885930.52</v>
      </c>
      <c r="K20" s="854"/>
      <c r="L20" s="845" t="s">
        <v>258</v>
      </c>
    </row>
    <row r="21" spans="3:12" s="845" customFormat="1" ht="12.75">
      <c r="C21" s="848" t="s">
        <v>184</v>
      </c>
      <c r="D21" s="849"/>
      <c r="E21" s="849"/>
      <c r="F21" s="850">
        <v>390</v>
      </c>
      <c r="G21" s="850"/>
      <c r="H21" s="851" t="s">
        <v>73</v>
      </c>
      <c r="I21" s="852"/>
      <c r="J21" s="855">
        <f>'WP-BC'!$H$276</f>
        <v>632194.32</v>
      </c>
      <c r="K21" s="854"/>
      <c r="L21" s="845" t="s">
        <v>258</v>
      </c>
    </row>
    <row r="22" spans="3:11" s="845" customFormat="1" ht="12.75">
      <c r="C22" s="856"/>
      <c r="D22" s="849"/>
      <c r="E22" s="857"/>
      <c r="F22" s="850">
        <v>390</v>
      </c>
      <c r="G22" s="858" t="s">
        <v>323</v>
      </c>
      <c r="H22" s="852"/>
      <c r="I22" s="852"/>
      <c r="J22" s="859">
        <f>SUM(J16:J21)</f>
        <v>4276260.53</v>
      </c>
      <c r="K22" s="854"/>
    </row>
    <row r="23" spans="3:11" s="845" customFormat="1" ht="12.75">
      <c r="C23" s="856"/>
      <c r="D23" s="849"/>
      <c r="E23" s="857"/>
      <c r="F23" s="850"/>
      <c r="G23" s="852"/>
      <c r="H23" s="852"/>
      <c r="I23" s="852"/>
      <c r="J23" s="860"/>
      <c r="K23" s="854"/>
    </row>
    <row r="24" spans="3:12" s="845" customFormat="1" ht="12.75">
      <c r="C24" s="848" t="s">
        <v>186</v>
      </c>
      <c r="D24" s="849"/>
      <c r="E24" s="849"/>
      <c r="F24" s="850">
        <v>391</v>
      </c>
      <c r="G24" s="850"/>
      <c r="H24" s="851" t="s">
        <v>84</v>
      </c>
      <c r="I24" s="852"/>
      <c r="J24" s="853">
        <f>'WP-BC'!$H$237</f>
        <v>75822.57</v>
      </c>
      <c r="K24" s="854"/>
      <c r="L24" s="845" t="s">
        <v>258</v>
      </c>
    </row>
    <row r="25" spans="3:12" s="845" customFormat="1" ht="12.75">
      <c r="C25" s="848" t="s">
        <v>31</v>
      </c>
      <c r="D25" s="849"/>
      <c r="E25" s="849"/>
      <c r="F25" s="850">
        <v>391</v>
      </c>
      <c r="G25" s="850"/>
      <c r="H25" s="851" t="s">
        <v>84</v>
      </c>
      <c r="I25" s="852"/>
      <c r="J25" s="853">
        <f>'WP-BC'!$H$247</f>
        <v>13683654.61</v>
      </c>
      <c r="K25" s="854"/>
      <c r="L25" s="845" t="s">
        <v>258</v>
      </c>
    </row>
    <row r="26" spans="3:12" s="845" customFormat="1" ht="12.75">
      <c r="C26" s="848" t="s">
        <v>191</v>
      </c>
      <c r="D26" s="849"/>
      <c r="E26" s="849"/>
      <c r="F26" s="850">
        <v>391</v>
      </c>
      <c r="G26" s="850"/>
      <c r="H26" s="851" t="s">
        <v>84</v>
      </c>
      <c r="I26" s="852"/>
      <c r="J26" s="853">
        <f>'WP-BC'!$H$258</f>
        <v>338756.19</v>
      </c>
      <c r="K26" s="854"/>
      <c r="L26" s="845" t="s">
        <v>258</v>
      </c>
    </row>
    <row r="27" spans="3:12" s="845" customFormat="1" ht="12.75">
      <c r="C27" s="848" t="s">
        <v>29</v>
      </c>
      <c r="D27" s="849"/>
      <c r="E27" s="849"/>
      <c r="F27" s="850">
        <v>391</v>
      </c>
      <c r="G27" s="850"/>
      <c r="H27" s="851" t="s">
        <v>84</v>
      </c>
      <c r="I27" s="852"/>
      <c r="J27" s="853">
        <f>'WP-BC'!$H$267</f>
        <v>99991.36</v>
      </c>
      <c r="K27" s="854"/>
      <c r="L27" s="845" t="s">
        <v>258</v>
      </c>
    </row>
    <row r="28" spans="3:12" s="845" customFormat="1" ht="12.75">
      <c r="C28" s="848" t="s">
        <v>184</v>
      </c>
      <c r="D28" s="849"/>
      <c r="E28" s="849"/>
      <c r="F28" s="850">
        <v>391</v>
      </c>
      <c r="G28" s="850"/>
      <c r="H28" s="851" t="s">
        <v>84</v>
      </c>
      <c r="I28" s="852"/>
      <c r="J28" s="855">
        <f>'WP-BC'!$H$277</f>
        <v>1403797.35</v>
      </c>
      <c r="K28" s="854"/>
      <c r="L28" s="845" t="s">
        <v>258</v>
      </c>
    </row>
    <row r="29" spans="3:11" s="845" customFormat="1" ht="12.75">
      <c r="C29" s="856"/>
      <c r="D29" s="849"/>
      <c r="E29" s="857"/>
      <c r="F29" s="850">
        <v>391</v>
      </c>
      <c r="G29" s="858" t="s">
        <v>324</v>
      </c>
      <c r="H29" s="852"/>
      <c r="I29" s="852"/>
      <c r="J29" s="859">
        <f>SUM(J24:J28)</f>
        <v>15602022.079999998</v>
      </c>
      <c r="K29" s="854"/>
    </row>
    <row r="30" spans="3:11" s="845" customFormat="1" ht="12.75">
      <c r="C30" s="856"/>
      <c r="D30" s="849"/>
      <c r="E30" s="857"/>
      <c r="F30" s="850"/>
      <c r="G30" s="852"/>
      <c r="H30" s="852"/>
      <c r="I30" s="852"/>
      <c r="J30" s="860"/>
      <c r="K30" s="854"/>
    </row>
    <row r="31" spans="3:12" s="845" customFormat="1" ht="12.75">
      <c r="C31" s="848" t="s">
        <v>186</v>
      </c>
      <c r="D31" s="849"/>
      <c r="E31" s="849"/>
      <c r="F31" s="850">
        <v>392</v>
      </c>
      <c r="G31" s="850"/>
      <c r="H31" s="851" t="s">
        <v>85</v>
      </c>
      <c r="I31" s="852"/>
      <c r="J31" s="853">
        <f>'WP-BC'!$H$238</f>
        <v>483375.11</v>
      </c>
      <c r="K31" s="854"/>
      <c r="L31" s="845" t="s">
        <v>258</v>
      </c>
    </row>
    <row r="32" spans="3:12" s="845" customFormat="1" ht="12.75">
      <c r="C32" s="848" t="s">
        <v>31</v>
      </c>
      <c r="D32" s="849"/>
      <c r="E32" s="849"/>
      <c r="F32" s="850">
        <v>392</v>
      </c>
      <c r="G32" s="850"/>
      <c r="H32" s="851" t="s">
        <v>85</v>
      </c>
      <c r="I32" s="852"/>
      <c r="J32" s="853">
        <f>'WP-BC'!$H$248</f>
        <v>902082.28</v>
      </c>
      <c r="K32" s="854"/>
      <c r="L32" s="845" t="s">
        <v>258</v>
      </c>
    </row>
    <row r="33" spans="3:12" s="845" customFormat="1" ht="12.75">
      <c r="C33" s="848" t="s">
        <v>191</v>
      </c>
      <c r="D33" s="849"/>
      <c r="E33" s="849"/>
      <c r="F33" s="850">
        <v>392</v>
      </c>
      <c r="G33" s="850"/>
      <c r="H33" s="851" t="s">
        <v>85</v>
      </c>
      <c r="I33" s="852"/>
      <c r="J33" s="853">
        <f>'WP-BC'!$H$259</f>
        <v>640161.82</v>
      </c>
      <c r="K33" s="854"/>
      <c r="L33" s="845" t="s">
        <v>258</v>
      </c>
    </row>
    <row r="34" spans="3:12" s="845" customFormat="1" ht="12.75">
      <c r="C34" s="848" t="s">
        <v>29</v>
      </c>
      <c r="D34" s="849"/>
      <c r="E34" s="849"/>
      <c r="F34" s="850">
        <v>392</v>
      </c>
      <c r="G34" s="850"/>
      <c r="H34" s="851" t="s">
        <v>85</v>
      </c>
      <c r="I34" s="852"/>
      <c r="J34" s="853">
        <f>'WP-BC'!$H$268</f>
        <v>478980.18</v>
      </c>
      <c r="K34" s="854"/>
      <c r="L34" s="845" t="s">
        <v>258</v>
      </c>
    </row>
    <row r="35" spans="3:12" s="845" customFormat="1" ht="12.75">
      <c r="C35" s="848" t="s">
        <v>184</v>
      </c>
      <c r="D35" s="849"/>
      <c r="E35" s="849"/>
      <c r="F35" s="850">
        <v>392</v>
      </c>
      <c r="G35" s="850"/>
      <c r="H35" s="851" t="s">
        <v>85</v>
      </c>
      <c r="I35" s="852"/>
      <c r="J35" s="855">
        <f>'WP-BC'!$H$278</f>
        <v>857667.86</v>
      </c>
      <c r="K35" s="854"/>
      <c r="L35" s="845" t="s">
        <v>258</v>
      </c>
    </row>
    <row r="36" spans="3:11" s="845" customFormat="1" ht="12.75">
      <c r="C36" s="856"/>
      <c r="D36" s="849"/>
      <c r="E36" s="857"/>
      <c r="F36" s="850">
        <v>392</v>
      </c>
      <c r="G36" s="858" t="s">
        <v>325</v>
      </c>
      <c r="H36" s="852"/>
      <c r="I36" s="852"/>
      <c r="J36" s="861">
        <f>SUM(J31:J35)</f>
        <v>3362267.25</v>
      </c>
      <c r="K36" s="854"/>
    </row>
    <row r="37" spans="3:11" s="845" customFormat="1" ht="12.75">
      <c r="C37" s="856"/>
      <c r="D37" s="849"/>
      <c r="E37" s="857"/>
      <c r="F37" s="850"/>
      <c r="G37" s="852"/>
      <c r="H37" s="852"/>
      <c r="I37" s="852"/>
      <c r="J37" s="860"/>
      <c r="K37" s="854"/>
    </row>
    <row r="38" spans="3:12" s="845" customFormat="1" ht="12.75">
      <c r="C38" s="848" t="s">
        <v>186</v>
      </c>
      <c r="D38" s="849"/>
      <c r="E38" s="849"/>
      <c r="F38" s="850">
        <v>393</v>
      </c>
      <c r="G38" s="850"/>
      <c r="H38" s="851" t="s">
        <v>86</v>
      </c>
      <c r="I38" s="852"/>
      <c r="J38" s="853">
        <f>'WP-BC'!$H$239</f>
        <v>13412</v>
      </c>
      <c r="K38" s="854"/>
      <c r="L38" s="845" t="s">
        <v>258</v>
      </c>
    </row>
    <row r="39" spans="3:12" s="845" customFormat="1" ht="12.75">
      <c r="C39" s="848" t="s">
        <v>191</v>
      </c>
      <c r="D39" s="849"/>
      <c r="E39" s="849"/>
      <c r="F39" s="850">
        <v>393</v>
      </c>
      <c r="G39" s="850"/>
      <c r="H39" s="851" t="s">
        <v>86</v>
      </c>
      <c r="I39" s="852"/>
      <c r="J39" s="853">
        <f>'WP-BC'!$H$260</f>
        <v>4220</v>
      </c>
      <c r="K39" s="854"/>
      <c r="L39" s="845" t="s">
        <v>258</v>
      </c>
    </row>
    <row r="40" spans="3:12" s="845" customFormat="1" ht="12.75">
      <c r="C40" s="848" t="s">
        <v>29</v>
      </c>
      <c r="D40" s="849"/>
      <c r="E40" s="849"/>
      <c r="F40" s="850">
        <v>393</v>
      </c>
      <c r="G40" s="850"/>
      <c r="H40" s="851" t="s">
        <v>86</v>
      </c>
      <c r="I40" s="852"/>
      <c r="J40" s="853">
        <f>'WP-BC'!$H$269</f>
        <v>2195</v>
      </c>
      <c r="K40" s="854"/>
      <c r="L40" s="845" t="s">
        <v>258</v>
      </c>
    </row>
    <row r="41" spans="3:12" s="845" customFormat="1" ht="12.75">
      <c r="C41" s="848" t="s">
        <v>184</v>
      </c>
      <c r="D41" s="849"/>
      <c r="E41" s="849"/>
      <c r="F41" s="850">
        <v>393</v>
      </c>
      <c r="G41" s="850"/>
      <c r="H41" s="851" t="s">
        <v>86</v>
      </c>
      <c r="I41" s="852"/>
      <c r="J41" s="855">
        <f>'WP-BC'!$H$279</f>
        <v>7332</v>
      </c>
      <c r="K41" s="854"/>
      <c r="L41" s="845" t="s">
        <v>258</v>
      </c>
    </row>
    <row r="42" spans="3:11" s="845" customFormat="1" ht="12.75">
      <c r="C42" s="856"/>
      <c r="D42" s="849"/>
      <c r="E42" s="857"/>
      <c r="F42" s="850">
        <v>393</v>
      </c>
      <c r="G42" s="858" t="s">
        <v>326</v>
      </c>
      <c r="H42" s="852"/>
      <c r="I42" s="852"/>
      <c r="J42" s="861">
        <f>SUM(J38:J41)</f>
        <v>27159</v>
      </c>
      <c r="K42" s="854"/>
    </row>
    <row r="43" spans="3:11" s="845" customFormat="1" ht="12.75">
      <c r="C43" s="856"/>
      <c r="D43" s="849"/>
      <c r="E43" s="857"/>
      <c r="F43" s="850"/>
      <c r="G43" s="852"/>
      <c r="H43" s="852"/>
      <c r="I43" s="852"/>
      <c r="J43" s="860"/>
      <c r="K43" s="854"/>
    </row>
    <row r="44" spans="3:12" s="845" customFormat="1" ht="12.75">
      <c r="C44" s="848" t="s">
        <v>186</v>
      </c>
      <c r="D44" s="849"/>
      <c r="E44" s="849"/>
      <c r="F44" s="850">
        <v>394</v>
      </c>
      <c r="G44" s="850"/>
      <c r="H44" s="851" t="s">
        <v>87</v>
      </c>
      <c r="I44" s="852"/>
      <c r="J44" s="853">
        <f>'WP-BC'!$H$240</f>
        <v>63057.84</v>
      </c>
      <c r="K44" s="854"/>
      <c r="L44" s="845" t="s">
        <v>258</v>
      </c>
    </row>
    <row r="45" spans="3:12" s="845" customFormat="1" ht="12.75">
      <c r="C45" s="848" t="s">
        <v>31</v>
      </c>
      <c r="D45" s="849"/>
      <c r="E45" s="849"/>
      <c r="F45" s="850">
        <v>394</v>
      </c>
      <c r="G45" s="850"/>
      <c r="H45" s="851" t="s">
        <v>87</v>
      </c>
      <c r="I45" s="852"/>
      <c r="J45" s="853">
        <f>'WP-BC'!$H$249</f>
        <v>43664</v>
      </c>
      <c r="K45" s="854"/>
      <c r="L45" s="845" t="s">
        <v>258</v>
      </c>
    </row>
    <row r="46" spans="3:12" s="845" customFormat="1" ht="12.75">
      <c r="C46" s="848" t="s">
        <v>191</v>
      </c>
      <c r="D46" s="849"/>
      <c r="E46" s="849"/>
      <c r="F46" s="850">
        <v>394</v>
      </c>
      <c r="G46" s="850"/>
      <c r="H46" s="851" t="s">
        <v>87</v>
      </c>
      <c r="I46" s="852"/>
      <c r="J46" s="853">
        <f>'WP-BC'!$H$261</f>
        <v>11924.01</v>
      </c>
      <c r="K46" s="854"/>
      <c r="L46" s="845" t="s">
        <v>258</v>
      </c>
    </row>
    <row r="47" spans="3:12" s="845" customFormat="1" ht="12.75">
      <c r="C47" s="848" t="s">
        <v>29</v>
      </c>
      <c r="D47" s="849"/>
      <c r="E47" s="849"/>
      <c r="F47" s="850">
        <v>394</v>
      </c>
      <c r="G47" s="850"/>
      <c r="H47" s="851" t="s">
        <v>87</v>
      </c>
      <c r="I47" s="852"/>
      <c r="J47" s="853">
        <f>'WP-BC'!$H$270</f>
        <v>175631.91</v>
      </c>
      <c r="K47" s="854"/>
      <c r="L47" s="845" t="s">
        <v>258</v>
      </c>
    </row>
    <row r="48" spans="3:12" s="845" customFormat="1" ht="12.75">
      <c r="C48" s="848" t="s">
        <v>184</v>
      </c>
      <c r="D48" s="849"/>
      <c r="E48" s="849"/>
      <c r="F48" s="850">
        <v>394</v>
      </c>
      <c r="G48" s="850"/>
      <c r="H48" s="851" t="s">
        <v>87</v>
      </c>
      <c r="I48" s="852"/>
      <c r="J48" s="855">
        <f>'WP-BC'!$H$280</f>
        <v>221237.36</v>
      </c>
      <c r="K48" s="854"/>
      <c r="L48" s="845" t="s">
        <v>258</v>
      </c>
    </row>
    <row r="49" spans="3:11" s="845" customFormat="1" ht="12.75">
      <c r="C49" s="856"/>
      <c r="D49" s="849"/>
      <c r="E49" s="857"/>
      <c r="F49" s="850">
        <v>394</v>
      </c>
      <c r="G49" s="858" t="s">
        <v>327</v>
      </c>
      <c r="H49" s="852"/>
      <c r="I49" s="852"/>
      <c r="J49" s="861">
        <f>SUM(J44:J48)</f>
        <v>515515.12</v>
      </c>
      <c r="K49" s="854"/>
    </row>
    <row r="50" spans="3:11" s="845" customFormat="1" ht="12.75">
      <c r="C50" s="856"/>
      <c r="D50" s="849"/>
      <c r="E50" s="857"/>
      <c r="F50" s="850"/>
      <c r="G50" s="852"/>
      <c r="H50" s="852"/>
      <c r="I50" s="852"/>
      <c r="J50" s="860"/>
      <c r="K50" s="854"/>
    </row>
    <row r="51" spans="3:12" s="845" customFormat="1" ht="12.75">
      <c r="C51" s="848" t="s">
        <v>186</v>
      </c>
      <c r="D51" s="849"/>
      <c r="E51" s="849"/>
      <c r="F51" s="850">
        <v>395</v>
      </c>
      <c r="G51" s="850"/>
      <c r="H51" s="851" t="s">
        <v>88</v>
      </c>
      <c r="I51" s="852"/>
      <c r="J51" s="853">
        <f>'WP-BC'!$H$241</f>
        <v>11526.38</v>
      </c>
      <c r="K51" s="854"/>
      <c r="L51" s="845" t="s">
        <v>258</v>
      </c>
    </row>
    <row r="52" spans="3:12" s="845" customFormat="1" ht="12.75">
      <c r="C52" s="848" t="s">
        <v>31</v>
      </c>
      <c r="D52" s="849"/>
      <c r="E52" s="849"/>
      <c r="F52" s="850">
        <v>395</v>
      </c>
      <c r="G52" s="850"/>
      <c r="H52" s="851" t="s">
        <v>88</v>
      </c>
      <c r="I52" s="852"/>
      <c r="J52" s="853">
        <f>'WP-BC'!$H$250</f>
        <v>270672.76</v>
      </c>
      <c r="K52" s="854"/>
      <c r="L52" s="845" t="s">
        <v>258</v>
      </c>
    </row>
    <row r="53" spans="3:12" s="845" customFormat="1" ht="12.75">
      <c r="C53" s="848" t="s">
        <v>191</v>
      </c>
      <c r="D53" s="849"/>
      <c r="E53" s="849"/>
      <c r="F53" s="850">
        <v>395</v>
      </c>
      <c r="G53" s="850"/>
      <c r="H53" s="851" t="s">
        <v>88</v>
      </c>
      <c r="I53" s="852"/>
      <c r="J53" s="853">
        <f>'WP-BC'!$H$262</f>
        <v>31501.34</v>
      </c>
      <c r="K53" s="854"/>
      <c r="L53" s="845" t="s">
        <v>258</v>
      </c>
    </row>
    <row r="54" spans="3:12" s="845" customFormat="1" ht="12.75">
      <c r="C54" s="848" t="s">
        <v>29</v>
      </c>
      <c r="D54" s="849"/>
      <c r="E54" s="849"/>
      <c r="F54" s="850">
        <v>395</v>
      </c>
      <c r="G54" s="850"/>
      <c r="H54" s="851" t="s">
        <v>88</v>
      </c>
      <c r="I54" s="852"/>
      <c r="J54" s="853">
        <f>'WP-BC'!$H$271</f>
        <v>48455.9</v>
      </c>
      <c r="K54" s="854"/>
      <c r="L54" s="845" t="s">
        <v>258</v>
      </c>
    </row>
    <row r="55" spans="3:12" s="845" customFormat="1" ht="12.75">
      <c r="C55" s="848" t="s">
        <v>184</v>
      </c>
      <c r="D55" s="849"/>
      <c r="E55" s="849"/>
      <c r="F55" s="850">
        <v>395</v>
      </c>
      <c r="G55" s="850"/>
      <c r="H55" s="851" t="s">
        <v>88</v>
      </c>
      <c r="I55" s="852"/>
      <c r="J55" s="855">
        <f>'WP-BC'!$H$281</f>
        <v>67180.86</v>
      </c>
      <c r="K55" s="854"/>
      <c r="L55" s="845" t="s">
        <v>258</v>
      </c>
    </row>
    <row r="56" spans="3:11" s="845" customFormat="1" ht="12.75">
      <c r="C56" s="856"/>
      <c r="D56" s="849"/>
      <c r="E56" s="857"/>
      <c r="F56" s="850">
        <v>395</v>
      </c>
      <c r="G56" s="858" t="s">
        <v>328</v>
      </c>
      <c r="H56" s="852"/>
      <c r="I56" s="852"/>
      <c r="J56" s="861">
        <f>SUM(J51:J55)</f>
        <v>429337.24000000005</v>
      </c>
      <c r="K56" s="854"/>
    </row>
    <row r="57" spans="3:11" s="845" customFormat="1" ht="12.75">
      <c r="C57" s="856"/>
      <c r="D57" s="849"/>
      <c r="E57" s="857"/>
      <c r="F57" s="850"/>
      <c r="G57" s="852"/>
      <c r="H57" s="852"/>
      <c r="I57" s="852"/>
      <c r="J57" s="860"/>
      <c r="K57" s="854"/>
    </row>
    <row r="58" spans="3:12" s="845" customFormat="1" ht="12.75">
      <c r="C58" s="848" t="s">
        <v>186</v>
      </c>
      <c r="D58" s="849"/>
      <c r="E58" s="849"/>
      <c r="F58" s="850">
        <v>396</v>
      </c>
      <c r="G58" s="850"/>
      <c r="H58" s="851" t="s">
        <v>89</v>
      </c>
      <c r="I58" s="852"/>
      <c r="J58" s="853">
        <f>'WP-BC'!$H$242</f>
        <v>187949.36</v>
      </c>
      <c r="K58" s="854"/>
      <c r="L58" s="845" t="s">
        <v>258</v>
      </c>
    </row>
    <row r="59" spans="3:12" s="845" customFormat="1" ht="12.75">
      <c r="C59" s="848" t="s">
        <v>30</v>
      </c>
      <c r="D59" s="849"/>
      <c r="E59" s="849"/>
      <c r="F59" s="850">
        <v>396</v>
      </c>
      <c r="G59" s="850"/>
      <c r="H59" s="851" t="s">
        <v>89</v>
      </c>
      <c r="I59" s="852"/>
      <c r="J59" s="853">
        <f>'WP-BC'!$H$255</f>
        <v>0</v>
      </c>
      <c r="K59" s="854"/>
      <c r="L59" s="845" t="s">
        <v>258</v>
      </c>
    </row>
    <row r="60" spans="3:12" s="845" customFormat="1" ht="12.75">
      <c r="C60" s="848" t="s">
        <v>191</v>
      </c>
      <c r="D60" s="849"/>
      <c r="E60" s="849"/>
      <c r="F60" s="850">
        <v>396</v>
      </c>
      <c r="G60" s="850"/>
      <c r="H60" s="851" t="s">
        <v>89</v>
      </c>
      <c r="I60" s="852"/>
      <c r="J60" s="853">
        <f>'WP-BC'!$H$263</f>
        <v>263180</v>
      </c>
      <c r="K60" s="854"/>
      <c r="L60" s="845" t="s">
        <v>258</v>
      </c>
    </row>
    <row r="61" spans="3:12" s="845" customFormat="1" ht="12.75">
      <c r="C61" s="848" t="s">
        <v>29</v>
      </c>
      <c r="D61" s="849"/>
      <c r="E61" s="849"/>
      <c r="F61" s="850">
        <v>396</v>
      </c>
      <c r="G61" s="850"/>
      <c r="H61" s="851" t="s">
        <v>89</v>
      </c>
      <c r="I61" s="852"/>
      <c r="J61" s="853">
        <f>'WP-BC'!$H$272</f>
        <v>338570.8</v>
      </c>
      <c r="K61" s="854"/>
      <c r="L61" s="845" t="s">
        <v>258</v>
      </c>
    </row>
    <row r="62" spans="3:12" s="845" customFormat="1" ht="12.75">
      <c r="C62" s="848" t="s">
        <v>184</v>
      </c>
      <c r="D62" s="849"/>
      <c r="E62" s="849"/>
      <c r="F62" s="850">
        <v>396</v>
      </c>
      <c r="G62" s="850"/>
      <c r="H62" s="851" t="s">
        <v>89</v>
      </c>
      <c r="I62" s="852"/>
      <c r="J62" s="855">
        <f>'WP-BC'!$H$282</f>
        <v>402714.33</v>
      </c>
      <c r="K62" s="854"/>
      <c r="L62" s="845" t="s">
        <v>258</v>
      </c>
    </row>
    <row r="63" spans="3:11" s="845" customFormat="1" ht="12.75">
      <c r="C63" s="856"/>
      <c r="D63" s="849"/>
      <c r="E63" s="857"/>
      <c r="F63" s="850">
        <v>396</v>
      </c>
      <c r="G63" s="858" t="s">
        <v>329</v>
      </c>
      <c r="H63" s="852"/>
      <c r="I63" s="852"/>
      <c r="J63" s="861">
        <f>SUM(J58:J62)</f>
        <v>1192414.49</v>
      </c>
      <c r="K63" s="854"/>
    </row>
    <row r="64" spans="3:11" s="845" customFormat="1" ht="12.75">
      <c r="C64" s="856"/>
      <c r="D64" s="849"/>
      <c r="E64" s="857"/>
      <c r="F64" s="850"/>
      <c r="G64" s="852"/>
      <c r="H64" s="852"/>
      <c r="I64" s="852"/>
      <c r="J64" s="860"/>
      <c r="K64" s="854"/>
    </row>
    <row r="65" spans="3:12" s="845" customFormat="1" ht="12.75">
      <c r="C65" s="848" t="s">
        <v>186</v>
      </c>
      <c r="D65" s="849"/>
      <c r="E65" s="849"/>
      <c r="F65" s="850">
        <v>397</v>
      </c>
      <c r="G65" s="850"/>
      <c r="H65" s="851" t="s">
        <v>90</v>
      </c>
      <c r="I65" s="852"/>
      <c r="J65" s="853">
        <f>'WP-BC'!$H$243</f>
        <v>467</v>
      </c>
      <c r="K65" s="854"/>
      <c r="L65" s="845" t="s">
        <v>258</v>
      </c>
    </row>
    <row r="66" spans="3:12" s="845" customFormat="1" ht="12.75">
      <c r="C66" s="848" t="s">
        <v>31</v>
      </c>
      <c r="D66" s="849"/>
      <c r="E66" s="849"/>
      <c r="F66" s="850">
        <v>397</v>
      </c>
      <c r="G66" s="850"/>
      <c r="H66" s="851" t="s">
        <v>90</v>
      </c>
      <c r="I66" s="852"/>
      <c r="J66" s="853">
        <f>'WP-BC'!$H$251</f>
        <v>56718</v>
      </c>
      <c r="K66" s="854"/>
      <c r="L66" s="845" t="s">
        <v>258</v>
      </c>
    </row>
    <row r="67" spans="3:12" s="845" customFormat="1" ht="12.75">
      <c r="C67" s="848" t="s">
        <v>71</v>
      </c>
      <c r="D67" s="849"/>
      <c r="E67" s="849"/>
      <c r="F67" s="850">
        <v>397</v>
      </c>
      <c r="G67" s="850"/>
      <c r="H67" s="851" t="s">
        <v>90</v>
      </c>
      <c r="I67" s="852"/>
      <c r="J67" s="853">
        <f>'WP-BC'!$H$253</f>
        <v>0</v>
      </c>
      <c r="K67" s="854"/>
      <c r="L67" s="845" t="s">
        <v>258</v>
      </c>
    </row>
    <row r="68" spans="3:12" s="845" customFormat="1" ht="12.75">
      <c r="C68" s="848" t="s">
        <v>30</v>
      </c>
      <c r="D68" s="849"/>
      <c r="E68" s="849"/>
      <c r="F68" s="850">
        <v>397</v>
      </c>
      <c r="G68" s="850"/>
      <c r="H68" s="851" t="s">
        <v>90</v>
      </c>
      <c r="I68" s="852"/>
      <c r="J68" s="853">
        <f>'WP-BC'!$H$256</f>
        <v>0</v>
      </c>
      <c r="K68" s="854"/>
      <c r="L68" s="845" t="s">
        <v>258</v>
      </c>
    </row>
    <row r="69" spans="3:12" s="845" customFormat="1" ht="12.75">
      <c r="C69" s="848" t="s">
        <v>191</v>
      </c>
      <c r="D69" s="849"/>
      <c r="E69" s="849"/>
      <c r="F69" s="850">
        <v>397</v>
      </c>
      <c r="G69" s="850"/>
      <c r="H69" s="851" t="s">
        <v>90</v>
      </c>
      <c r="I69" s="852"/>
      <c r="J69" s="853">
        <f>'WP-BC'!$H$264</f>
        <v>12316</v>
      </c>
      <c r="K69" s="854"/>
      <c r="L69" s="845" t="s">
        <v>258</v>
      </c>
    </row>
    <row r="70" spans="3:12" s="845" customFormat="1" ht="12.75">
      <c r="C70" s="848" t="s">
        <v>29</v>
      </c>
      <c r="D70" s="849"/>
      <c r="E70" s="849"/>
      <c r="F70" s="850">
        <v>397</v>
      </c>
      <c r="G70" s="850"/>
      <c r="H70" s="851" t="s">
        <v>90</v>
      </c>
      <c r="I70" s="852"/>
      <c r="J70" s="853">
        <f>'WP-BC'!$H$273</f>
        <v>91688</v>
      </c>
      <c r="K70" s="854"/>
      <c r="L70" s="845" t="s">
        <v>258</v>
      </c>
    </row>
    <row r="71" spans="3:12" s="845" customFormat="1" ht="12.75">
      <c r="C71" s="848" t="s">
        <v>184</v>
      </c>
      <c r="D71" s="849"/>
      <c r="E71" s="849"/>
      <c r="F71" s="850">
        <v>397</v>
      </c>
      <c r="G71" s="850"/>
      <c r="H71" s="851" t="s">
        <v>90</v>
      </c>
      <c r="I71" s="852"/>
      <c r="J71" s="855">
        <f>'WP-BC'!$H$283</f>
        <v>273668</v>
      </c>
      <c r="K71" s="854"/>
      <c r="L71" s="845" t="s">
        <v>258</v>
      </c>
    </row>
    <row r="72" spans="3:11" s="845" customFormat="1" ht="12.75">
      <c r="C72" s="856"/>
      <c r="D72" s="849"/>
      <c r="E72" s="857"/>
      <c r="F72" s="850">
        <v>397</v>
      </c>
      <c r="G72" s="858" t="s">
        <v>330</v>
      </c>
      <c r="H72" s="852"/>
      <c r="I72" s="852"/>
      <c r="J72" s="861">
        <f>SUM(J65:J71)</f>
        <v>434857</v>
      </c>
      <c r="K72" s="854"/>
    </row>
    <row r="73" spans="3:11" s="845" customFormat="1" ht="12.75">
      <c r="C73" s="856"/>
      <c r="D73" s="849"/>
      <c r="E73" s="857"/>
      <c r="F73" s="850"/>
      <c r="G73" s="852"/>
      <c r="H73" s="852"/>
      <c r="I73" s="852"/>
      <c r="J73" s="860"/>
      <c r="K73" s="854"/>
    </row>
    <row r="74" spans="3:12" s="845" customFormat="1" ht="12.75">
      <c r="C74" s="848" t="s">
        <v>186</v>
      </c>
      <c r="D74" s="849"/>
      <c r="E74" s="849"/>
      <c r="F74" s="850">
        <v>398</v>
      </c>
      <c r="G74" s="850"/>
      <c r="H74" s="851" t="s">
        <v>91</v>
      </c>
      <c r="I74" s="852"/>
      <c r="J74" s="853">
        <f>'WP-BC'!$H$244</f>
        <v>97547.28</v>
      </c>
      <c r="K74" s="854"/>
      <c r="L74" s="845" t="s">
        <v>258</v>
      </c>
    </row>
    <row r="75" spans="3:12" s="845" customFormat="1" ht="12.75">
      <c r="C75" s="848" t="s">
        <v>31</v>
      </c>
      <c r="D75" s="849"/>
      <c r="E75" s="849"/>
      <c r="F75" s="850">
        <v>398</v>
      </c>
      <c r="G75" s="850"/>
      <c r="H75" s="851" t="s">
        <v>91</v>
      </c>
      <c r="I75" s="852"/>
      <c r="J75" s="853">
        <f>'WP-BC'!$H$252</f>
        <v>538555.92</v>
      </c>
      <c r="K75" s="854"/>
      <c r="L75" s="845" t="s">
        <v>258</v>
      </c>
    </row>
    <row r="76" spans="3:12" s="845" customFormat="1" ht="12.75">
      <c r="C76" s="848" t="s">
        <v>191</v>
      </c>
      <c r="D76" s="849"/>
      <c r="E76" s="849"/>
      <c r="F76" s="850">
        <v>398</v>
      </c>
      <c r="G76" s="850"/>
      <c r="H76" s="851" t="s">
        <v>91</v>
      </c>
      <c r="I76" s="852"/>
      <c r="J76" s="853">
        <f>'WP-BC'!$H$265</f>
        <v>991</v>
      </c>
      <c r="K76" s="854"/>
      <c r="L76" s="845" t="s">
        <v>258</v>
      </c>
    </row>
    <row r="77" spans="3:12" s="845" customFormat="1" ht="12.75">
      <c r="C77" s="848" t="s">
        <v>29</v>
      </c>
      <c r="D77" s="849"/>
      <c r="E77" s="849"/>
      <c r="F77" s="850">
        <v>398</v>
      </c>
      <c r="G77" s="850"/>
      <c r="H77" s="851" t="s">
        <v>91</v>
      </c>
      <c r="I77" s="852"/>
      <c r="J77" s="853">
        <f>'WP-BC'!$H$274</f>
        <v>10098460.13</v>
      </c>
      <c r="K77" s="854"/>
      <c r="L77" s="845" t="s">
        <v>258</v>
      </c>
    </row>
    <row r="78" spans="3:12" s="845" customFormat="1" ht="12.75">
      <c r="C78" s="848" t="s">
        <v>184</v>
      </c>
      <c r="D78" s="849"/>
      <c r="E78" s="849"/>
      <c r="F78" s="850">
        <v>398</v>
      </c>
      <c r="G78" s="850"/>
      <c r="H78" s="851" t="s">
        <v>91</v>
      </c>
      <c r="I78" s="852"/>
      <c r="J78" s="855">
        <f>'WP-BC'!$H$284</f>
        <v>5806632.74</v>
      </c>
      <c r="K78" s="854"/>
      <c r="L78" s="845" t="s">
        <v>258</v>
      </c>
    </row>
    <row r="79" spans="3:11" s="845" customFormat="1" ht="12.75">
      <c r="C79" s="856"/>
      <c r="D79" s="849"/>
      <c r="E79" s="857"/>
      <c r="F79" s="850">
        <v>398</v>
      </c>
      <c r="G79" s="858" t="s">
        <v>331</v>
      </c>
      <c r="H79" s="852"/>
      <c r="I79" s="852"/>
      <c r="J79" s="861">
        <f>SUM(J74:J78)</f>
        <v>16542187.07</v>
      </c>
      <c r="K79" s="854"/>
    </row>
    <row r="80" spans="3:11" s="845" customFormat="1" ht="12.75">
      <c r="C80" s="856"/>
      <c r="D80" s="849"/>
      <c r="E80" s="857"/>
      <c r="F80" s="850"/>
      <c r="G80" s="852"/>
      <c r="H80" s="852"/>
      <c r="I80" s="852"/>
      <c r="J80" s="860"/>
      <c r="K80" s="854"/>
    </row>
    <row r="81" spans="3:12" s="845" customFormat="1" ht="12.75">
      <c r="C81" s="856" t="s">
        <v>186</v>
      </c>
      <c r="D81" s="849"/>
      <c r="E81" s="857"/>
      <c r="F81" s="850">
        <v>399</v>
      </c>
      <c r="G81" s="852"/>
      <c r="H81" s="862" t="s">
        <v>92</v>
      </c>
      <c r="I81" s="852"/>
      <c r="J81" s="853">
        <f>'WP-BC'!$H$245</f>
        <v>0</v>
      </c>
      <c r="K81" s="854"/>
      <c r="L81" s="845" t="s">
        <v>258</v>
      </c>
    </row>
    <row r="82" spans="3:12" s="845" customFormat="1" ht="12.75">
      <c r="C82" s="856" t="s">
        <v>29</v>
      </c>
      <c r="D82" s="849"/>
      <c r="E82" s="857"/>
      <c r="F82" s="850">
        <v>399</v>
      </c>
      <c r="G82" s="852"/>
      <c r="H82" s="862" t="s">
        <v>92</v>
      </c>
      <c r="I82" s="852"/>
      <c r="J82" s="853">
        <f>'WP-BC'!$H$275</f>
        <v>42683</v>
      </c>
      <c r="K82" s="854"/>
      <c r="L82" s="845" t="s">
        <v>258</v>
      </c>
    </row>
    <row r="83" spans="3:12" s="845" customFormat="1" ht="12.75">
      <c r="C83" s="856" t="s">
        <v>184</v>
      </c>
      <c r="D83" s="849"/>
      <c r="E83" s="857"/>
      <c r="F83" s="850">
        <v>399</v>
      </c>
      <c r="G83" s="852"/>
      <c r="H83" s="862" t="s">
        <v>92</v>
      </c>
      <c r="I83" s="852"/>
      <c r="J83" s="855">
        <f>'WP-BC'!$H$285</f>
        <v>15019</v>
      </c>
      <c r="K83" s="854"/>
      <c r="L83" s="845" t="s">
        <v>258</v>
      </c>
    </row>
    <row r="84" spans="3:11" s="845" customFormat="1" ht="12.75">
      <c r="C84" s="863"/>
      <c r="D84" s="849"/>
      <c r="E84" s="857"/>
      <c r="F84" s="850">
        <v>399</v>
      </c>
      <c r="G84" s="858" t="s">
        <v>332</v>
      </c>
      <c r="H84" s="864"/>
      <c r="I84" s="852"/>
      <c r="J84" s="861">
        <f>SUM(J81:J83)</f>
        <v>57702</v>
      </c>
      <c r="K84" s="854"/>
    </row>
    <row r="85" spans="3:11" s="845" customFormat="1" ht="12.75">
      <c r="C85" s="863"/>
      <c r="D85" s="849"/>
      <c r="E85" s="857"/>
      <c r="F85" s="850"/>
      <c r="G85" s="858"/>
      <c r="H85" s="864"/>
      <c r="I85" s="852"/>
      <c r="J85" s="861"/>
      <c r="K85" s="854"/>
    </row>
    <row r="86" spans="2:11" s="845" customFormat="1" ht="15">
      <c r="B86" s="843" t="s">
        <v>322</v>
      </c>
      <c r="C86" s="863"/>
      <c r="D86" s="849"/>
      <c r="E86" s="857"/>
      <c r="F86" s="850"/>
      <c r="G86" s="852"/>
      <c r="H86" s="864"/>
      <c r="I86" s="852"/>
      <c r="J86" s="861">
        <f>J84+J79+J72+J63+J56+J49+J42+J36+J29+J22</f>
        <v>42439721.78</v>
      </c>
      <c r="K86" s="854"/>
    </row>
    <row r="87" spans="3:11" s="845" customFormat="1" ht="12.75">
      <c r="C87" s="863"/>
      <c r="D87" s="849"/>
      <c r="E87" s="852"/>
      <c r="F87" s="850"/>
      <c r="G87" s="852"/>
      <c r="H87" s="852"/>
      <c r="I87" s="852"/>
      <c r="J87" s="860"/>
      <c r="K87" s="854"/>
    </row>
    <row r="88" spans="2:10" s="845" customFormat="1" ht="15">
      <c r="B88" s="843" t="s">
        <v>321</v>
      </c>
      <c r="C88" s="844"/>
      <c r="F88" s="846"/>
      <c r="J88" s="860"/>
    </row>
    <row r="89" spans="3:12" s="845" customFormat="1" ht="12.75">
      <c r="C89" s="848" t="s">
        <v>186</v>
      </c>
      <c r="D89" s="849"/>
      <c r="E89" s="849"/>
      <c r="F89" s="850">
        <v>352</v>
      </c>
      <c r="G89" s="850"/>
      <c r="H89" s="851" t="s">
        <v>73</v>
      </c>
      <c r="I89" s="852"/>
      <c r="J89" s="853">
        <f>'WP-BC'!$H$161</f>
        <v>77474</v>
      </c>
      <c r="K89" s="854"/>
      <c r="L89" s="845" t="s">
        <v>258</v>
      </c>
    </row>
    <row r="90" spans="3:12" s="845" customFormat="1" ht="12.75">
      <c r="C90" s="848" t="s">
        <v>190</v>
      </c>
      <c r="D90" s="849"/>
      <c r="E90" s="849"/>
      <c r="F90" s="850">
        <v>352</v>
      </c>
      <c r="G90" s="850"/>
      <c r="H90" s="851" t="s">
        <v>73</v>
      </c>
      <c r="I90" s="852"/>
      <c r="J90" s="853">
        <f>'WP-BC'!$H$167</f>
        <v>0</v>
      </c>
      <c r="K90" s="854"/>
      <c r="L90" s="845" t="s">
        <v>258</v>
      </c>
    </row>
    <row r="91" spans="3:12" s="845" customFormat="1" ht="12.75">
      <c r="C91" s="848" t="s">
        <v>71</v>
      </c>
      <c r="D91" s="849"/>
      <c r="E91" s="849"/>
      <c r="F91" s="850">
        <v>352</v>
      </c>
      <c r="G91" s="850"/>
      <c r="H91" s="851" t="s">
        <v>73</v>
      </c>
      <c r="I91" s="852"/>
      <c r="J91" s="853">
        <f>'WP-BC'!$H$172</f>
        <v>208106</v>
      </c>
      <c r="K91" s="854"/>
      <c r="L91" s="845" t="s">
        <v>258</v>
      </c>
    </row>
    <row r="92" spans="3:12" s="845" customFormat="1" ht="12.75">
      <c r="C92" s="848" t="s">
        <v>30</v>
      </c>
      <c r="D92" s="849"/>
      <c r="E92" s="849"/>
      <c r="F92" s="850">
        <v>352</v>
      </c>
      <c r="G92" s="850"/>
      <c r="H92" s="851" t="s">
        <v>73</v>
      </c>
      <c r="I92" s="852"/>
      <c r="J92" s="853">
        <f>'WP-BC'!$H$176</f>
        <v>0</v>
      </c>
      <c r="K92" s="854"/>
      <c r="L92" s="845" t="s">
        <v>258</v>
      </c>
    </row>
    <row r="93" spans="3:12" s="845" customFormat="1" ht="12.75">
      <c r="C93" s="848" t="s">
        <v>191</v>
      </c>
      <c r="D93" s="849"/>
      <c r="E93" s="849"/>
      <c r="F93" s="850">
        <v>352</v>
      </c>
      <c r="G93" s="850"/>
      <c r="H93" s="851" t="s">
        <v>73</v>
      </c>
      <c r="I93" s="852"/>
      <c r="J93" s="853">
        <f>'WP-BC'!$H$185</f>
        <v>717623</v>
      </c>
      <c r="K93" s="854"/>
      <c r="L93" s="845" t="s">
        <v>258</v>
      </c>
    </row>
    <row r="94" spans="3:12" s="845" customFormat="1" ht="12.75">
      <c r="C94" s="848" t="s">
        <v>29</v>
      </c>
      <c r="D94" s="849"/>
      <c r="E94" s="849"/>
      <c r="F94" s="850">
        <v>352</v>
      </c>
      <c r="G94" s="850"/>
      <c r="H94" s="851" t="s">
        <v>73</v>
      </c>
      <c r="I94" s="852"/>
      <c r="J94" s="853">
        <f>'WP-BC'!$H$192</f>
        <v>422977</v>
      </c>
      <c r="K94" s="854"/>
      <c r="L94" s="845" t="s">
        <v>258</v>
      </c>
    </row>
    <row r="95" spans="3:12" s="845" customFormat="1" ht="12.75">
      <c r="C95" s="848" t="s">
        <v>184</v>
      </c>
      <c r="D95" s="849"/>
      <c r="E95" s="849"/>
      <c r="F95" s="850">
        <v>352</v>
      </c>
      <c r="G95" s="850"/>
      <c r="H95" s="851" t="s">
        <v>73</v>
      </c>
      <c r="I95" s="852"/>
      <c r="J95" s="855">
        <f>'WP-BC'!$H$198</f>
        <v>233976.9282759541</v>
      </c>
      <c r="K95" s="854"/>
      <c r="L95" s="845" t="s">
        <v>258</v>
      </c>
    </row>
    <row r="96" spans="3:11" s="845" customFormat="1" ht="12.75">
      <c r="C96" s="856"/>
      <c r="D96" s="849"/>
      <c r="E96" s="857"/>
      <c r="F96" s="850">
        <v>352</v>
      </c>
      <c r="G96" s="858" t="s">
        <v>333</v>
      </c>
      <c r="H96" s="852"/>
      <c r="I96" s="852"/>
      <c r="J96" s="861">
        <f>SUM(J89:J95)</f>
        <v>1660156.928275954</v>
      </c>
      <c r="K96" s="854"/>
    </row>
    <row r="97" spans="3:11" s="845" customFormat="1" ht="12.75">
      <c r="C97" s="856"/>
      <c r="D97" s="849"/>
      <c r="E97" s="857"/>
      <c r="F97" s="850"/>
      <c r="G97" s="852"/>
      <c r="H97" s="852"/>
      <c r="I97" s="852"/>
      <c r="J97" s="860"/>
      <c r="K97" s="854"/>
    </row>
    <row r="98" spans="3:12" s="845" customFormat="1" ht="12.75">
      <c r="C98" s="848" t="s">
        <v>186</v>
      </c>
      <c r="D98" s="849"/>
      <c r="E98" s="849"/>
      <c r="F98" s="850">
        <v>353</v>
      </c>
      <c r="G98" s="850"/>
      <c r="H98" s="851" t="s">
        <v>20</v>
      </c>
      <c r="I98" s="852"/>
      <c r="J98" s="853">
        <f>'WP-BC'!$H$162</f>
        <v>959627.19</v>
      </c>
      <c r="K98" s="854"/>
      <c r="L98" s="845" t="s">
        <v>258</v>
      </c>
    </row>
    <row r="99" spans="3:12" s="845" customFormat="1" ht="12.75">
      <c r="C99" s="848" t="s">
        <v>190</v>
      </c>
      <c r="D99" s="849"/>
      <c r="E99" s="849"/>
      <c r="F99" s="850">
        <v>353</v>
      </c>
      <c r="G99" s="850"/>
      <c r="H99" s="851" t="s">
        <v>20</v>
      </c>
      <c r="I99" s="852"/>
      <c r="J99" s="853">
        <f>'WP-BC'!$H$168</f>
        <v>0</v>
      </c>
      <c r="K99" s="854"/>
      <c r="L99" s="845" t="s">
        <v>258</v>
      </c>
    </row>
    <row r="100" spans="3:12" s="845" customFormat="1" ht="12.75">
      <c r="C100" s="848" t="s">
        <v>71</v>
      </c>
      <c r="D100" s="849"/>
      <c r="E100" s="849"/>
      <c r="F100" s="850">
        <v>353</v>
      </c>
      <c r="G100" s="850"/>
      <c r="H100" s="851" t="s">
        <v>20</v>
      </c>
      <c r="I100" s="852"/>
      <c r="J100" s="853">
        <f>'WP-BC'!$H$173</f>
        <v>1962524</v>
      </c>
      <c r="K100" s="854"/>
      <c r="L100" s="845" t="s">
        <v>258</v>
      </c>
    </row>
    <row r="101" spans="3:12" s="845" customFormat="1" ht="12.75">
      <c r="C101" s="848" t="s">
        <v>30</v>
      </c>
      <c r="D101" s="849"/>
      <c r="E101" s="849"/>
      <c r="F101" s="850">
        <v>353</v>
      </c>
      <c r="G101" s="850"/>
      <c r="H101" s="851" t="s">
        <v>20</v>
      </c>
      <c r="I101" s="852"/>
      <c r="J101" s="853">
        <f>'WP-BC'!$H$177</f>
        <v>524109</v>
      </c>
      <c r="K101" s="854"/>
      <c r="L101" s="845" t="s">
        <v>258</v>
      </c>
    </row>
    <row r="102" spans="3:12" s="845" customFormat="1" ht="12.75">
      <c r="C102" s="848" t="s">
        <v>191</v>
      </c>
      <c r="D102" s="849"/>
      <c r="E102" s="849"/>
      <c r="F102" s="850">
        <v>353</v>
      </c>
      <c r="G102" s="850"/>
      <c r="H102" s="851" t="s">
        <v>20</v>
      </c>
      <c r="I102" s="852"/>
      <c r="J102" s="853">
        <f>'WP-BC'!H186</f>
        <v>4408610.57</v>
      </c>
      <c r="K102" s="854"/>
      <c r="L102" s="845" t="s">
        <v>258</v>
      </c>
    </row>
    <row r="103" spans="3:12" s="845" customFormat="1" ht="12.75">
      <c r="C103" s="848" t="s">
        <v>191</v>
      </c>
      <c r="D103" s="849"/>
      <c r="E103" s="849"/>
      <c r="F103" s="850">
        <v>353</v>
      </c>
      <c r="G103" s="850"/>
      <c r="H103" s="851" t="s">
        <v>207</v>
      </c>
      <c r="I103" s="852"/>
      <c r="J103" s="853">
        <f>'WP-BC'!H187</f>
        <v>1608459</v>
      </c>
      <c r="K103" s="854"/>
      <c r="L103" s="845" t="s">
        <v>258</v>
      </c>
    </row>
    <row r="104" spans="3:12" s="845" customFormat="1" ht="12.75">
      <c r="C104" s="848" t="s">
        <v>29</v>
      </c>
      <c r="D104" s="849"/>
      <c r="E104" s="849"/>
      <c r="F104" s="850">
        <v>353</v>
      </c>
      <c r="G104" s="850"/>
      <c r="H104" s="851" t="s">
        <v>20</v>
      </c>
      <c r="I104" s="852"/>
      <c r="J104" s="853">
        <f>'WP-BC'!$H$193</f>
        <v>2038576.72</v>
      </c>
      <c r="K104" s="854"/>
      <c r="L104" s="845" t="s">
        <v>258</v>
      </c>
    </row>
    <row r="105" spans="3:12" s="845" customFormat="1" ht="12.75">
      <c r="C105" s="848" t="s">
        <v>184</v>
      </c>
      <c r="D105" s="849"/>
      <c r="E105" s="849"/>
      <c r="F105" s="850">
        <v>353</v>
      </c>
      <c r="G105" s="850"/>
      <c r="H105" s="851" t="s">
        <v>20</v>
      </c>
      <c r="I105" s="852"/>
      <c r="J105" s="855">
        <f>'WP-BC'!$H$199</f>
        <v>3586876.9945227294</v>
      </c>
      <c r="K105" s="854"/>
      <c r="L105" s="845" t="s">
        <v>258</v>
      </c>
    </row>
    <row r="106" spans="3:11" s="845" customFormat="1" ht="12.75">
      <c r="C106" s="856"/>
      <c r="D106" s="849"/>
      <c r="E106" s="857"/>
      <c r="F106" s="850">
        <v>353</v>
      </c>
      <c r="G106" s="858" t="s">
        <v>334</v>
      </c>
      <c r="H106" s="852"/>
      <c r="I106" s="852"/>
      <c r="J106" s="861">
        <f>SUM(J98:J105)</f>
        <v>15088783.47452273</v>
      </c>
      <c r="K106" s="854"/>
    </row>
    <row r="107" spans="3:11" s="845" customFormat="1" ht="12.75">
      <c r="C107" s="856"/>
      <c r="D107" s="849"/>
      <c r="E107" s="857"/>
      <c r="F107" s="850"/>
      <c r="G107" s="852"/>
      <c r="H107" s="852"/>
      <c r="I107" s="852"/>
      <c r="J107" s="860"/>
      <c r="K107" s="854"/>
    </row>
    <row r="108" spans="3:12" s="845" customFormat="1" ht="12.75">
      <c r="C108" s="848" t="s">
        <v>186</v>
      </c>
      <c r="D108" s="849"/>
      <c r="E108" s="849"/>
      <c r="F108" s="850">
        <v>354</v>
      </c>
      <c r="G108" s="850"/>
      <c r="H108" s="851" t="s">
        <v>78</v>
      </c>
      <c r="I108" s="852"/>
      <c r="J108" s="853">
        <f>'WP-BC'!$H$163</f>
        <v>483926</v>
      </c>
      <c r="K108" s="854"/>
      <c r="L108" s="845" t="s">
        <v>258</v>
      </c>
    </row>
    <row r="109" spans="3:12" s="845" customFormat="1" ht="12.75">
      <c r="C109" s="848" t="s">
        <v>190</v>
      </c>
      <c r="D109" s="849"/>
      <c r="E109" s="849"/>
      <c r="F109" s="850">
        <v>354</v>
      </c>
      <c r="G109" s="850"/>
      <c r="H109" s="851" t="s">
        <v>78</v>
      </c>
      <c r="I109" s="852"/>
      <c r="J109" s="853">
        <f>'WP-BC'!$H$169</f>
        <v>0</v>
      </c>
      <c r="K109" s="854"/>
      <c r="L109" s="845" t="s">
        <v>258</v>
      </c>
    </row>
    <row r="110" spans="3:12" s="845" customFormat="1" ht="12.75">
      <c r="C110" s="848" t="s">
        <v>30</v>
      </c>
      <c r="D110" s="849"/>
      <c r="E110" s="849"/>
      <c r="F110" s="850">
        <v>354</v>
      </c>
      <c r="G110" s="850"/>
      <c r="H110" s="851" t="s">
        <v>78</v>
      </c>
      <c r="I110" s="852"/>
      <c r="J110" s="853">
        <f>'WP-BC'!$H$178</f>
        <v>1621961</v>
      </c>
      <c r="K110" s="854"/>
      <c r="L110" s="845" t="s">
        <v>258</v>
      </c>
    </row>
    <row r="111" spans="3:12" s="845" customFormat="1" ht="12.75">
      <c r="C111" s="848" t="s">
        <v>191</v>
      </c>
      <c r="D111" s="849"/>
      <c r="E111" s="849"/>
      <c r="F111" s="850">
        <v>354</v>
      </c>
      <c r="G111" s="850"/>
      <c r="H111" s="851" t="s">
        <v>78</v>
      </c>
      <c r="I111" s="852"/>
      <c r="J111" s="853">
        <f>'WP-BC'!$H$188</f>
        <v>1373119</v>
      </c>
      <c r="K111" s="854"/>
      <c r="L111" s="845" t="s">
        <v>258</v>
      </c>
    </row>
    <row r="112" spans="3:12" s="845" customFormat="1" ht="12.75">
      <c r="C112" s="848" t="s">
        <v>29</v>
      </c>
      <c r="D112" s="849"/>
      <c r="E112" s="849"/>
      <c r="F112" s="850">
        <v>354</v>
      </c>
      <c r="G112" s="850"/>
      <c r="H112" s="851" t="s">
        <v>78</v>
      </c>
      <c r="I112" s="852"/>
      <c r="J112" s="853">
        <f>'WP-BC'!$H$194</f>
        <v>188081</v>
      </c>
      <c r="K112" s="854"/>
      <c r="L112" s="845" t="s">
        <v>258</v>
      </c>
    </row>
    <row r="113" spans="3:12" s="845" customFormat="1" ht="12.75">
      <c r="C113" s="848" t="s">
        <v>184</v>
      </c>
      <c r="D113" s="849"/>
      <c r="E113" s="849"/>
      <c r="F113" s="850">
        <v>354</v>
      </c>
      <c r="G113" s="850"/>
      <c r="H113" s="851" t="s">
        <v>78</v>
      </c>
      <c r="I113" s="852"/>
      <c r="J113" s="855">
        <f>'WP-BC'!$H$200</f>
        <v>350787.78284850105</v>
      </c>
      <c r="K113" s="854"/>
      <c r="L113" s="845" t="s">
        <v>258</v>
      </c>
    </row>
    <row r="114" spans="3:11" s="845" customFormat="1" ht="12.75">
      <c r="C114" s="856"/>
      <c r="D114" s="849"/>
      <c r="E114" s="857"/>
      <c r="F114" s="850">
        <v>354</v>
      </c>
      <c r="G114" s="858" t="s">
        <v>335</v>
      </c>
      <c r="H114" s="852"/>
      <c r="I114" s="852"/>
      <c r="J114" s="861">
        <f>SUM(J108:J113)</f>
        <v>4017874.782848501</v>
      </c>
      <c r="K114" s="854"/>
    </row>
    <row r="115" spans="3:11" s="845" customFormat="1" ht="12.75">
      <c r="C115" s="856"/>
      <c r="D115" s="849"/>
      <c r="E115" s="857"/>
      <c r="F115" s="850"/>
      <c r="G115" s="852"/>
      <c r="H115" s="852"/>
      <c r="I115" s="852"/>
      <c r="J115" s="860"/>
      <c r="K115" s="854"/>
    </row>
    <row r="116" spans="3:12" s="845" customFormat="1" ht="12.75">
      <c r="C116" s="856" t="s">
        <v>186</v>
      </c>
      <c r="D116" s="849"/>
      <c r="E116" s="857"/>
      <c r="F116" s="850">
        <v>355</v>
      </c>
      <c r="G116" s="852"/>
      <c r="H116" s="851" t="s">
        <v>79</v>
      </c>
      <c r="I116" s="852"/>
      <c r="J116" s="853">
        <f>'WP-BC'!$H$164</f>
        <v>50180</v>
      </c>
      <c r="K116" s="854"/>
      <c r="L116" s="845" t="s">
        <v>258</v>
      </c>
    </row>
    <row r="117" spans="3:12" s="845" customFormat="1" ht="12.75">
      <c r="C117" s="856" t="s">
        <v>30</v>
      </c>
      <c r="D117" s="849"/>
      <c r="E117" s="857"/>
      <c r="F117" s="850">
        <v>355</v>
      </c>
      <c r="G117" s="852"/>
      <c r="H117" s="851" t="s">
        <v>79</v>
      </c>
      <c r="I117" s="852"/>
      <c r="J117" s="853">
        <f>'WP-BC'!$H$179</f>
        <v>5405407</v>
      </c>
      <c r="K117" s="854"/>
      <c r="L117" s="845" t="s">
        <v>258</v>
      </c>
    </row>
    <row r="118" spans="3:12" s="845" customFormat="1" ht="12.75">
      <c r="C118" s="856" t="s">
        <v>191</v>
      </c>
      <c r="D118" s="849"/>
      <c r="E118" s="865"/>
      <c r="F118" s="850">
        <v>355</v>
      </c>
      <c r="G118" s="852"/>
      <c r="H118" s="851" t="s">
        <v>79</v>
      </c>
      <c r="I118" s="852"/>
      <c r="J118" s="853">
        <f>'WP-BC'!$H$189</f>
        <v>504107</v>
      </c>
      <c r="K118" s="854"/>
      <c r="L118" s="845" t="s">
        <v>258</v>
      </c>
    </row>
    <row r="119" spans="3:12" s="845" customFormat="1" ht="12.75">
      <c r="C119" s="856" t="s">
        <v>29</v>
      </c>
      <c r="D119" s="849"/>
      <c r="E119" s="857"/>
      <c r="F119" s="850">
        <v>355</v>
      </c>
      <c r="G119" s="852"/>
      <c r="H119" s="851" t="s">
        <v>79</v>
      </c>
      <c r="I119" s="852"/>
      <c r="J119" s="853">
        <f>'WP-BC'!$H$195</f>
        <v>224</v>
      </c>
      <c r="K119" s="854"/>
      <c r="L119" s="845" t="s">
        <v>258</v>
      </c>
    </row>
    <row r="120" spans="3:12" s="845" customFormat="1" ht="12.75">
      <c r="C120" s="856" t="s">
        <v>184</v>
      </c>
      <c r="D120" s="849"/>
      <c r="E120" s="857"/>
      <c r="F120" s="850">
        <v>355</v>
      </c>
      <c r="G120" s="852"/>
      <c r="H120" s="851" t="s">
        <v>79</v>
      </c>
      <c r="I120" s="852"/>
      <c r="J120" s="855">
        <f>'WP-BC'!$H$201</f>
        <v>52823.902099457344</v>
      </c>
      <c r="K120" s="854"/>
      <c r="L120" s="845" t="s">
        <v>258</v>
      </c>
    </row>
    <row r="121" spans="3:11" s="845" customFormat="1" ht="12.75">
      <c r="C121" s="856"/>
      <c r="D121" s="849"/>
      <c r="E121" s="857"/>
      <c r="F121" s="850">
        <v>355</v>
      </c>
      <c r="G121" s="858" t="s">
        <v>336</v>
      </c>
      <c r="H121" s="852"/>
      <c r="I121" s="852"/>
      <c r="J121" s="861">
        <f>SUM(J116:J120)</f>
        <v>6012741.902099458</v>
      </c>
      <c r="K121" s="854"/>
    </row>
    <row r="122" spans="3:11" s="845" customFormat="1" ht="12.75">
      <c r="C122" s="856"/>
      <c r="D122" s="849"/>
      <c r="E122" s="857"/>
      <c r="F122" s="850"/>
      <c r="G122" s="852"/>
      <c r="H122" s="852"/>
      <c r="I122" s="852"/>
      <c r="J122" s="860"/>
      <c r="K122" s="854"/>
    </row>
    <row r="123" spans="3:12" s="845" customFormat="1" ht="12.75">
      <c r="C123" s="856" t="s">
        <v>186</v>
      </c>
      <c r="D123" s="849"/>
      <c r="E123" s="857"/>
      <c r="F123" s="850">
        <v>356</v>
      </c>
      <c r="G123" s="852"/>
      <c r="H123" s="851" t="s">
        <v>80</v>
      </c>
      <c r="I123" s="852"/>
      <c r="J123" s="853">
        <f>'WP-BC'!$H$165</f>
        <v>201233</v>
      </c>
      <c r="K123" s="854"/>
      <c r="L123" s="845" t="s">
        <v>258</v>
      </c>
    </row>
    <row r="124" spans="3:12" s="845" customFormat="1" ht="12.75">
      <c r="C124" s="856" t="s">
        <v>190</v>
      </c>
      <c r="D124" s="849"/>
      <c r="E124" s="857"/>
      <c r="F124" s="850">
        <v>356</v>
      </c>
      <c r="G124" s="852"/>
      <c r="H124" s="851" t="s">
        <v>80</v>
      </c>
      <c r="I124" s="852"/>
      <c r="J124" s="853">
        <f>'WP-BC'!$H$170</f>
        <v>-1</v>
      </c>
      <c r="K124" s="854"/>
      <c r="L124" s="845" t="s">
        <v>258</v>
      </c>
    </row>
    <row r="125" spans="3:12" s="845" customFormat="1" ht="12.75">
      <c r="C125" s="856" t="s">
        <v>30</v>
      </c>
      <c r="D125" s="849"/>
      <c r="E125" s="857"/>
      <c r="F125" s="850">
        <v>356</v>
      </c>
      <c r="G125" s="852"/>
      <c r="H125" s="851" t="s">
        <v>80</v>
      </c>
      <c r="I125" s="852"/>
      <c r="J125" s="853">
        <f>'WP-BC'!$H$180</f>
        <v>2285265</v>
      </c>
      <c r="K125" s="854"/>
      <c r="L125" s="845" t="s">
        <v>258</v>
      </c>
    </row>
    <row r="126" spans="3:12" s="845" customFormat="1" ht="12.75">
      <c r="C126" s="856" t="s">
        <v>191</v>
      </c>
      <c r="D126" s="849"/>
      <c r="E126" s="865"/>
      <c r="F126" s="850">
        <v>356</v>
      </c>
      <c r="G126" s="852"/>
      <c r="H126" s="851" t="s">
        <v>80</v>
      </c>
      <c r="I126" s="852"/>
      <c r="J126" s="853">
        <f>'WP-BC'!$H$190</f>
        <v>904835</v>
      </c>
      <c r="K126" s="854"/>
      <c r="L126" s="845" t="s">
        <v>258</v>
      </c>
    </row>
    <row r="127" spans="3:12" s="845" customFormat="1" ht="12.75">
      <c r="C127" s="856" t="s">
        <v>29</v>
      </c>
      <c r="D127" s="849"/>
      <c r="E127" s="857"/>
      <c r="F127" s="850">
        <v>356</v>
      </c>
      <c r="G127" s="852"/>
      <c r="H127" s="851" t="s">
        <v>80</v>
      </c>
      <c r="I127" s="852"/>
      <c r="J127" s="853">
        <f>'WP-BC'!$H$196</f>
        <v>659740</v>
      </c>
      <c r="K127" s="854"/>
      <c r="L127" s="845" t="s">
        <v>258</v>
      </c>
    </row>
    <row r="128" spans="3:12" s="845" customFormat="1" ht="12.75">
      <c r="C128" s="856" t="s">
        <v>184</v>
      </c>
      <c r="D128" s="849"/>
      <c r="E128" s="857"/>
      <c r="F128" s="850">
        <v>356</v>
      </c>
      <c r="G128" s="852"/>
      <c r="H128" s="851" t="s">
        <v>80</v>
      </c>
      <c r="I128" s="852"/>
      <c r="J128" s="855">
        <f>'WP-BC'!$H$202</f>
        <v>345039.8819055244</v>
      </c>
      <c r="K128" s="854"/>
      <c r="L128" s="845" t="s">
        <v>258</v>
      </c>
    </row>
    <row r="129" spans="3:11" s="845" customFormat="1" ht="12.75">
      <c r="C129" s="856"/>
      <c r="D129" s="849"/>
      <c r="E129" s="857"/>
      <c r="F129" s="850">
        <v>356</v>
      </c>
      <c r="G129" s="858" t="s">
        <v>337</v>
      </c>
      <c r="H129" s="852"/>
      <c r="I129" s="852"/>
      <c r="J129" s="861">
        <f>SUM(J123:J128)</f>
        <v>4396111.881905524</v>
      </c>
      <c r="K129" s="854"/>
    </row>
    <row r="130" spans="3:11" s="845" customFormat="1" ht="12.75">
      <c r="C130" s="856"/>
      <c r="D130" s="849"/>
      <c r="E130" s="857"/>
      <c r="F130" s="850"/>
      <c r="G130" s="852"/>
      <c r="H130" s="852"/>
      <c r="I130" s="852"/>
      <c r="J130" s="860"/>
      <c r="K130" s="854"/>
    </row>
    <row r="131" spans="3:12" s="845" customFormat="1" ht="12.75">
      <c r="C131" s="856" t="s">
        <v>71</v>
      </c>
      <c r="D131" s="849"/>
      <c r="E131" s="857"/>
      <c r="F131" s="850">
        <v>357</v>
      </c>
      <c r="G131" s="852"/>
      <c r="H131" s="851" t="s">
        <v>81</v>
      </c>
      <c r="I131" s="852"/>
      <c r="J131" s="853">
        <f>'WP-BC'!$H$174</f>
        <v>2024078</v>
      </c>
      <c r="K131" s="854"/>
      <c r="L131" s="845" t="s">
        <v>258</v>
      </c>
    </row>
    <row r="132" spans="3:12" s="845" customFormat="1" ht="12.75">
      <c r="C132" s="856" t="s">
        <v>30</v>
      </c>
      <c r="D132" s="849"/>
      <c r="E132" s="857"/>
      <c r="F132" s="850">
        <v>357</v>
      </c>
      <c r="G132" s="852"/>
      <c r="H132" s="851" t="s">
        <v>81</v>
      </c>
      <c r="I132" s="852"/>
      <c r="J132" s="853">
        <f>'WP-BC'!$H$181</f>
        <v>615321</v>
      </c>
      <c r="K132" s="854"/>
      <c r="L132" s="845" t="s">
        <v>258</v>
      </c>
    </row>
    <row r="133" spans="3:12" s="845" customFormat="1" ht="12.75">
      <c r="C133" s="856" t="s">
        <v>184</v>
      </c>
      <c r="D133" s="849"/>
      <c r="E133" s="857"/>
      <c r="F133" s="850">
        <v>357</v>
      </c>
      <c r="G133" s="852"/>
      <c r="H133" s="851" t="s">
        <v>81</v>
      </c>
      <c r="I133" s="852"/>
      <c r="J133" s="855">
        <f>'WP-BC'!$H$203</f>
        <v>59.999888799928826</v>
      </c>
      <c r="K133" s="854"/>
      <c r="L133" s="845" t="s">
        <v>258</v>
      </c>
    </row>
    <row r="134" spans="3:11" s="845" customFormat="1" ht="12.75">
      <c r="C134" s="856"/>
      <c r="D134" s="849"/>
      <c r="E134" s="857"/>
      <c r="F134" s="850">
        <v>357</v>
      </c>
      <c r="G134" s="858" t="s">
        <v>338</v>
      </c>
      <c r="H134" s="852"/>
      <c r="I134" s="852"/>
      <c r="J134" s="861">
        <f>SUM(J131:J133)</f>
        <v>2639458.9998888</v>
      </c>
      <c r="K134" s="854"/>
    </row>
    <row r="135" spans="3:11" s="845" customFormat="1" ht="12.75">
      <c r="C135" s="856"/>
      <c r="D135" s="849"/>
      <c r="E135" s="857"/>
      <c r="F135" s="850"/>
      <c r="G135" s="852"/>
      <c r="H135" s="852"/>
      <c r="I135" s="852"/>
      <c r="J135" s="860"/>
      <c r="K135" s="854"/>
    </row>
    <row r="136" spans="3:12" s="845" customFormat="1" ht="12.75">
      <c r="C136" s="856" t="s">
        <v>71</v>
      </c>
      <c r="D136" s="849"/>
      <c r="E136" s="857"/>
      <c r="F136" s="850">
        <v>358</v>
      </c>
      <c r="G136" s="852"/>
      <c r="H136" s="851" t="s">
        <v>82</v>
      </c>
      <c r="I136" s="852"/>
      <c r="J136" s="853">
        <f>'WP-BC'!$H$175</f>
        <v>5450121</v>
      </c>
      <c r="K136" s="854"/>
      <c r="L136" s="845" t="s">
        <v>258</v>
      </c>
    </row>
    <row r="137" spans="3:12" s="845" customFormat="1" ht="12.75">
      <c r="C137" s="856" t="s">
        <v>30</v>
      </c>
      <c r="D137" s="849"/>
      <c r="E137" s="857"/>
      <c r="F137" s="850">
        <v>358</v>
      </c>
      <c r="G137" s="852"/>
      <c r="H137" s="851" t="s">
        <v>82</v>
      </c>
      <c r="I137" s="852"/>
      <c r="J137" s="853">
        <f>'WP-BC'!$H$182</f>
        <v>279540</v>
      </c>
      <c r="K137" s="854"/>
      <c r="L137" s="845" t="s">
        <v>258</v>
      </c>
    </row>
    <row r="138" spans="3:12" s="845" customFormat="1" ht="12.75">
      <c r="C138" s="856" t="s">
        <v>184</v>
      </c>
      <c r="D138" s="849"/>
      <c r="E138" s="857"/>
      <c r="F138" s="850">
        <v>358</v>
      </c>
      <c r="G138" s="852"/>
      <c r="H138" s="851" t="s">
        <v>82</v>
      </c>
      <c r="I138" s="852"/>
      <c r="J138" s="855">
        <f>'WP-BC'!$H$204</f>
        <v>27777.992505115202</v>
      </c>
      <c r="K138" s="854"/>
      <c r="L138" s="845" t="s">
        <v>258</v>
      </c>
    </row>
    <row r="139" spans="3:11" s="845" customFormat="1" ht="12.75">
      <c r="C139" s="856"/>
      <c r="D139" s="849"/>
      <c r="E139" s="857"/>
      <c r="F139" s="850">
        <v>358</v>
      </c>
      <c r="G139" s="858" t="s">
        <v>339</v>
      </c>
      <c r="H139" s="858"/>
      <c r="I139" s="852"/>
      <c r="J139" s="861">
        <f>SUM(J136:J138)</f>
        <v>5757438.992505115</v>
      </c>
      <c r="K139" s="854"/>
    </row>
    <row r="140" spans="3:11" s="845" customFormat="1" ht="12.75">
      <c r="C140" s="856"/>
      <c r="D140" s="849"/>
      <c r="E140" s="857"/>
      <c r="F140" s="850"/>
      <c r="G140" s="852"/>
      <c r="H140" s="852"/>
      <c r="I140" s="852"/>
      <c r="J140" s="860"/>
      <c r="K140" s="854"/>
    </row>
    <row r="141" spans="3:12" s="845" customFormat="1" ht="12.75">
      <c r="C141" s="856" t="s">
        <v>186</v>
      </c>
      <c r="D141" s="849"/>
      <c r="E141" s="857"/>
      <c r="F141" s="850">
        <v>359</v>
      </c>
      <c r="G141" s="852"/>
      <c r="H141" s="851" t="s">
        <v>83</v>
      </c>
      <c r="I141" s="852"/>
      <c r="J141" s="853">
        <f>+'WP-BC'!$H$166</f>
        <v>8113</v>
      </c>
      <c r="K141" s="854"/>
      <c r="L141" s="845" t="s">
        <v>258</v>
      </c>
    </row>
    <row r="142" spans="3:12" s="845" customFormat="1" ht="12.75">
      <c r="C142" s="856" t="s">
        <v>190</v>
      </c>
      <c r="D142" s="849"/>
      <c r="E142" s="857"/>
      <c r="F142" s="850">
        <v>359</v>
      </c>
      <c r="G142" s="852"/>
      <c r="H142" s="862" t="s">
        <v>83</v>
      </c>
      <c r="I142" s="852"/>
      <c r="J142" s="853">
        <f>+'WP-BC'!$H$171</f>
        <v>0</v>
      </c>
      <c r="K142" s="854"/>
      <c r="L142" s="845" t="s">
        <v>258</v>
      </c>
    </row>
    <row r="143" spans="3:12" s="845" customFormat="1" ht="12.75">
      <c r="C143" s="856" t="s">
        <v>30</v>
      </c>
      <c r="D143" s="849"/>
      <c r="E143" s="857"/>
      <c r="F143" s="850">
        <v>359</v>
      </c>
      <c r="G143" s="852"/>
      <c r="H143" s="851" t="s">
        <v>83</v>
      </c>
      <c r="I143" s="852"/>
      <c r="J143" s="853">
        <f>+'WP-BC'!$H$183</f>
        <v>224220</v>
      </c>
      <c r="K143" s="854"/>
      <c r="L143" s="845" t="s">
        <v>258</v>
      </c>
    </row>
    <row r="144" spans="3:12" s="845" customFormat="1" ht="12.75">
      <c r="C144" s="856" t="s">
        <v>191</v>
      </c>
      <c r="D144" s="849"/>
      <c r="E144" s="857"/>
      <c r="F144" s="850">
        <v>359</v>
      </c>
      <c r="G144" s="852"/>
      <c r="H144" s="851" t="s">
        <v>83</v>
      </c>
      <c r="I144" s="852"/>
      <c r="J144" s="853">
        <f>+'WP-BC'!$H$191</f>
        <v>51055</v>
      </c>
      <c r="K144" s="854"/>
      <c r="L144" s="845" t="s">
        <v>258</v>
      </c>
    </row>
    <row r="145" spans="3:12" s="845" customFormat="1" ht="12.75">
      <c r="C145" s="856" t="s">
        <v>29</v>
      </c>
      <c r="D145" s="849"/>
      <c r="E145" s="857"/>
      <c r="F145" s="850">
        <v>359</v>
      </c>
      <c r="G145" s="852"/>
      <c r="H145" s="851" t="s">
        <v>83</v>
      </c>
      <c r="I145" s="852"/>
      <c r="J145" s="853">
        <f>+'WP-BC'!$H$197</f>
        <v>533</v>
      </c>
      <c r="K145" s="854"/>
      <c r="L145" s="845" t="s">
        <v>258</v>
      </c>
    </row>
    <row r="146" spans="3:12" s="845" customFormat="1" ht="12.75">
      <c r="C146" s="856" t="s">
        <v>184</v>
      </c>
      <c r="D146" s="849"/>
      <c r="E146" s="857"/>
      <c r="F146" s="850">
        <v>359</v>
      </c>
      <c r="G146" s="852"/>
      <c r="H146" s="851" t="s">
        <v>83</v>
      </c>
      <c r="I146" s="852"/>
      <c r="J146" s="855">
        <f>+'WP-BC'!$H$205</f>
        <v>3036.9979539186907</v>
      </c>
      <c r="K146" s="854"/>
      <c r="L146" s="845" t="s">
        <v>258</v>
      </c>
    </row>
    <row r="147" spans="3:10" s="845" customFormat="1" ht="12.75">
      <c r="C147" s="844"/>
      <c r="F147" s="850">
        <v>359</v>
      </c>
      <c r="G147" s="858" t="s">
        <v>340</v>
      </c>
      <c r="H147" s="858"/>
      <c r="J147" s="861">
        <f>SUM(J141:J146)</f>
        <v>286957.9979539187</v>
      </c>
    </row>
    <row r="148" spans="3:10" s="845" customFormat="1" ht="12.75">
      <c r="C148" s="844"/>
      <c r="F148" s="850"/>
      <c r="G148" s="852"/>
      <c r="H148" s="852"/>
      <c r="J148" s="861"/>
    </row>
    <row r="149" spans="2:10" s="845" customFormat="1" ht="15">
      <c r="B149" s="843" t="s">
        <v>341</v>
      </c>
      <c r="C149" s="844"/>
      <c r="F149" s="846"/>
      <c r="J149" s="861">
        <f>J147+J139+J134+J129+J121+J114+J106+J96</f>
        <v>39859524.95999999</v>
      </c>
    </row>
    <row r="150" spans="2:10" s="845" customFormat="1" ht="15">
      <c r="B150" s="843"/>
      <c r="C150" s="844"/>
      <c r="F150" s="846"/>
      <c r="J150" s="861"/>
    </row>
    <row r="151" spans="2:10" s="86" customFormat="1" ht="15">
      <c r="B151" s="87"/>
      <c r="C151" s="203"/>
      <c r="F151" s="156"/>
      <c r="J151" s="819"/>
    </row>
    <row r="152" spans="2:10" s="86" customFormat="1" ht="15">
      <c r="B152" s="87"/>
      <c r="C152" s="203"/>
      <c r="F152" s="156"/>
      <c r="J152" s="819"/>
    </row>
    <row r="153" spans="2:10" s="86" customFormat="1" ht="15">
      <c r="B153" s="87"/>
      <c r="C153" s="203"/>
      <c r="F153" s="156"/>
      <c r="J153" s="819"/>
    </row>
    <row r="154" spans="2:10" s="86" customFormat="1" ht="15">
      <c r="B154" s="87"/>
      <c r="C154" s="203"/>
      <c r="F154" s="156"/>
      <c r="J154" s="819"/>
    </row>
    <row r="155" spans="3:10" s="86" customFormat="1" ht="13.5">
      <c r="C155" s="203"/>
      <c r="F155" s="156"/>
      <c r="J155" s="215"/>
    </row>
    <row r="156" spans="3:10" s="86" customFormat="1" ht="13.5">
      <c r="C156" s="203"/>
      <c r="F156" s="156"/>
      <c r="J156" s="215">
        <f>J149-J155</f>
        <v>39859524.95999999</v>
      </c>
    </row>
    <row r="157" spans="3:10" s="86" customFormat="1" ht="13.5">
      <c r="C157" s="203"/>
      <c r="F157" s="156"/>
      <c r="J157" s="215"/>
    </row>
    <row r="158" spans="3:13" s="63" customFormat="1" ht="18">
      <c r="C158" s="204"/>
      <c r="D158" s="89"/>
      <c r="E158" s="89"/>
      <c r="F158" s="93"/>
      <c r="G158" s="89"/>
      <c r="H158" s="89"/>
      <c r="I158" s="89"/>
      <c r="J158" s="216"/>
      <c r="K158" s="89"/>
      <c r="L158" s="89"/>
      <c r="M158" s="89"/>
    </row>
    <row r="159" spans="3:13" s="63" customFormat="1" ht="18">
      <c r="C159" s="204"/>
      <c r="D159" s="89"/>
      <c r="E159" s="89"/>
      <c r="F159" s="93"/>
      <c r="G159" s="89"/>
      <c r="H159" s="89"/>
      <c r="I159" s="89"/>
      <c r="J159" s="216"/>
      <c r="L159" s="89"/>
      <c r="M159" s="89"/>
    </row>
    <row r="160" spans="3:13" s="63" customFormat="1" ht="18">
      <c r="C160" s="204"/>
      <c r="D160" s="89"/>
      <c r="E160" s="89"/>
      <c r="F160" s="93"/>
      <c r="G160" s="89"/>
      <c r="H160" s="89"/>
      <c r="I160" s="89"/>
      <c r="J160" s="216"/>
      <c r="L160" s="89"/>
      <c r="M160" s="89"/>
    </row>
    <row r="161" spans="3:13" s="63" customFormat="1" ht="18">
      <c r="C161" s="204"/>
      <c r="D161" s="89"/>
      <c r="E161" s="89"/>
      <c r="F161" s="89"/>
      <c r="G161" s="89"/>
      <c r="H161" s="89"/>
      <c r="I161" s="89"/>
      <c r="J161" s="216"/>
      <c r="L161" s="93"/>
      <c r="M161" s="89"/>
    </row>
    <row r="162" spans="3:13" s="63" customFormat="1" ht="18">
      <c r="C162" s="204"/>
      <c r="D162" s="89"/>
      <c r="E162" s="89"/>
      <c r="F162" s="89"/>
      <c r="G162" s="89"/>
      <c r="H162" s="89"/>
      <c r="I162" s="89"/>
      <c r="J162" s="216"/>
      <c r="K162" s="93"/>
      <c r="L162" s="93"/>
      <c r="M162" s="89"/>
    </row>
    <row r="163" spans="3:13" s="63" customFormat="1" ht="18">
      <c r="C163" s="204"/>
      <c r="D163" s="89"/>
      <c r="E163" s="94"/>
      <c r="F163" s="89"/>
      <c r="G163" s="89"/>
      <c r="H163" s="89"/>
      <c r="I163" s="94"/>
      <c r="J163" s="216"/>
      <c r="K163" s="94"/>
      <c r="L163" s="94"/>
      <c r="M163" s="89"/>
    </row>
    <row r="164" spans="3:13" s="63" customFormat="1" ht="18">
      <c r="C164" s="204"/>
      <c r="D164" s="89"/>
      <c r="E164" s="89"/>
      <c r="F164" s="89"/>
      <c r="G164" s="89"/>
      <c r="H164" s="89"/>
      <c r="I164" s="93"/>
      <c r="J164" s="216"/>
      <c r="K164" s="93"/>
      <c r="L164" s="93"/>
      <c r="M164" s="89"/>
    </row>
    <row r="165" spans="3:13" s="63" customFormat="1" ht="18">
      <c r="C165" s="204"/>
      <c r="D165" s="89"/>
      <c r="E165" s="89"/>
      <c r="F165" s="89"/>
      <c r="G165" s="89"/>
      <c r="H165" s="89"/>
      <c r="I165" s="93"/>
      <c r="J165" s="216"/>
      <c r="K165" s="93"/>
      <c r="L165" s="93"/>
      <c r="M165" s="89"/>
    </row>
    <row r="166" spans="3:13" s="63" customFormat="1" ht="18">
      <c r="C166" s="205"/>
      <c r="D166" s="90"/>
      <c r="E166" s="90"/>
      <c r="F166" s="89"/>
      <c r="G166" s="89"/>
      <c r="H166" s="89"/>
      <c r="I166" s="95"/>
      <c r="J166" s="216"/>
      <c r="K166" s="89"/>
      <c r="L166" s="89"/>
      <c r="M166" s="89"/>
    </row>
    <row r="167" spans="3:13" s="63" customFormat="1" ht="18">
      <c r="C167" s="205"/>
      <c r="D167" s="90"/>
      <c r="E167" s="90"/>
      <c r="F167" s="89"/>
      <c r="G167" s="89"/>
      <c r="H167" s="89"/>
      <c r="I167" s="95"/>
      <c r="J167" s="216"/>
      <c r="K167" s="89"/>
      <c r="L167" s="89"/>
      <c r="M167" s="89"/>
    </row>
    <row r="168" spans="3:13" s="63" customFormat="1" ht="18">
      <c r="C168" s="205"/>
      <c r="D168" s="90"/>
      <c r="E168" s="90"/>
      <c r="F168" s="89"/>
      <c r="G168" s="89"/>
      <c r="H168" s="89"/>
      <c r="I168" s="91"/>
      <c r="J168" s="216"/>
      <c r="K168" s="89"/>
      <c r="L168" s="89"/>
      <c r="M168" s="89"/>
    </row>
    <row r="169" spans="3:13" s="63" customFormat="1" ht="18">
      <c r="C169" s="205"/>
      <c r="D169" s="90"/>
      <c r="E169" s="90"/>
      <c r="F169" s="89"/>
      <c r="G169" s="89"/>
      <c r="H169" s="89"/>
      <c r="I169" s="95"/>
      <c r="J169" s="216"/>
      <c r="K169" s="89"/>
      <c r="L169" s="89"/>
      <c r="M169" s="89"/>
    </row>
    <row r="170" spans="3:13" s="63" customFormat="1" ht="18">
      <c r="C170" s="205"/>
      <c r="D170" s="90"/>
      <c r="E170" s="90"/>
      <c r="F170" s="89"/>
      <c r="G170" s="89"/>
      <c r="H170" s="89"/>
      <c r="I170" s="95"/>
      <c r="J170" s="216"/>
      <c r="K170" s="89"/>
      <c r="L170" s="89"/>
      <c r="M170" s="89"/>
    </row>
    <row r="171" spans="3:13" s="63" customFormat="1" ht="18">
      <c r="C171" s="205"/>
      <c r="D171" s="90"/>
      <c r="E171" s="90"/>
      <c r="F171" s="89"/>
      <c r="G171" s="89"/>
      <c r="H171" s="92"/>
      <c r="I171" s="96"/>
      <c r="J171" s="216"/>
      <c r="K171" s="89"/>
      <c r="L171" s="89"/>
      <c r="M171" s="89"/>
    </row>
    <row r="172" spans="3:13" s="63" customFormat="1" ht="18">
      <c r="C172" s="205"/>
      <c r="D172" s="90"/>
      <c r="E172" s="90"/>
      <c r="F172" s="89"/>
      <c r="G172" s="89"/>
      <c r="H172" s="89"/>
      <c r="I172" s="95"/>
      <c r="J172" s="216"/>
      <c r="K172" s="89"/>
      <c r="L172" s="89"/>
      <c r="M172" s="89"/>
    </row>
    <row r="173" spans="3:13" s="63" customFormat="1" ht="18">
      <c r="C173" s="205"/>
      <c r="D173" s="90"/>
      <c r="E173" s="90"/>
      <c r="F173" s="89"/>
      <c r="G173" s="89"/>
      <c r="H173" s="89"/>
      <c r="I173" s="95"/>
      <c r="J173" s="216"/>
      <c r="K173" s="89"/>
      <c r="L173" s="89"/>
      <c r="M173" s="89"/>
    </row>
    <row r="174" spans="3:13" s="63" customFormat="1" ht="18">
      <c r="C174" s="205"/>
      <c r="D174" s="90"/>
      <c r="E174" s="90"/>
      <c r="F174" s="89"/>
      <c r="G174" s="89"/>
      <c r="H174" s="89"/>
      <c r="I174" s="95"/>
      <c r="J174" s="216"/>
      <c r="K174" s="89"/>
      <c r="L174" s="89"/>
      <c r="M174" s="89"/>
    </row>
    <row r="175" spans="3:13" ht="17.25">
      <c r="C175" s="206"/>
      <c r="D175" s="18"/>
      <c r="E175" s="28"/>
      <c r="F175" s="11"/>
      <c r="G175" s="11"/>
      <c r="H175" s="16"/>
      <c r="I175" s="16"/>
      <c r="J175" s="210"/>
      <c r="K175" s="11"/>
      <c r="L175" s="11"/>
      <c r="M175" s="11"/>
    </row>
    <row r="176" spans="3:13" ht="17.25">
      <c r="C176" s="206"/>
      <c r="D176" s="18"/>
      <c r="E176" s="11"/>
      <c r="F176" s="11"/>
      <c r="G176" s="11"/>
      <c r="H176" s="11"/>
      <c r="I176" s="16"/>
      <c r="J176" s="210"/>
      <c r="K176" s="11"/>
      <c r="L176" s="11"/>
      <c r="M176" s="11"/>
    </row>
    <row r="177" spans="3:13" ht="17.25">
      <c r="C177" s="199"/>
      <c r="D177" s="11"/>
      <c r="E177" s="11"/>
      <c r="F177" s="11"/>
      <c r="G177" s="11"/>
      <c r="H177" s="32"/>
      <c r="I177" s="32"/>
      <c r="J177" s="210"/>
      <c r="K177" s="11"/>
      <c r="L177" s="11"/>
      <c r="M177" s="11"/>
    </row>
    <row r="178" spans="3:13" ht="17.25">
      <c r="C178" s="199"/>
      <c r="D178" s="11"/>
      <c r="E178" s="11"/>
      <c r="F178" s="11"/>
      <c r="G178" s="11"/>
      <c r="H178" s="32"/>
      <c r="I178" s="30"/>
      <c r="J178" s="210"/>
      <c r="K178" s="11"/>
      <c r="L178" s="11"/>
      <c r="M178" s="11"/>
    </row>
    <row r="179" spans="3:13" ht="17.25">
      <c r="C179" s="199"/>
      <c r="D179" s="11"/>
      <c r="E179" s="11"/>
      <c r="F179" s="11"/>
      <c r="G179" s="11"/>
      <c r="H179" s="32"/>
      <c r="I179" s="31"/>
      <c r="J179" s="210"/>
      <c r="K179" s="11"/>
      <c r="L179" s="11"/>
      <c r="M179" s="11"/>
    </row>
    <row r="180" spans="3:13" ht="17.25">
      <c r="C180" s="199"/>
      <c r="D180" s="11"/>
      <c r="E180" s="11"/>
      <c r="F180" s="11"/>
      <c r="G180" s="11"/>
      <c r="H180" s="11"/>
      <c r="I180" s="11"/>
      <c r="J180" s="210"/>
      <c r="K180" s="11"/>
      <c r="L180" s="11"/>
      <c r="M180" s="11"/>
    </row>
    <row r="181" spans="3:13" ht="17.25">
      <c r="C181" s="199"/>
      <c r="D181" s="11"/>
      <c r="E181" s="813"/>
      <c r="F181" s="11"/>
      <c r="G181" s="11"/>
      <c r="H181" s="11"/>
      <c r="I181" s="16"/>
      <c r="J181" s="210"/>
      <c r="K181" s="19"/>
      <c r="L181" s="16"/>
      <c r="M181" s="12"/>
    </row>
    <row r="182" spans="3:13" ht="17.25">
      <c r="C182" s="199"/>
      <c r="D182" s="11"/>
      <c r="E182" s="11"/>
      <c r="F182" s="11"/>
      <c r="G182" s="11"/>
      <c r="H182" s="11"/>
      <c r="I182" s="11"/>
      <c r="J182" s="210"/>
      <c r="K182" s="11"/>
      <c r="L182" s="11"/>
      <c r="M182" s="11"/>
    </row>
    <row r="183" spans="3:13" ht="17.25">
      <c r="C183" s="199"/>
      <c r="D183" s="11"/>
      <c r="E183" s="11"/>
      <c r="F183" s="11"/>
      <c r="G183" s="11"/>
      <c r="H183" s="11"/>
      <c r="I183" s="11"/>
      <c r="J183" s="210"/>
      <c r="K183" s="11"/>
      <c r="L183" s="11"/>
      <c r="M183" s="11"/>
    </row>
    <row r="184" spans="3:13" ht="17.25">
      <c r="C184" s="199"/>
      <c r="D184" s="11"/>
      <c r="E184" s="11"/>
      <c r="F184" s="11"/>
      <c r="G184" s="11"/>
      <c r="H184" s="11"/>
      <c r="I184" s="11"/>
      <c r="J184" s="210"/>
      <c r="K184" s="11"/>
      <c r="L184" s="11"/>
      <c r="M184" s="11"/>
    </row>
    <row r="185" spans="3:13" ht="17.25">
      <c r="C185" s="207"/>
      <c r="D185" s="12"/>
      <c r="E185" s="12"/>
      <c r="F185" s="12"/>
      <c r="G185" s="12"/>
      <c r="H185" s="11"/>
      <c r="I185" s="11"/>
      <c r="J185" s="210"/>
      <c r="K185" s="11"/>
      <c r="L185" s="11"/>
      <c r="M185" s="11"/>
    </row>
    <row r="186" spans="3:13" ht="17.25">
      <c r="C186" s="208"/>
      <c r="D186" s="50"/>
      <c r="E186" s="50"/>
      <c r="F186" s="12"/>
      <c r="G186" s="12"/>
      <c r="H186" s="11"/>
      <c r="I186" s="15"/>
      <c r="J186" s="210"/>
      <c r="K186" s="11"/>
      <c r="L186" s="11"/>
      <c r="M186" s="11"/>
    </row>
    <row r="187" spans="3:13" ht="17.25">
      <c r="C187" s="199"/>
      <c r="D187" s="11"/>
      <c r="E187" s="11"/>
      <c r="F187" s="11"/>
      <c r="G187" s="11"/>
      <c r="H187" s="11"/>
      <c r="I187" s="11"/>
      <c r="J187" s="210"/>
      <c r="K187" s="11"/>
      <c r="L187" s="11"/>
      <c r="M187" s="11"/>
    </row>
    <row r="188" spans="3:13" ht="17.25">
      <c r="C188" s="199"/>
      <c r="D188" s="11"/>
      <c r="E188" s="11"/>
      <c r="F188" s="11"/>
      <c r="G188" s="11"/>
      <c r="H188" s="11"/>
      <c r="I188" s="11"/>
      <c r="J188" s="210"/>
      <c r="K188" s="11"/>
      <c r="L188" s="11"/>
      <c r="M188" s="11"/>
    </row>
    <row r="189" spans="3:13" ht="17.25">
      <c r="C189" s="199"/>
      <c r="D189" s="11"/>
      <c r="E189" s="11"/>
      <c r="F189" s="11"/>
      <c r="G189" s="11"/>
      <c r="H189" s="11"/>
      <c r="I189" s="11"/>
      <c r="J189" s="210"/>
      <c r="K189" s="11"/>
      <c r="L189" s="11"/>
      <c r="M189" s="11"/>
    </row>
    <row r="190" spans="3:13" ht="17.25">
      <c r="C190" s="199"/>
      <c r="D190" s="11"/>
      <c r="E190" s="11"/>
      <c r="F190" s="11"/>
      <c r="G190" s="11"/>
      <c r="H190" s="11"/>
      <c r="I190" s="11"/>
      <c r="J190" s="210"/>
      <c r="K190" s="11"/>
      <c r="L190" s="11"/>
      <c r="M190" s="11"/>
    </row>
  </sheetData>
  <sheetProtection/>
  <mergeCells count="6">
    <mergeCell ref="A7:M7"/>
    <mergeCell ref="A10:M10"/>
    <mergeCell ref="A3:M3"/>
    <mergeCell ref="A4:M4"/>
    <mergeCell ref="A8:M8"/>
    <mergeCell ref="A5:M5"/>
  </mergeCells>
  <printOptions horizontalCentered="1"/>
  <pageMargins left="0.5" right="0.5" top="0.25" bottom="0.25" header="0" footer="0"/>
  <pageSetup horizontalDpi="600" verticalDpi="600" orientation="portrait" scale="50" r:id="rId2"/>
  <rowBreaks count="1" manualBreakCount="1">
    <brk id="87" max="13" man="1"/>
  </rowBreaks>
  <colBreaks count="1" manualBreakCount="1">
    <brk id="16" max="65535" man="1"/>
  </colBreaks>
  <drawing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S105"/>
  <sheetViews>
    <sheetView view="pageBreakPreview" zoomScale="70" zoomScaleSheetLayoutView="70" zoomScalePageLayoutView="0" workbookViewId="0" topLeftCell="D1">
      <selection activeCell="B28" sqref="B28"/>
    </sheetView>
  </sheetViews>
  <sheetFormatPr defaultColWidth="19.375" defaultRowHeight="12.75"/>
  <cols>
    <col min="1" max="1" width="6.75390625" style="407" hidden="1" customWidth="1"/>
    <col min="2" max="2" width="6.25390625" style="407" hidden="1" customWidth="1"/>
    <col min="3" max="3" width="35.00390625" style="408" hidden="1" customWidth="1"/>
    <col min="4" max="4" width="5.875" style="412" customWidth="1"/>
    <col min="5" max="5" width="43.375" style="407" customWidth="1"/>
    <col min="6" max="6" width="2.25390625" style="407" customWidth="1"/>
    <col min="7" max="7" width="17.50390625" style="407" customWidth="1"/>
    <col min="8" max="8" width="20.875" style="407" bestFit="1" customWidth="1"/>
    <col min="9" max="9" width="20.125" style="407" bestFit="1" customWidth="1"/>
    <col min="10" max="10" width="17.50390625" style="407" customWidth="1"/>
    <col min="11" max="11" width="15.50390625" style="407" bestFit="1" customWidth="1"/>
    <col min="12" max="12" width="20.875" style="407" customWidth="1"/>
    <col min="13" max="13" width="20.125" style="407" bestFit="1" customWidth="1"/>
    <col min="14" max="14" width="17.50390625" style="154" customWidth="1"/>
    <col min="15" max="15" width="19.375" style="152" hidden="1" customWidth="1"/>
    <col min="16" max="16" width="2.25390625" style="152" hidden="1" customWidth="1"/>
    <col min="17" max="17" width="19.375" style="152" hidden="1" customWidth="1"/>
    <col min="18" max="18" width="2.25390625" style="152" hidden="1" customWidth="1"/>
    <col min="19" max="20" width="19.375" style="152" hidden="1" customWidth="1"/>
    <col min="21" max="244" width="19.375" style="152" customWidth="1"/>
    <col min="245" max="245" width="6.50390625" style="152" customWidth="1"/>
    <col min="246" max="246" width="10.50390625" style="152" customWidth="1"/>
    <col min="247" max="247" width="6.25390625" style="152" customWidth="1"/>
    <col min="248" max="248" width="35.50390625" style="152" customWidth="1"/>
    <col min="249" max="249" width="4.75390625" style="152" customWidth="1"/>
    <col min="250" max="250" width="39.00390625" style="152" customWidth="1"/>
    <col min="251" max="251" width="5.00390625" style="152" customWidth="1"/>
    <col min="252" max="252" width="19.375" style="152" customWidth="1"/>
    <col min="253" max="253" width="2.375" style="152" customWidth="1"/>
    <col min="254" max="254" width="19.375" style="152" customWidth="1"/>
    <col min="255" max="255" width="2.375" style="152" customWidth="1"/>
    <col min="256" max="16384" width="19.375" style="152" customWidth="1"/>
  </cols>
  <sheetData>
    <row r="1" spans="1:14" s="153" customFormat="1" ht="15">
      <c r="A1" s="407"/>
      <c r="B1" s="407"/>
      <c r="C1" s="408"/>
      <c r="D1" s="381" t="s">
        <v>1154</v>
      </c>
      <c r="E1" s="407"/>
      <c r="F1" s="407"/>
      <c r="G1" s="710"/>
      <c r="H1" s="710"/>
      <c r="I1" s="710"/>
      <c r="J1" s="710"/>
      <c r="K1" s="710"/>
      <c r="L1" s="710"/>
      <c r="M1" s="710"/>
      <c r="N1" s="154"/>
    </row>
    <row r="2" spans="1:14" s="153" customFormat="1" ht="15">
      <c r="A2" s="407"/>
      <c r="B2" s="407"/>
      <c r="C2" s="408"/>
      <c r="D2" s="323"/>
      <c r="E2" s="407"/>
      <c r="F2" s="407"/>
      <c r="G2" s="710"/>
      <c r="H2" s="710"/>
      <c r="I2" s="710"/>
      <c r="J2" s="710"/>
      <c r="K2" s="710"/>
      <c r="L2" s="710"/>
      <c r="M2" s="710"/>
      <c r="N2" s="154"/>
    </row>
    <row r="3" spans="1:14" s="153" customFormat="1" ht="15">
      <c r="A3" s="407"/>
      <c r="B3" s="407"/>
      <c r="C3" s="408"/>
      <c r="D3" s="407"/>
      <c r="E3" s="409"/>
      <c r="F3" s="407"/>
      <c r="G3" s="710"/>
      <c r="H3" s="710"/>
      <c r="I3" s="710"/>
      <c r="J3" s="710"/>
      <c r="K3" s="710"/>
      <c r="L3" s="710"/>
      <c r="M3" s="710"/>
      <c r="N3" s="154"/>
    </row>
    <row r="4" spans="1:13" s="13" customFormat="1" ht="17.25">
      <c r="A4" s="410"/>
      <c r="B4" s="410"/>
      <c r="C4" s="410"/>
      <c r="D4" s="1589" t="s">
        <v>228</v>
      </c>
      <c r="E4" s="1589"/>
      <c r="F4" s="1589"/>
      <c r="G4" s="1589"/>
      <c r="H4" s="1589"/>
      <c r="I4" s="1589"/>
      <c r="J4" s="1589"/>
      <c r="K4" s="1589"/>
      <c r="L4" s="1589"/>
      <c r="M4" s="1589"/>
    </row>
    <row r="5" spans="1:13" s="13" customFormat="1" ht="17.25">
      <c r="A5" s="410"/>
      <c r="B5" s="410"/>
      <c r="C5" s="410"/>
      <c r="D5" s="1589" t="s">
        <v>111</v>
      </c>
      <c r="E5" s="1589"/>
      <c r="F5" s="1589"/>
      <c r="G5" s="1589"/>
      <c r="H5" s="1589"/>
      <c r="I5" s="1589"/>
      <c r="J5" s="1589"/>
      <c r="K5" s="1589"/>
      <c r="L5" s="1589"/>
      <c r="M5" s="1589"/>
    </row>
    <row r="6" spans="1:13" s="13" customFormat="1" ht="17.25">
      <c r="A6" s="410"/>
      <c r="B6" s="410"/>
      <c r="C6" s="410"/>
      <c r="D6" s="1532" t="s">
        <v>1377</v>
      </c>
      <c r="E6" s="1532"/>
      <c r="F6" s="1532"/>
      <c r="G6" s="1532"/>
      <c r="H6" s="1532"/>
      <c r="I6" s="1532"/>
      <c r="J6" s="1532"/>
      <c r="K6" s="1532"/>
      <c r="L6" s="1532"/>
      <c r="M6" s="1532"/>
    </row>
    <row r="7" spans="1:13" s="13" customFormat="1" ht="12" customHeight="1">
      <c r="A7" s="386"/>
      <c r="B7" s="388"/>
      <c r="C7" s="386"/>
      <c r="D7" s="386"/>
      <c r="E7" s="386"/>
      <c r="F7" s="323"/>
      <c r="G7" s="697"/>
      <c r="H7" s="697"/>
      <c r="I7" s="697"/>
      <c r="J7" s="697"/>
      <c r="K7" s="697"/>
      <c r="L7" s="697"/>
      <c r="M7" s="697"/>
    </row>
    <row r="8" spans="1:13" s="13" customFormat="1" ht="17.25">
      <c r="A8" s="411"/>
      <c r="B8" s="411"/>
      <c r="C8" s="411"/>
      <c r="D8" s="1590" t="s">
        <v>1153</v>
      </c>
      <c r="E8" s="1590"/>
      <c r="F8" s="1590"/>
      <c r="G8" s="1590"/>
      <c r="H8" s="1590"/>
      <c r="I8" s="1590"/>
      <c r="J8" s="1590"/>
      <c r="K8" s="1590"/>
      <c r="L8" s="1590"/>
      <c r="M8" s="1590"/>
    </row>
    <row r="9" spans="1:13" s="13" customFormat="1" ht="17.25">
      <c r="A9" s="410"/>
      <c r="B9" s="410"/>
      <c r="C9" s="410"/>
      <c r="D9" s="1589" t="s">
        <v>1379</v>
      </c>
      <c r="E9" s="1589"/>
      <c r="F9" s="1589"/>
      <c r="G9" s="1589"/>
      <c r="H9" s="1589"/>
      <c r="I9" s="1589"/>
      <c r="J9" s="1589"/>
      <c r="K9" s="1589"/>
      <c r="L9" s="1589"/>
      <c r="M9" s="1589"/>
    </row>
    <row r="10" spans="1:13" s="13" customFormat="1" ht="17.25">
      <c r="A10" s="389"/>
      <c r="B10" s="389"/>
      <c r="C10" s="389"/>
      <c r="D10" s="692"/>
      <c r="E10" s="692"/>
      <c r="F10" s="323"/>
      <c r="G10" s="697"/>
      <c r="H10" s="697"/>
      <c r="I10" s="697"/>
      <c r="J10" s="697"/>
      <c r="K10" s="697"/>
      <c r="L10" s="697"/>
      <c r="M10" s="697"/>
    </row>
    <row r="11" spans="1:15" s="13" customFormat="1" ht="17.25">
      <c r="A11" s="389"/>
      <c r="B11" s="389"/>
      <c r="C11" s="389"/>
      <c r="D11" s="692"/>
      <c r="E11" s="692"/>
      <c r="F11" s="323"/>
      <c r="G11" s="1586" t="s">
        <v>1378</v>
      </c>
      <c r="H11" s="1587"/>
      <c r="I11" s="1587"/>
      <c r="J11" s="1588"/>
      <c r="K11" s="1586" t="s">
        <v>918</v>
      </c>
      <c r="L11" s="1587"/>
      <c r="M11" s="1587"/>
      <c r="N11" s="1588"/>
      <c r="O11" s="351"/>
    </row>
    <row r="12" spans="1:13" s="294" customFormat="1" ht="15">
      <c r="A12" s="390"/>
      <c r="B12" s="391"/>
      <c r="C12" s="391"/>
      <c r="D12" s="391"/>
      <c r="E12" s="391"/>
      <c r="F12" s="391"/>
      <c r="G12" s="698"/>
      <c r="H12" s="698"/>
      <c r="I12" s="711"/>
      <c r="J12" s="711"/>
      <c r="K12" s="711"/>
      <c r="L12" s="711"/>
      <c r="M12" s="711"/>
    </row>
    <row r="13" spans="1:19" s="893" customFormat="1" ht="15">
      <c r="A13" s="888"/>
      <c r="B13" s="888"/>
      <c r="C13" s="889"/>
      <c r="D13" s="890"/>
      <c r="E13" s="888"/>
      <c r="F13" s="888"/>
      <c r="G13" s="891" t="s">
        <v>113</v>
      </c>
      <c r="H13" s="698"/>
      <c r="I13" s="891" t="s">
        <v>113</v>
      </c>
      <c r="J13" s="891"/>
      <c r="K13" s="891" t="s">
        <v>113</v>
      </c>
      <c r="L13" s="698"/>
      <c r="M13" s="891" t="s">
        <v>113</v>
      </c>
      <c r="N13" s="34"/>
      <c r="O13" s="892" t="s">
        <v>113</v>
      </c>
      <c r="S13" s="892" t="s">
        <v>113</v>
      </c>
    </row>
    <row r="14" spans="1:19" s="893" customFormat="1" ht="15">
      <c r="A14" s="888"/>
      <c r="B14" s="888"/>
      <c r="C14" s="889"/>
      <c r="D14" s="890"/>
      <c r="E14" s="894"/>
      <c r="F14" s="888"/>
      <c r="G14" s="891" t="s">
        <v>273</v>
      </c>
      <c r="H14" s="891" t="s">
        <v>163</v>
      </c>
      <c r="I14" s="891" t="s">
        <v>273</v>
      </c>
      <c r="J14" s="891" t="s">
        <v>72</v>
      </c>
      <c r="K14" s="891" t="s">
        <v>273</v>
      </c>
      <c r="L14" s="891" t="s">
        <v>163</v>
      </c>
      <c r="M14" s="891" t="s">
        <v>273</v>
      </c>
      <c r="N14" s="891" t="s">
        <v>72</v>
      </c>
      <c r="O14" s="892" t="s">
        <v>162</v>
      </c>
      <c r="Q14" s="892" t="s">
        <v>163</v>
      </c>
      <c r="S14" s="892" t="s">
        <v>162</v>
      </c>
    </row>
    <row r="15" spans="1:19" s="893" customFormat="1" ht="15.75" thickBot="1">
      <c r="A15" s="888"/>
      <c r="B15" s="888"/>
      <c r="C15" s="889"/>
      <c r="D15" s="890"/>
      <c r="E15" s="888"/>
      <c r="F15" s="888"/>
      <c r="G15" s="895" t="s">
        <v>954</v>
      </c>
      <c r="H15" s="895" t="s">
        <v>342</v>
      </c>
      <c r="I15" s="895" t="s">
        <v>957</v>
      </c>
      <c r="J15" s="895" t="s">
        <v>956</v>
      </c>
      <c r="K15" s="895" t="s">
        <v>954</v>
      </c>
      <c r="L15" s="895" t="s">
        <v>342</v>
      </c>
      <c r="M15" s="895" t="s">
        <v>957</v>
      </c>
      <c r="N15" s="895" t="s">
        <v>956</v>
      </c>
      <c r="O15" s="896" t="s">
        <v>164</v>
      </c>
      <c r="Q15" s="896" t="s">
        <v>72</v>
      </c>
      <c r="S15" s="896" t="s">
        <v>165</v>
      </c>
    </row>
    <row r="16" spans="1:19" s="157" customFormat="1" ht="18">
      <c r="A16" s="413"/>
      <c r="B16" s="414"/>
      <c r="C16" s="415"/>
      <c r="D16" s="416" t="s">
        <v>279</v>
      </c>
      <c r="E16" s="413"/>
      <c r="F16" s="413"/>
      <c r="G16" s="712"/>
      <c r="H16" s="712"/>
      <c r="I16" s="710"/>
      <c r="J16" s="710"/>
      <c r="K16" s="712"/>
      <c r="L16" s="712"/>
      <c r="M16" s="710"/>
      <c r="N16" s="710"/>
      <c r="O16" s="176"/>
      <c r="P16" s="174"/>
      <c r="Q16" s="176"/>
      <c r="R16" s="174"/>
      <c r="S16" s="176"/>
    </row>
    <row r="17" spans="1:19" s="157" customFormat="1" ht="8.25" customHeight="1">
      <c r="A17" s="413"/>
      <c r="B17" s="414"/>
      <c r="C17" s="417"/>
      <c r="D17" s="418"/>
      <c r="E17" s="413"/>
      <c r="F17" s="413"/>
      <c r="G17" s="712"/>
      <c r="H17" s="712"/>
      <c r="I17" s="710"/>
      <c r="J17" s="710"/>
      <c r="K17" s="712"/>
      <c r="L17" s="712"/>
      <c r="M17" s="710"/>
      <c r="N17" s="710"/>
      <c r="O17" s="176"/>
      <c r="P17" s="174"/>
      <c r="Q17" s="176"/>
      <c r="R17" s="174"/>
      <c r="S17" s="176"/>
    </row>
    <row r="18" spans="1:19" s="880" customFormat="1" ht="15">
      <c r="A18" s="382" t="s">
        <v>161</v>
      </c>
      <c r="B18" s="882" t="s">
        <v>280</v>
      </c>
      <c r="C18" s="868" t="s">
        <v>166</v>
      </c>
      <c r="D18" s="883">
        <v>353</v>
      </c>
      <c r="E18" s="382" t="s">
        <v>343</v>
      </c>
      <c r="F18" s="382"/>
      <c r="G18" s="884">
        <f>'WP-BC'!E206</f>
        <v>85139760.3</v>
      </c>
      <c r="H18" s="884">
        <f>'WP-BC'!F206</f>
        <v>25847224.540000003</v>
      </c>
      <c r="I18" s="879">
        <f>+G18-H18</f>
        <v>59292535.75999999</v>
      </c>
      <c r="J18" s="884">
        <f>'WP-BC'!H206</f>
        <v>2730448.78</v>
      </c>
      <c r="K18" s="884">
        <f>'WP-BC'!I206</f>
        <v>85223562.52</v>
      </c>
      <c r="L18" s="884">
        <f>'WP-BC'!J206</f>
        <v>22412054.76</v>
      </c>
      <c r="M18" s="879">
        <f>+K18-L18</f>
        <v>62811507.75999999</v>
      </c>
      <c r="N18" s="884">
        <f>'WP-BC'!L206</f>
        <v>2731967.6</v>
      </c>
      <c r="O18" s="885">
        <v>71707767.76</v>
      </c>
      <c r="P18" s="886"/>
      <c r="Q18" s="885">
        <v>9509690.26</v>
      </c>
      <c r="R18" s="886"/>
      <c r="S18" s="885">
        <f>+O18-Q18</f>
        <v>62198077.50000001</v>
      </c>
    </row>
    <row r="19" spans="1:19" s="873" customFormat="1" ht="15">
      <c r="A19" s="866"/>
      <c r="B19" s="867"/>
      <c r="C19" s="868"/>
      <c r="D19" s="869"/>
      <c r="E19" s="866"/>
      <c r="F19" s="866"/>
      <c r="G19" s="377"/>
      <c r="H19" s="377"/>
      <c r="I19" s="870"/>
      <c r="J19" s="870"/>
      <c r="K19" s="377"/>
      <c r="L19" s="377"/>
      <c r="M19" s="870"/>
      <c r="N19" s="870"/>
      <c r="O19" s="871"/>
      <c r="P19" s="872"/>
      <c r="Q19" s="871"/>
      <c r="R19" s="872"/>
      <c r="S19" s="871"/>
    </row>
    <row r="20" spans="1:19" s="873" customFormat="1" ht="15">
      <c r="A20" s="866" t="s">
        <v>161</v>
      </c>
      <c r="B20" s="867" t="s">
        <v>280</v>
      </c>
      <c r="C20" s="868" t="s">
        <v>577</v>
      </c>
      <c r="D20" s="869">
        <v>350</v>
      </c>
      <c r="E20" s="866" t="s">
        <v>169</v>
      </c>
      <c r="F20" s="866"/>
      <c r="G20" s="377">
        <f>'WP-BC'!E31</f>
        <v>0</v>
      </c>
      <c r="H20" s="377">
        <f>'WP-BC'!F31</f>
        <v>0</v>
      </c>
      <c r="I20" s="870">
        <f aca="true" t="shared" si="0" ref="I20:I28">+G20-H20</f>
        <v>0</v>
      </c>
      <c r="J20" s="377">
        <f>'WP-BC'!H31</f>
        <v>0</v>
      </c>
      <c r="K20" s="377">
        <f>'WP-BC'!I31</f>
        <v>0</v>
      </c>
      <c r="L20" s="377">
        <f>'WP-BC'!J31</f>
        <v>0</v>
      </c>
      <c r="M20" s="870">
        <f aca="true" t="shared" si="1" ref="M20:M28">+K20-L20</f>
        <v>0</v>
      </c>
      <c r="N20" s="377">
        <f>'WP-BC'!L31</f>
        <v>0</v>
      </c>
      <c r="O20" s="871"/>
      <c r="P20" s="872"/>
      <c r="Q20" s="871"/>
      <c r="R20" s="872"/>
      <c r="S20" s="871"/>
    </row>
    <row r="21" spans="1:19" s="873" customFormat="1" ht="15">
      <c r="A21" s="866" t="s">
        <v>161</v>
      </c>
      <c r="B21" s="867" t="s">
        <v>280</v>
      </c>
      <c r="C21" s="868" t="s">
        <v>577</v>
      </c>
      <c r="D21" s="869">
        <v>352</v>
      </c>
      <c r="E21" s="866" t="s">
        <v>73</v>
      </c>
      <c r="F21" s="866"/>
      <c r="G21" s="377">
        <f>'WP-BC'!E207</f>
        <v>0</v>
      </c>
      <c r="H21" s="377">
        <f>'WP-BC'!F207</f>
        <v>0</v>
      </c>
      <c r="I21" s="870">
        <f t="shared" si="0"/>
        <v>0</v>
      </c>
      <c r="J21" s="377">
        <f>'WP-BC'!H207</f>
        <v>0</v>
      </c>
      <c r="K21" s="377">
        <f>'WP-BC'!I207</f>
        <v>0</v>
      </c>
      <c r="L21" s="377">
        <f>'WP-BC'!J207</f>
        <v>0</v>
      </c>
      <c r="M21" s="870">
        <f t="shared" si="1"/>
        <v>0</v>
      </c>
      <c r="N21" s="377">
        <f>'WP-BC'!L207</f>
        <v>0</v>
      </c>
      <c r="O21" s="871"/>
      <c r="P21" s="872"/>
      <c r="Q21" s="871"/>
      <c r="R21" s="872"/>
      <c r="S21" s="871"/>
    </row>
    <row r="22" spans="1:19" s="873" customFormat="1" ht="15">
      <c r="A22" s="866" t="s">
        <v>161</v>
      </c>
      <c r="B22" s="867" t="s">
        <v>280</v>
      </c>
      <c r="C22" s="868" t="s">
        <v>577</v>
      </c>
      <c r="D22" s="869">
        <v>353</v>
      </c>
      <c r="E22" s="866" t="s">
        <v>20</v>
      </c>
      <c r="F22" s="866"/>
      <c r="G22" s="377">
        <f>'WP-BC'!E208</f>
        <v>60481915</v>
      </c>
      <c r="H22" s="377">
        <f>'WP-BC'!F208</f>
        <v>13608463</v>
      </c>
      <c r="I22" s="870">
        <f t="shared" si="0"/>
        <v>46873452</v>
      </c>
      <c r="J22" s="377">
        <f>'WP-BC'!H208</f>
        <v>3024102</v>
      </c>
      <c r="K22" s="377">
        <f>'WP-BC'!I208</f>
        <v>60481915</v>
      </c>
      <c r="L22" s="377">
        <f>'WP-BC'!J208</f>
        <v>10584361</v>
      </c>
      <c r="M22" s="870">
        <f t="shared" si="1"/>
        <v>49897554</v>
      </c>
      <c r="N22" s="377">
        <f>'WP-BC'!L208</f>
        <v>3024102</v>
      </c>
      <c r="O22" s="871"/>
      <c r="P22" s="872"/>
      <c r="Q22" s="871"/>
      <c r="R22" s="872"/>
      <c r="S22" s="871"/>
    </row>
    <row r="23" spans="1:19" s="873" customFormat="1" ht="15">
      <c r="A23" s="866" t="s">
        <v>161</v>
      </c>
      <c r="B23" s="867" t="s">
        <v>280</v>
      </c>
      <c r="C23" s="868" t="s">
        <v>577</v>
      </c>
      <c r="D23" s="869">
        <v>354</v>
      </c>
      <c r="E23" s="866" t="s">
        <v>78</v>
      </c>
      <c r="F23" s="866"/>
      <c r="G23" s="377">
        <f>'WP-BC'!E209</f>
        <v>0</v>
      </c>
      <c r="H23" s="377">
        <f>'WP-BC'!F209</f>
        <v>0</v>
      </c>
      <c r="I23" s="870">
        <f t="shared" si="0"/>
        <v>0</v>
      </c>
      <c r="J23" s="377">
        <f>'WP-BC'!H209</f>
        <v>0</v>
      </c>
      <c r="K23" s="377">
        <f>'WP-BC'!I209</f>
        <v>0</v>
      </c>
      <c r="L23" s="377">
        <f>'WP-BC'!J209</f>
        <v>0</v>
      </c>
      <c r="M23" s="870">
        <f t="shared" si="1"/>
        <v>0</v>
      </c>
      <c r="N23" s="377">
        <f>'WP-BC'!L209</f>
        <v>0</v>
      </c>
      <c r="O23" s="871"/>
      <c r="P23" s="872"/>
      <c r="Q23" s="871"/>
      <c r="R23" s="872"/>
      <c r="S23" s="871"/>
    </row>
    <row r="24" spans="1:19" s="873" customFormat="1" ht="15">
      <c r="A24" s="866" t="s">
        <v>161</v>
      </c>
      <c r="B24" s="867" t="s">
        <v>280</v>
      </c>
      <c r="C24" s="868" t="s">
        <v>577</v>
      </c>
      <c r="D24" s="869">
        <v>355</v>
      </c>
      <c r="E24" s="866" t="s">
        <v>79</v>
      </c>
      <c r="F24" s="866"/>
      <c r="G24" s="377">
        <f>'WP-BC'!E210</f>
        <v>0</v>
      </c>
      <c r="H24" s="377">
        <f>'WP-BC'!F210</f>
        <v>0</v>
      </c>
      <c r="I24" s="870">
        <f t="shared" si="0"/>
        <v>0</v>
      </c>
      <c r="J24" s="377">
        <f>'WP-BC'!H210</f>
        <v>0</v>
      </c>
      <c r="K24" s="377">
        <f>'WP-BC'!I210</f>
        <v>0</v>
      </c>
      <c r="L24" s="377">
        <f>'WP-BC'!J210</f>
        <v>0</v>
      </c>
      <c r="M24" s="870">
        <f t="shared" si="1"/>
        <v>0</v>
      </c>
      <c r="N24" s="377">
        <f>'WP-BC'!L210</f>
        <v>0</v>
      </c>
      <c r="O24" s="871"/>
      <c r="P24" s="872"/>
      <c r="Q24" s="871"/>
      <c r="R24" s="872"/>
      <c r="S24" s="871"/>
    </row>
    <row r="25" spans="1:19" s="873" customFormat="1" ht="15">
      <c r="A25" s="866" t="s">
        <v>161</v>
      </c>
      <c r="B25" s="867" t="s">
        <v>280</v>
      </c>
      <c r="C25" s="868" t="s">
        <v>577</v>
      </c>
      <c r="D25" s="869">
        <v>356</v>
      </c>
      <c r="E25" s="866" t="s">
        <v>80</v>
      </c>
      <c r="F25" s="866"/>
      <c r="G25" s="377">
        <f>'WP-BC'!E211</f>
        <v>0</v>
      </c>
      <c r="H25" s="377">
        <f>'WP-BC'!F211</f>
        <v>0</v>
      </c>
      <c r="I25" s="870">
        <f t="shared" si="0"/>
        <v>0</v>
      </c>
      <c r="J25" s="377">
        <f>'WP-BC'!H211</f>
        <v>0</v>
      </c>
      <c r="K25" s="377">
        <f>'WP-BC'!I211</f>
        <v>0</v>
      </c>
      <c r="L25" s="377">
        <f>'WP-BC'!J211</f>
        <v>0</v>
      </c>
      <c r="M25" s="870">
        <f t="shared" si="1"/>
        <v>0</v>
      </c>
      <c r="N25" s="377">
        <f>'WP-BC'!L211</f>
        <v>0</v>
      </c>
      <c r="O25" s="871"/>
      <c r="P25" s="872"/>
      <c r="Q25" s="871"/>
      <c r="R25" s="872"/>
      <c r="S25" s="871"/>
    </row>
    <row r="26" spans="1:19" s="873" customFormat="1" ht="15">
      <c r="A26" s="866" t="s">
        <v>161</v>
      </c>
      <c r="B26" s="867" t="s">
        <v>280</v>
      </c>
      <c r="C26" s="868" t="s">
        <v>577</v>
      </c>
      <c r="D26" s="869">
        <v>357</v>
      </c>
      <c r="E26" s="866" t="s">
        <v>81</v>
      </c>
      <c r="F26" s="866"/>
      <c r="G26" s="377">
        <f>'WP-BC'!E212</f>
        <v>24644166</v>
      </c>
      <c r="H26" s="377">
        <f>'WP-BC'!F212</f>
        <v>5544941</v>
      </c>
      <c r="I26" s="870">
        <f t="shared" si="0"/>
        <v>19099225</v>
      </c>
      <c r="J26" s="377">
        <f>'WP-BC'!H212</f>
        <v>1232209</v>
      </c>
      <c r="K26" s="377">
        <f>'WP-BC'!I212</f>
        <v>24644166</v>
      </c>
      <c r="L26" s="377">
        <f>'WP-BC'!J212</f>
        <v>4312732</v>
      </c>
      <c r="M26" s="870">
        <f t="shared" si="1"/>
        <v>20331434</v>
      </c>
      <c r="N26" s="377">
        <f>'WP-BC'!L212</f>
        <v>1232209</v>
      </c>
      <c r="O26" s="871"/>
      <c r="P26" s="872"/>
      <c r="Q26" s="871"/>
      <c r="R26" s="872"/>
      <c r="S26" s="871"/>
    </row>
    <row r="27" spans="1:19" s="873" customFormat="1" ht="15">
      <c r="A27" s="866" t="s">
        <v>161</v>
      </c>
      <c r="B27" s="867" t="s">
        <v>280</v>
      </c>
      <c r="C27" s="868" t="s">
        <v>577</v>
      </c>
      <c r="D27" s="869">
        <v>358</v>
      </c>
      <c r="E27" s="866" t="s">
        <v>82</v>
      </c>
      <c r="F27" s="866"/>
      <c r="G27" s="377">
        <f>'WP-BC'!E213</f>
        <v>0</v>
      </c>
      <c r="H27" s="377">
        <f>'WP-BC'!F213</f>
        <v>0</v>
      </c>
      <c r="I27" s="870">
        <f t="shared" si="0"/>
        <v>0</v>
      </c>
      <c r="J27" s="377">
        <f>'WP-BC'!H213</f>
        <v>0</v>
      </c>
      <c r="K27" s="377">
        <f>'WP-BC'!I213</f>
        <v>0</v>
      </c>
      <c r="L27" s="377">
        <f>'WP-BC'!J213</f>
        <v>0</v>
      </c>
      <c r="M27" s="870">
        <f t="shared" si="1"/>
        <v>0</v>
      </c>
      <c r="N27" s="377">
        <f>'WP-BC'!L213</f>
        <v>0</v>
      </c>
      <c r="O27" s="871"/>
      <c r="P27" s="872"/>
      <c r="Q27" s="871"/>
      <c r="R27" s="872"/>
      <c r="S27" s="871"/>
    </row>
    <row r="28" spans="1:19" s="873" customFormat="1" ht="15">
      <c r="A28" s="866" t="s">
        <v>161</v>
      </c>
      <c r="B28" s="867" t="s">
        <v>280</v>
      </c>
      <c r="C28" s="868" t="s">
        <v>577</v>
      </c>
      <c r="D28" s="869">
        <v>359</v>
      </c>
      <c r="E28" s="866" t="s">
        <v>83</v>
      </c>
      <c r="F28" s="866"/>
      <c r="G28" s="874">
        <f>'WP-BC'!E214</f>
        <v>0</v>
      </c>
      <c r="H28" s="874">
        <f>'WP-BC'!F214</f>
        <v>0</v>
      </c>
      <c r="I28" s="874">
        <f t="shared" si="0"/>
        <v>0</v>
      </c>
      <c r="J28" s="874">
        <f>'WP-BC'!H214</f>
        <v>0</v>
      </c>
      <c r="K28" s="874">
        <f>'WP-BC'!I214</f>
        <v>0</v>
      </c>
      <c r="L28" s="874">
        <f>'WP-BC'!J214</f>
        <v>0</v>
      </c>
      <c r="M28" s="874">
        <f t="shared" si="1"/>
        <v>0</v>
      </c>
      <c r="N28" s="874">
        <f>'WP-BC'!L214</f>
        <v>0</v>
      </c>
      <c r="O28" s="875"/>
      <c r="P28" s="876"/>
      <c r="Q28" s="875"/>
      <c r="R28" s="876"/>
      <c r="S28" s="875"/>
    </row>
    <row r="29" spans="1:19" s="873" customFormat="1" ht="15">
      <c r="A29" s="866"/>
      <c r="B29" s="867"/>
      <c r="C29" s="868"/>
      <c r="D29" s="878" t="s">
        <v>769</v>
      </c>
      <c r="E29" s="866"/>
      <c r="F29" s="866"/>
      <c r="G29" s="884">
        <f aca="true" t="shared" si="2" ref="G29:N29">SUM(G20:G28)</f>
        <v>85126081</v>
      </c>
      <c r="H29" s="884">
        <f t="shared" si="2"/>
        <v>19153404</v>
      </c>
      <c r="I29" s="884">
        <f t="shared" si="2"/>
        <v>65972677</v>
      </c>
      <c r="J29" s="884">
        <f t="shared" si="2"/>
        <v>4256311</v>
      </c>
      <c r="K29" s="884">
        <f t="shared" si="2"/>
        <v>85126081</v>
      </c>
      <c r="L29" s="884">
        <f t="shared" si="2"/>
        <v>14897093</v>
      </c>
      <c r="M29" s="884">
        <f t="shared" si="2"/>
        <v>70228988</v>
      </c>
      <c r="N29" s="884">
        <f t="shared" si="2"/>
        <v>4256311</v>
      </c>
      <c r="O29" s="871"/>
      <c r="P29" s="872"/>
      <c r="Q29" s="871"/>
      <c r="R29" s="872"/>
      <c r="S29" s="871"/>
    </row>
    <row r="30" spans="1:19" s="873" customFormat="1" ht="15">
      <c r="A30" s="866"/>
      <c r="B30" s="867"/>
      <c r="C30" s="868"/>
      <c r="D30" s="869"/>
      <c r="E30" s="866"/>
      <c r="F30" s="866"/>
      <c r="G30" s="377"/>
      <c r="H30" s="377"/>
      <c r="I30" s="870"/>
      <c r="J30" s="377"/>
      <c r="K30" s="377"/>
      <c r="L30" s="377"/>
      <c r="M30" s="870"/>
      <c r="N30" s="377"/>
      <c r="O30" s="871"/>
      <c r="P30" s="872"/>
      <c r="Q30" s="871"/>
      <c r="R30" s="872"/>
      <c r="S30" s="871"/>
    </row>
    <row r="31" spans="1:19" s="873" customFormat="1" ht="15">
      <c r="A31" s="866" t="s">
        <v>161</v>
      </c>
      <c r="B31" s="867" t="s">
        <v>280</v>
      </c>
      <c r="C31" s="868" t="s">
        <v>170</v>
      </c>
      <c r="D31" s="869">
        <v>353</v>
      </c>
      <c r="E31" s="866" t="s">
        <v>179</v>
      </c>
      <c r="F31" s="866"/>
      <c r="G31" s="377">
        <f>'WP-BC'!E216</f>
        <v>2395536</v>
      </c>
      <c r="H31" s="377">
        <f>'WP-BC'!F216</f>
        <v>983045</v>
      </c>
      <c r="I31" s="870">
        <f>+G31-H31</f>
        <v>1412491</v>
      </c>
      <c r="J31" s="377">
        <f>'WP-BC'!H216</f>
        <v>39926</v>
      </c>
      <c r="K31" s="377">
        <f>'WP-BC'!I216</f>
        <v>2395536</v>
      </c>
      <c r="L31" s="377">
        <f>'WP-BC'!J216</f>
        <v>943119</v>
      </c>
      <c r="M31" s="870">
        <f>+K31-L31</f>
        <v>1452417</v>
      </c>
      <c r="N31" s="377">
        <f>'WP-BC'!L216</f>
        <v>39926</v>
      </c>
      <c r="O31" s="871">
        <v>2395536</v>
      </c>
      <c r="P31" s="872"/>
      <c r="Q31" s="871">
        <v>743489</v>
      </c>
      <c r="R31" s="872"/>
      <c r="S31" s="871">
        <f>+O31-Q31</f>
        <v>1652047</v>
      </c>
    </row>
    <row r="32" spans="1:19" s="873" customFormat="1" ht="15">
      <c r="A32" s="866" t="s">
        <v>161</v>
      </c>
      <c r="B32" s="867" t="s">
        <v>280</v>
      </c>
      <c r="C32" s="868" t="s">
        <v>185</v>
      </c>
      <c r="D32" s="869">
        <v>353</v>
      </c>
      <c r="E32" s="866" t="s">
        <v>179</v>
      </c>
      <c r="F32" s="866"/>
      <c r="G32" s="377">
        <f>'WP-BC'!E229</f>
        <v>663158</v>
      </c>
      <c r="H32" s="377">
        <f>'WP-BC'!F229</f>
        <v>272142</v>
      </c>
      <c r="I32" s="870">
        <f>+G32-H32</f>
        <v>391016</v>
      </c>
      <c r="J32" s="377">
        <f>'WP-BC'!H229</f>
        <v>11053</v>
      </c>
      <c r="K32" s="377">
        <f>'WP-BC'!I229</f>
        <v>663158</v>
      </c>
      <c r="L32" s="377">
        <f>'WP-BC'!J229</f>
        <v>261089</v>
      </c>
      <c r="M32" s="870">
        <f>+K32-L32</f>
        <v>402069</v>
      </c>
      <c r="N32" s="377">
        <f>'WP-BC'!L229</f>
        <v>11053</v>
      </c>
      <c r="O32" s="871">
        <v>663158</v>
      </c>
      <c r="P32" s="872"/>
      <c r="Q32" s="871">
        <v>205824</v>
      </c>
      <c r="R32" s="872"/>
      <c r="S32" s="871">
        <f>+O32-Q32</f>
        <v>457334</v>
      </c>
    </row>
    <row r="33" spans="1:19" s="873" customFormat="1" ht="15">
      <c r="A33" s="866" t="s">
        <v>161</v>
      </c>
      <c r="B33" s="867" t="s">
        <v>280</v>
      </c>
      <c r="C33" s="868" t="s">
        <v>182</v>
      </c>
      <c r="D33" s="869">
        <v>353</v>
      </c>
      <c r="E33" s="866" t="s">
        <v>179</v>
      </c>
      <c r="F33" s="866"/>
      <c r="G33" s="874">
        <f>'WP-BC'!E221</f>
        <v>4302254</v>
      </c>
      <c r="H33" s="874">
        <f>'WP-BC'!F221</f>
        <v>1765498</v>
      </c>
      <c r="I33" s="874">
        <f>+G33-H33</f>
        <v>2536756</v>
      </c>
      <c r="J33" s="874">
        <f>'WP-BC'!H221</f>
        <v>71705</v>
      </c>
      <c r="K33" s="874">
        <f>'WP-BC'!I221</f>
        <v>4302254</v>
      </c>
      <c r="L33" s="874">
        <f>'WP-BC'!J221</f>
        <v>1693793</v>
      </c>
      <c r="M33" s="874">
        <f>+K33-L33</f>
        <v>2608461</v>
      </c>
      <c r="N33" s="874">
        <f>'WP-BC'!L221</f>
        <v>71705</v>
      </c>
      <c r="O33" s="875">
        <v>4302254</v>
      </c>
      <c r="P33" s="876"/>
      <c r="Q33" s="875">
        <v>1335268</v>
      </c>
      <c r="R33" s="876"/>
      <c r="S33" s="875">
        <f>+O33-Q33</f>
        <v>2966986</v>
      </c>
    </row>
    <row r="34" spans="1:19" s="873" customFormat="1" ht="15">
      <c r="A34" s="866"/>
      <c r="B34" s="867"/>
      <c r="C34" s="868"/>
      <c r="D34" s="878" t="s">
        <v>275</v>
      </c>
      <c r="E34" s="866"/>
      <c r="F34" s="866"/>
      <c r="G34" s="884">
        <f aca="true" t="shared" si="3" ref="G34:O34">SUM(G31:G33)</f>
        <v>7360948</v>
      </c>
      <c r="H34" s="884">
        <f t="shared" si="3"/>
        <v>3020685</v>
      </c>
      <c r="I34" s="884">
        <f t="shared" si="3"/>
        <v>4340263</v>
      </c>
      <c r="J34" s="884">
        <f t="shared" si="3"/>
        <v>122684</v>
      </c>
      <c r="K34" s="884">
        <f t="shared" si="3"/>
        <v>7360948</v>
      </c>
      <c r="L34" s="884">
        <f t="shared" si="3"/>
        <v>2898001</v>
      </c>
      <c r="M34" s="884">
        <f t="shared" si="3"/>
        <v>4462947</v>
      </c>
      <c r="N34" s="884">
        <f t="shared" si="3"/>
        <v>122684</v>
      </c>
      <c r="O34" s="885">
        <f t="shared" si="3"/>
        <v>7360948</v>
      </c>
      <c r="P34" s="872"/>
      <c r="Q34" s="885">
        <f>SUM(Q31:Q33)</f>
        <v>2284581</v>
      </c>
      <c r="R34" s="872"/>
      <c r="S34" s="885">
        <f>SUM(S31:S33)</f>
        <v>5076367</v>
      </c>
    </row>
    <row r="35" spans="1:19" s="873" customFormat="1" ht="7.5" customHeight="1">
      <c r="A35" s="866"/>
      <c r="B35" s="867"/>
      <c r="C35" s="868"/>
      <c r="D35" s="869"/>
      <c r="E35" s="866"/>
      <c r="F35" s="866"/>
      <c r="G35" s="377"/>
      <c r="H35" s="377"/>
      <c r="I35" s="870"/>
      <c r="J35" s="377"/>
      <c r="K35" s="377"/>
      <c r="L35" s="377"/>
      <c r="M35" s="870"/>
      <c r="N35" s="377"/>
      <c r="O35" s="871"/>
      <c r="P35" s="872"/>
      <c r="Q35" s="871"/>
      <c r="R35" s="872"/>
      <c r="S35" s="871"/>
    </row>
    <row r="36" spans="1:19" s="880" customFormat="1" ht="15">
      <c r="A36" s="382" t="s">
        <v>161</v>
      </c>
      <c r="B36" s="882" t="s">
        <v>280</v>
      </c>
      <c r="C36" s="868" t="s">
        <v>173</v>
      </c>
      <c r="D36" s="883">
        <v>353</v>
      </c>
      <c r="E36" s="382" t="s">
        <v>307</v>
      </c>
      <c r="F36" s="382"/>
      <c r="G36" s="884">
        <f>'WP-BC'!E217</f>
        <v>11387084.28</v>
      </c>
      <c r="H36" s="884">
        <f>'WP-BC'!F217</f>
        <v>4614239.28</v>
      </c>
      <c r="I36" s="879">
        <f>+G36-H36</f>
        <v>6772844.999999999</v>
      </c>
      <c r="J36" s="884">
        <f>'WP-BC'!H217</f>
        <v>314064.65</v>
      </c>
      <c r="K36" s="884">
        <f>'WP-BC'!I217</f>
        <v>11141011.629999999</v>
      </c>
      <c r="L36" s="884">
        <f>'WP-BC'!J217</f>
        <v>4300174.63</v>
      </c>
      <c r="M36" s="879">
        <f>+K36-L36</f>
        <v>6840836.999999999</v>
      </c>
      <c r="N36" s="884">
        <f>'WP-BC'!L217</f>
        <v>308044.76</v>
      </c>
      <c r="O36" s="885">
        <v>7581079</v>
      </c>
      <c r="P36" s="886"/>
      <c r="Q36" s="885">
        <v>2894210</v>
      </c>
      <c r="R36" s="886"/>
      <c r="S36" s="885">
        <f>+O36-Q36</f>
        <v>4686869</v>
      </c>
    </row>
    <row r="37" spans="1:19" s="873" customFormat="1" ht="9" customHeight="1">
      <c r="A37" s="866"/>
      <c r="B37" s="867"/>
      <c r="C37" s="868"/>
      <c r="D37" s="878"/>
      <c r="E37" s="866"/>
      <c r="F37" s="866"/>
      <c r="G37" s="377"/>
      <c r="H37" s="377"/>
      <c r="I37" s="870"/>
      <c r="J37" s="377"/>
      <c r="K37" s="377"/>
      <c r="L37" s="377"/>
      <c r="M37" s="870"/>
      <c r="N37" s="377"/>
      <c r="O37" s="871"/>
      <c r="P37" s="872"/>
      <c r="Q37" s="871"/>
      <c r="R37" s="872"/>
      <c r="S37" s="871"/>
    </row>
    <row r="38" spans="1:19" s="873" customFormat="1" ht="15">
      <c r="A38" s="866" t="s">
        <v>161</v>
      </c>
      <c r="B38" s="867" t="s">
        <v>280</v>
      </c>
      <c r="C38" s="868" t="s">
        <v>181</v>
      </c>
      <c r="D38" s="869">
        <v>350</v>
      </c>
      <c r="E38" s="866" t="s">
        <v>169</v>
      </c>
      <c r="F38" s="866"/>
      <c r="G38" s="377">
        <f>'WP-BC'!E32</f>
        <v>981</v>
      </c>
      <c r="H38" s="377">
        <f>'WP-BC'!F32</f>
        <v>0</v>
      </c>
      <c r="I38" s="870">
        <f>+G38-H38</f>
        <v>981</v>
      </c>
      <c r="J38" s="377">
        <f>'WP-BC'!H32</f>
        <v>0</v>
      </c>
      <c r="K38" s="377">
        <f>'WP-BC'!I32</f>
        <v>981</v>
      </c>
      <c r="L38" s="377">
        <f>'WP-BC'!J32</f>
        <v>0</v>
      </c>
      <c r="M38" s="870">
        <f>+K38-L38</f>
        <v>981</v>
      </c>
      <c r="N38" s="377">
        <f>'WP-BC'!L32</f>
        <v>0</v>
      </c>
      <c r="O38" s="871">
        <v>981</v>
      </c>
      <c r="P38" s="872"/>
      <c r="Q38" s="871">
        <v>0</v>
      </c>
      <c r="R38" s="872"/>
      <c r="S38" s="871">
        <f>+O38-Q38</f>
        <v>981</v>
      </c>
    </row>
    <row r="39" spans="1:19" s="873" customFormat="1" ht="15">
      <c r="A39" s="866" t="s">
        <v>161</v>
      </c>
      <c r="B39" s="867" t="s">
        <v>280</v>
      </c>
      <c r="C39" s="868" t="s">
        <v>181</v>
      </c>
      <c r="D39" s="869">
        <v>352</v>
      </c>
      <c r="E39" s="866" t="s">
        <v>73</v>
      </c>
      <c r="F39" s="866"/>
      <c r="G39" s="377">
        <f>'WP-BC'!E223</f>
        <v>69748</v>
      </c>
      <c r="H39" s="377">
        <f>'WP-BC'!F223</f>
        <v>57196.64</v>
      </c>
      <c r="I39" s="870">
        <f>+G39-H39</f>
        <v>12551.36</v>
      </c>
      <c r="J39" s="377">
        <f>'WP-BC'!H223</f>
        <v>-472.3600000000001</v>
      </c>
      <c r="K39" s="377">
        <f>'WP-BC'!I223</f>
        <v>69748</v>
      </c>
      <c r="L39" s="377">
        <f>'WP-BC'!J223</f>
        <v>57669</v>
      </c>
      <c r="M39" s="870">
        <f>+K39-L39</f>
        <v>12079</v>
      </c>
      <c r="N39" s="377">
        <f>'WP-BC'!L223</f>
        <v>1744</v>
      </c>
      <c r="O39" s="871">
        <v>69748</v>
      </c>
      <c r="P39" s="872"/>
      <c r="Q39" s="871">
        <v>52142</v>
      </c>
      <c r="R39" s="872"/>
      <c r="S39" s="871">
        <f>+O39-Q39</f>
        <v>17606</v>
      </c>
    </row>
    <row r="40" spans="1:19" s="873" customFormat="1" ht="15">
      <c r="A40" s="866" t="s">
        <v>161</v>
      </c>
      <c r="B40" s="867" t="s">
        <v>280</v>
      </c>
      <c r="C40" s="868" t="s">
        <v>181</v>
      </c>
      <c r="D40" s="869">
        <v>353</v>
      </c>
      <c r="E40" s="866" t="s">
        <v>20</v>
      </c>
      <c r="F40" s="866"/>
      <c r="G40" s="377">
        <f>'WP-BC'!E224</f>
        <v>14716023</v>
      </c>
      <c r="H40" s="377">
        <f>'WP-BC'!F224</f>
        <v>14716022.59</v>
      </c>
      <c r="I40" s="870">
        <f>+G40-H40</f>
        <v>0.4100000001490116</v>
      </c>
      <c r="J40" s="377">
        <f>'WP-BC'!H224</f>
        <v>-100511.41000000003</v>
      </c>
      <c r="K40" s="377">
        <f>'WP-BC'!I224</f>
        <v>14716023</v>
      </c>
      <c r="L40" s="377">
        <f>'WP-BC'!J224</f>
        <v>15125821</v>
      </c>
      <c r="M40" s="870">
        <f>+K40-L40</f>
        <v>-409798</v>
      </c>
      <c r="N40" s="377">
        <f>'WP-BC'!L224</f>
        <v>367901</v>
      </c>
      <c r="O40" s="871">
        <v>14716023</v>
      </c>
      <c r="P40" s="872"/>
      <c r="Q40" s="871">
        <v>13714374</v>
      </c>
      <c r="R40" s="872"/>
      <c r="S40" s="871">
        <f>+O40-Q40</f>
        <v>1001649</v>
      </c>
    </row>
    <row r="41" spans="1:19" s="873" customFormat="1" ht="15">
      <c r="A41" s="866" t="s">
        <v>161</v>
      </c>
      <c r="B41" s="867" t="s">
        <v>280</v>
      </c>
      <c r="C41" s="868" t="s">
        <v>181</v>
      </c>
      <c r="D41" s="869">
        <v>357</v>
      </c>
      <c r="E41" s="866" t="s">
        <v>81</v>
      </c>
      <c r="F41" s="866"/>
      <c r="G41" s="377">
        <f>'WP-BC'!E225</f>
        <v>16192845</v>
      </c>
      <c r="H41" s="377">
        <f>'WP-BC'!F225</f>
        <v>16192845.03</v>
      </c>
      <c r="I41" s="870">
        <f>+G41-H41</f>
        <v>-0.029999999329447746</v>
      </c>
      <c r="J41" s="377">
        <f>'WP-BC'!H225</f>
        <v>-110593.96999999997</v>
      </c>
      <c r="K41" s="377">
        <f>'WP-BC'!I225</f>
        <v>16192845</v>
      </c>
      <c r="L41" s="377">
        <f>'WP-BC'!J225</f>
        <v>16698873</v>
      </c>
      <c r="M41" s="870">
        <f>+K41-L41</f>
        <v>-506028</v>
      </c>
      <c r="N41" s="377">
        <f>'WP-BC'!L225</f>
        <v>404822</v>
      </c>
      <c r="O41" s="871">
        <v>16192845</v>
      </c>
      <c r="P41" s="872"/>
      <c r="Q41" s="871">
        <v>15487818</v>
      </c>
      <c r="R41" s="872"/>
      <c r="S41" s="871">
        <f>+O41-Q41</f>
        <v>705027</v>
      </c>
    </row>
    <row r="42" spans="1:19" s="873" customFormat="1" ht="15">
      <c r="A42" s="866" t="s">
        <v>161</v>
      </c>
      <c r="B42" s="867" t="s">
        <v>280</v>
      </c>
      <c r="C42" s="868" t="s">
        <v>181</v>
      </c>
      <c r="D42" s="869">
        <v>358</v>
      </c>
      <c r="E42" s="866" t="s">
        <v>82</v>
      </c>
      <c r="F42" s="866"/>
      <c r="G42" s="874">
        <f>'WP-BC'!E226</f>
        <v>14726135</v>
      </c>
      <c r="H42" s="874">
        <f>'WP-BC'!F226</f>
        <v>14033965.74</v>
      </c>
      <c r="I42" s="874">
        <f>+G42-H42</f>
        <v>692169.2599999998</v>
      </c>
      <c r="J42" s="874">
        <f>'WP-BC'!H226</f>
        <v>-100580.26000000001</v>
      </c>
      <c r="K42" s="874">
        <f>'WP-BC'!I226</f>
        <v>14726135</v>
      </c>
      <c r="L42" s="874">
        <f>'WP-BC'!J226</f>
        <v>14134546</v>
      </c>
      <c r="M42" s="874">
        <f>+K42-L42</f>
        <v>591589</v>
      </c>
      <c r="N42" s="874">
        <f>'WP-BC'!L226</f>
        <v>368154</v>
      </c>
      <c r="O42" s="875">
        <v>14726135</v>
      </c>
      <c r="P42" s="876"/>
      <c r="Q42" s="875">
        <v>13030098</v>
      </c>
      <c r="R42" s="876"/>
      <c r="S42" s="875">
        <f>+O42-Q42</f>
        <v>1696037</v>
      </c>
    </row>
    <row r="43" spans="1:19" s="873" customFormat="1" ht="15">
      <c r="A43" s="866"/>
      <c r="B43" s="867"/>
      <c r="C43" s="868"/>
      <c r="D43" s="878" t="s">
        <v>277</v>
      </c>
      <c r="E43" s="866"/>
      <c r="F43" s="866"/>
      <c r="G43" s="884">
        <f aca="true" t="shared" si="4" ref="G43:O43">SUM(G38:G42)</f>
        <v>45705732</v>
      </c>
      <c r="H43" s="884">
        <f t="shared" si="4"/>
        <v>45000030</v>
      </c>
      <c r="I43" s="884">
        <f t="shared" si="4"/>
        <v>705702.0000000006</v>
      </c>
      <c r="J43" s="884">
        <f t="shared" si="4"/>
        <v>-312158</v>
      </c>
      <c r="K43" s="884">
        <f t="shared" si="4"/>
        <v>45705732</v>
      </c>
      <c r="L43" s="884">
        <f t="shared" si="4"/>
        <v>46016909</v>
      </c>
      <c r="M43" s="884">
        <f t="shared" si="4"/>
        <v>-311177</v>
      </c>
      <c r="N43" s="884">
        <f t="shared" si="4"/>
        <v>1142621</v>
      </c>
      <c r="O43" s="885">
        <f t="shared" si="4"/>
        <v>45705732</v>
      </c>
      <c r="P43" s="872"/>
      <c r="Q43" s="885">
        <f>SUM(Q38:Q42)</f>
        <v>42284432</v>
      </c>
      <c r="R43" s="872"/>
      <c r="S43" s="885">
        <f>SUM(S38:S42)</f>
        <v>3421300</v>
      </c>
    </row>
    <row r="44" spans="1:19" s="873" customFormat="1" ht="7.5" customHeight="1">
      <c r="A44" s="866"/>
      <c r="B44" s="867"/>
      <c r="C44" s="868"/>
      <c r="D44" s="869"/>
      <c r="E44" s="866"/>
      <c r="F44" s="866"/>
      <c r="G44" s="377"/>
      <c r="H44" s="377"/>
      <c r="I44" s="870"/>
      <c r="J44" s="377"/>
      <c r="K44" s="377"/>
      <c r="L44" s="377"/>
      <c r="M44" s="870"/>
      <c r="N44" s="377"/>
      <c r="O44" s="871"/>
      <c r="P44" s="872"/>
      <c r="Q44" s="871"/>
      <c r="R44" s="872"/>
      <c r="S44" s="871"/>
    </row>
    <row r="45" spans="1:19" s="873" customFormat="1" ht="15">
      <c r="A45" s="866" t="s">
        <v>161</v>
      </c>
      <c r="B45" s="867" t="s">
        <v>280</v>
      </c>
      <c r="C45" s="868" t="s">
        <v>177</v>
      </c>
      <c r="D45" s="869">
        <v>353</v>
      </c>
      <c r="E45" s="866" t="s">
        <v>179</v>
      </c>
      <c r="F45" s="866"/>
      <c r="G45" s="377">
        <f>'WP-BC'!E215</f>
        <v>6324138</v>
      </c>
      <c r="H45" s="377">
        <f>'WP-BC'!F215</f>
        <v>5472804.23</v>
      </c>
      <c r="I45" s="870">
        <f aca="true" t="shared" si="5" ref="I45:I51">+G45-H45</f>
        <v>851333.7699999996</v>
      </c>
      <c r="J45" s="377">
        <f>'WP-BC'!H215</f>
        <v>262877</v>
      </c>
      <c r="K45" s="377">
        <f>'WP-BC'!I215</f>
        <v>6324138</v>
      </c>
      <c r="L45" s="377">
        <f>'WP-BC'!J215</f>
        <v>5209927.23</v>
      </c>
      <c r="M45" s="870">
        <f aca="true" t="shared" si="6" ref="M45:M51">+K45-L45</f>
        <v>1114210.7699999996</v>
      </c>
      <c r="N45" s="377">
        <f>'WP-BC'!L215</f>
        <v>262877</v>
      </c>
      <c r="O45" s="871">
        <v>6324138</v>
      </c>
      <c r="P45" s="872"/>
      <c r="Q45" s="871">
        <v>3895543.23</v>
      </c>
      <c r="R45" s="872"/>
      <c r="S45" s="871">
        <f aca="true" t="shared" si="7" ref="S45:S51">+O45-Q45</f>
        <v>2428594.77</v>
      </c>
    </row>
    <row r="46" spans="1:19" s="873" customFormat="1" ht="15">
      <c r="A46" s="866" t="s">
        <v>161</v>
      </c>
      <c r="B46" s="867" t="s">
        <v>280</v>
      </c>
      <c r="C46" s="868" t="s">
        <v>174</v>
      </c>
      <c r="D46" s="869">
        <v>353</v>
      </c>
      <c r="E46" s="866" t="s">
        <v>179</v>
      </c>
      <c r="F46" s="866"/>
      <c r="G46" s="377">
        <f>'WP-BC'!E218</f>
        <v>28715227.16</v>
      </c>
      <c r="H46" s="377">
        <f>'WP-BC'!F218</f>
        <v>25744037.33</v>
      </c>
      <c r="I46" s="870">
        <f t="shared" si="5"/>
        <v>2971189.830000002</v>
      </c>
      <c r="J46" s="377">
        <f>'WP-BC'!H218</f>
        <v>2396123</v>
      </c>
      <c r="K46" s="377">
        <f>'WP-BC'!I218</f>
        <v>28715227.16</v>
      </c>
      <c r="L46" s="377">
        <f>'WP-BC'!J218</f>
        <v>23347914.33</v>
      </c>
      <c r="M46" s="870">
        <f t="shared" si="6"/>
        <v>5367312.830000002</v>
      </c>
      <c r="N46" s="377">
        <f>'WP-BC'!L218</f>
        <v>2396825</v>
      </c>
      <c r="O46" s="871">
        <v>28929287.28</v>
      </c>
      <c r="P46" s="872"/>
      <c r="Q46" s="871">
        <v>11360221.45</v>
      </c>
      <c r="R46" s="872"/>
      <c r="S46" s="871">
        <f t="shared" si="7"/>
        <v>17569065.830000002</v>
      </c>
    </row>
    <row r="47" spans="1:19" s="873" customFormat="1" ht="15">
      <c r="A47" s="866" t="s">
        <v>161</v>
      </c>
      <c r="B47" s="867" t="s">
        <v>280</v>
      </c>
      <c r="C47" s="868" t="s">
        <v>175</v>
      </c>
      <c r="D47" s="869">
        <v>353</v>
      </c>
      <c r="E47" s="866" t="s">
        <v>179</v>
      </c>
      <c r="F47" s="866"/>
      <c r="G47" s="377">
        <f>'WP-BC'!E219</f>
        <v>19713612.19</v>
      </c>
      <c r="H47" s="377">
        <f>'WP-BC'!F219</f>
        <v>18235629.19</v>
      </c>
      <c r="I47" s="870">
        <f t="shared" si="5"/>
        <v>1477983</v>
      </c>
      <c r="J47" s="377">
        <f>'WP-BC'!H219</f>
        <v>994166.3500000001</v>
      </c>
      <c r="K47" s="377">
        <f>'WP-BC'!I219</f>
        <v>20017963.84</v>
      </c>
      <c r="L47" s="377">
        <f>'WP-BC'!J219</f>
        <v>17241462.84</v>
      </c>
      <c r="M47" s="870">
        <f t="shared" si="6"/>
        <v>2776501</v>
      </c>
      <c r="N47" s="377">
        <f>'WP-BC'!L219</f>
        <v>994857.5700000001</v>
      </c>
      <c r="O47" s="871">
        <v>18077566</v>
      </c>
      <c r="P47" s="872"/>
      <c r="Q47" s="871">
        <v>12146580</v>
      </c>
      <c r="R47" s="872"/>
      <c r="S47" s="871">
        <f t="shared" si="7"/>
        <v>5930986</v>
      </c>
    </row>
    <row r="48" spans="1:19" s="873" customFormat="1" ht="15">
      <c r="A48" s="866" t="s">
        <v>161</v>
      </c>
      <c r="B48" s="867" t="s">
        <v>280</v>
      </c>
      <c r="C48" s="868" t="s">
        <v>176</v>
      </c>
      <c r="D48" s="869">
        <v>353</v>
      </c>
      <c r="E48" s="866" t="s">
        <v>179</v>
      </c>
      <c r="F48" s="866"/>
      <c r="G48" s="377">
        <f>'WP-BC'!E220</f>
        <v>18598055.07</v>
      </c>
      <c r="H48" s="377">
        <f>'WP-BC'!F220</f>
        <v>15210791.069999998</v>
      </c>
      <c r="I48" s="870">
        <f t="shared" si="5"/>
        <v>3387264.000000002</v>
      </c>
      <c r="J48" s="377">
        <f>'WP-BC'!H220</f>
        <v>943977.45</v>
      </c>
      <c r="K48" s="377">
        <f>'WP-BC'!I220</f>
        <v>16769258.62</v>
      </c>
      <c r="L48" s="377">
        <f>'WP-BC'!J220</f>
        <v>14266813.62</v>
      </c>
      <c r="M48" s="870">
        <f t="shared" si="6"/>
        <v>2502445</v>
      </c>
      <c r="N48" s="377">
        <f>'WP-BC'!L220</f>
        <v>843079</v>
      </c>
      <c r="O48" s="871">
        <v>16205600</v>
      </c>
      <c r="P48" s="872"/>
      <c r="Q48" s="871">
        <v>10969679</v>
      </c>
      <c r="R48" s="872"/>
      <c r="S48" s="871">
        <f t="shared" si="7"/>
        <v>5235921</v>
      </c>
    </row>
    <row r="49" spans="1:19" s="873" customFormat="1" ht="15">
      <c r="A49" s="866" t="s">
        <v>161</v>
      </c>
      <c r="B49" s="867" t="s">
        <v>280</v>
      </c>
      <c r="C49" s="868" t="s">
        <v>187</v>
      </c>
      <c r="D49" s="869">
        <v>353</v>
      </c>
      <c r="E49" s="866" t="s">
        <v>179</v>
      </c>
      <c r="F49" s="866"/>
      <c r="G49" s="377">
        <f>'WP-BC'!E222</f>
        <v>10365797</v>
      </c>
      <c r="H49" s="377">
        <f>'WP-BC'!F222</f>
        <v>9337363.280000001</v>
      </c>
      <c r="I49" s="870">
        <f t="shared" si="5"/>
        <v>1028433.7199999988</v>
      </c>
      <c r="J49" s="377">
        <f>'WP-BC'!H222</f>
        <v>469983</v>
      </c>
      <c r="K49" s="377">
        <f>'WP-BC'!I222</f>
        <v>10365797</v>
      </c>
      <c r="L49" s="377">
        <f>'WP-BC'!J222</f>
        <v>8867380.280000001</v>
      </c>
      <c r="M49" s="870">
        <f t="shared" si="6"/>
        <v>1498416.7199999988</v>
      </c>
      <c r="N49" s="377">
        <f>'WP-BC'!L222</f>
        <v>470339</v>
      </c>
      <c r="O49" s="871">
        <v>10365797</v>
      </c>
      <c r="P49" s="872"/>
      <c r="Q49" s="871">
        <v>6515685.28</v>
      </c>
      <c r="R49" s="872"/>
      <c r="S49" s="871">
        <f t="shared" si="7"/>
        <v>3850111.7199999997</v>
      </c>
    </row>
    <row r="50" spans="1:19" s="873" customFormat="1" ht="15">
      <c r="A50" s="866" t="s">
        <v>161</v>
      </c>
      <c r="B50" s="867" t="s">
        <v>280</v>
      </c>
      <c r="C50" s="868" t="s">
        <v>188</v>
      </c>
      <c r="D50" s="869">
        <v>353</v>
      </c>
      <c r="E50" s="866" t="s">
        <v>179</v>
      </c>
      <c r="F50" s="866"/>
      <c r="G50" s="377">
        <f>'WP-BC'!E227</f>
        <v>11520027</v>
      </c>
      <c r="H50" s="377">
        <f>'WP-BC'!F227</f>
        <v>10158982.05</v>
      </c>
      <c r="I50" s="870">
        <f t="shared" si="5"/>
        <v>1361044.9499999993</v>
      </c>
      <c r="J50" s="377">
        <f>'WP-BC'!H227</f>
        <v>693368</v>
      </c>
      <c r="K50" s="377">
        <f>'WP-BC'!I227</f>
        <v>11520027</v>
      </c>
      <c r="L50" s="377">
        <f>'WP-BC'!J227</f>
        <v>9465614.05</v>
      </c>
      <c r="M50" s="870">
        <f t="shared" si="6"/>
        <v>2054412.9499999993</v>
      </c>
      <c r="N50" s="377">
        <f>'WP-BC'!L227</f>
        <v>693724</v>
      </c>
      <c r="O50" s="871">
        <v>11520027</v>
      </c>
      <c r="P50" s="872"/>
      <c r="Q50" s="871">
        <v>5996993.05</v>
      </c>
      <c r="R50" s="872"/>
      <c r="S50" s="871">
        <f t="shared" si="7"/>
        <v>5523033.95</v>
      </c>
    </row>
    <row r="51" spans="1:19" s="880" customFormat="1" ht="15">
      <c r="A51" s="866" t="s">
        <v>161</v>
      </c>
      <c r="B51" s="867" t="s">
        <v>280</v>
      </c>
      <c r="C51" s="868" t="s">
        <v>189</v>
      </c>
      <c r="D51" s="869">
        <v>353</v>
      </c>
      <c r="E51" s="866" t="s">
        <v>179</v>
      </c>
      <c r="F51" s="866"/>
      <c r="G51" s="874">
        <f>'WP-BC'!E228</f>
        <v>16526683</v>
      </c>
      <c r="H51" s="874">
        <f>'WP-BC'!F228</f>
        <v>6636442.85</v>
      </c>
      <c r="I51" s="874">
        <f t="shared" si="5"/>
        <v>9890240.15</v>
      </c>
      <c r="J51" s="874">
        <f>'WP-BC'!H228</f>
        <v>0</v>
      </c>
      <c r="K51" s="874">
        <f>'WP-BC'!I228</f>
        <v>16526683</v>
      </c>
      <c r="L51" s="874">
        <f>'WP-BC'!J228</f>
        <v>6636442.85</v>
      </c>
      <c r="M51" s="874">
        <f t="shared" si="6"/>
        <v>9890240.15</v>
      </c>
      <c r="N51" s="874">
        <f>'WP-BC'!L228</f>
        <v>0</v>
      </c>
      <c r="O51" s="875">
        <v>16526683</v>
      </c>
      <c r="P51" s="876"/>
      <c r="Q51" s="875">
        <v>6636442.85</v>
      </c>
      <c r="R51" s="876"/>
      <c r="S51" s="875">
        <f t="shared" si="7"/>
        <v>9890240.15</v>
      </c>
    </row>
    <row r="52" spans="1:19" s="873" customFormat="1" ht="15">
      <c r="A52" s="866"/>
      <c r="B52" s="867"/>
      <c r="C52" s="868"/>
      <c r="D52" s="878" t="s">
        <v>278</v>
      </c>
      <c r="E52" s="866"/>
      <c r="F52" s="866"/>
      <c r="G52" s="884">
        <f aca="true" t="shared" si="8" ref="G52:O52">SUM(G45:G51)</f>
        <v>111763539.41999999</v>
      </c>
      <c r="H52" s="884">
        <f t="shared" si="8"/>
        <v>90796049.99999999</v>
      </c>
      <c r="I52" s="884">
        <f t="shared" si="8"/>
        <v>20967489.42</v>
      </c>
      <c r="J52" s="884">
        <f t="shared" si="8"/>
        <v>5760494.8</v>
      </c>
      <c r="K52" s="884">
        <f t="shared" si="8"/>
        <v>110239094.62</v>
      </c>
      <c r="L52" s="884">
        <f t="shared" si="8"/>
        <v>85035555.19999999</v>
      </c>
      <c r="M52" s="884">
        <f t="shared" si="8"/>
        <v>25203539.42</v>
      </c>
      <c r="N52" s="884">
        <f t="shared" si="8"/>
        <v>5661701.57</v>
      </c>
      <c r="O52" s="885">
        <f t="shared" si="8"/>
        <v>107949098.28</v>
      </c>
      <c r="P52" s="872"/>
      <c r="Q52" s="885">
        <f>SUM(Q45:Q51)</f>
        <v>57521144.86</v>
      </c>
      <c r="R52" s="872"/>
      <c r="S52" s="885">
        <f>SUM(S45:S51)</f>
        <v>50427953.42</v>
      </c>
    </row>
    <row r="53" spans="1:19" s="873" customFormat="1" ht="17.25">
      <c r="A53" s="866"/>
      <c r="B53" s="867"/>
      <c r="C53" s="868"/>
      <c r="D53" s="881" t="s">
        <v>281</v>
      </c>
      <c r="E53" s="866"/>
      <c r="F53" s="866"/>
      <c r="G53" s="884">
        <f aca="true" t="shared" si="9" ref="G53:N53">G18+G34+G36+G43+G52+G29</f>
        <v>346483145</v>
      </c>
      <c r="H53" s="884">
        <f t="shared" si="9"/>
        <v>188431632.82</v>
      </c>
      <c r="I53" s="884">
        <f t="shared" si="9"/>
        <v>158051512.18</v>
      </c>
      <c r="J53" s="884">
        <f t="shared" si="9"/>
        <v>12871845.23</v>
      </c>
      <c r="K53" s="884">
        <f t="shared" si="9"/>
        <v>344796429.77</v>
      </c>
      <c r="L53" s="884">
        <f t="shared" si="9"/>
        <v>175559787.58999997</v>
      </c>
      <c r="M53" s="884">
        <f t="shared" si="9"/>
        <v>169236642.18</v>
      </c>
      <c r="N53" s="884">
        <f t="shared" si="9"/>
        <v>14223329.93</v>
      </c>
      <c r="O53" s="885">
        <f>O18+O34+O36+O43+O52</f>
        <v>240304625.04000002</v>
      </c>
      <c r="P53" s="872"/>
      <c r="Q53" s="885">
        <f>Q18+Q34+Q36+Q43+Q52</f>
        <v>114494058.12</v>
      </c>
      <c r="R53" s="872"/>
      <c r="S53" s="885">
        <f>S18+S34+S36+S43+S52</f>
        <v>125810566.92</v>
      </c>
    </row>
    <row r="54" spans="1:19" s="873" customFormat="1" ht="5.25" customHeight="1">
      <c r="A54" s="866"/>
      <c r="B54" s="867"/>
      <c r="C54" s="868"/>
      <c r="D54" s="878"/>
      <c r="E54" s="866"/>
      <c r="F54" s="866"/>
      <c r="G54" s="377"/>
      <c r="H54" s="377"/>
      <c r="I54" s="870"/>
      <c r="J54" s="377"/>
      <c r="K54" s="377"/>
      <c r="L54" s="377"/>
      <c r="M54" s="870"/>
      <c r="N54" s="377"/>
      <c r="O54" s="885"/>
      <c r="P54" s="872"/>
      <c r="Q54" s="885"/>
      <c r="R54" s="872"/>
      <c r="S54" s="885"/>
    </row>
    <row r="55" spans="1:19" s="873" customFormat="1" ht="17.25">
      <c r="A55" s="866"/>
      <c r="B55" s="867"/>
      <c r="C55" s="877"/>
      <c r="D55" s="887" t="s">
        <v>282</v>
      </c>
      <c r="E55" s="866"/>
      <c r="F55" s="866"/>
      <c r="G55" s="377"/>
      <c r="H55" s="377"/>
      <c r="I55" s="870"/>
      <c r="J55" s="377"/>
      <c r="K55" s="377"/>
      <c r="L55" s="377"/>
      <c r="M55" s="870"/>
      <c r="N55" s="377"/>
      <c r="O55" s="871"/>
      <c r="P55" s="872"/>
      <c r="Q55" s="871"/>
      <c r="R55" s="872"/>
      <c r="S55" s="871"/>
    </row>
    <row r="56" spans="1:19" s="873" customFormat="1" ht="15">
      <c r="A56" s="866" t="s">
        <v>161</v>
      </c>
      <c r="B56" s="867" t="s">
        <v>283</v>
      </c>
      <c r="C56" s="868" t="s">
        <v>166</v>
      </c>
      <c r="D56" s="869">
        <v>391</v>
      </c>
      <c r="E56" s="866" t="s">
        <v>84</v>
      </c>
      <c r="F56" s="866"/>
      <c r="G56" s="377">
        <f>'WP-BC'!E286</f>
        <v>67869.31</v>
      </c>
      <c r="H56" s="377">
        <f>'WP-BC'!F286</f>
        <v>28339.309999999998</v>
      </c>
      <c r="I56" s="870">
        <f aca="true" t="shared" si="10" ref="I56:I61">+G56-H56</f>
        <v>39530</v>
      </c>
      <c r="J56" s="377">
        <f>'WP-BC'!H286</f>
        <v>6829.1</v>
      </c>
      <c r="K56" s="377">
        <f>'WP-BC'!I286</f>
        <v>54355.21</v>
      </c>
      <c r="L56" s="377">
        <f>'WP-BC'!J286</f>
        <v>21510.21</v>
      </c>
      <c r="M56" s="870">
        <f aca="true" t="shared" si="11" ref="M56:M61">+K56-L56</f>
        <v>32845</v>
      </c>
      <c r="N56" s="377">
        <f>'WP-BC'!L286</f>
        <v>6444.21</v>
      </c>
      <c r="O56" s="871">
        <v>14194</v>
      </c>
      <c r="P56" s="872"/>
      <c r="Q56" s="871">
        <v>4852</v>
      </c>
      <c r="R56" s="872"/>
      <c r="S56" s="871">
        <f aca="true" t="shared" si="12" ref="S56:S61">+O56-Q56</f>
        <v>9342</v>
      </c>
    </row>
    <row r="57" spans="1:19" s="873" customFormat="1" ht="15">
      <c r="A57" s="866" t="s">
        <v>161</v>
      </c>
      <c r="B57" s="867" t="s">
        <v>283</v>
      </c>
      <c r="C57" s="868" t="s">
        <v>166</v>
      </c>
      <c r="D57" s="869">
        <v>392</v>
      </c>
      <c r="E57" s="866" t="s">
        <v>85</v>
      </c>
      <c r="F57" s="866"/>
      <c r="G57" s="377">
        <f>'WP-BC'!E287</f>
        <v>517792.69</v>
      </c>
      <c r="H57" s="377">
        <f>'WP-BC'!F287</f>
        <v>263930.69</v>
      </c>
      <c r="I57" s="870">
        <f t="shared" si="10"/>
        <v>253862</v>
      </c>
      <c r="J57" s="377">
        <f>'WP-BC'!H287</f>
        <v>86984</v>
      </c>
      <c r="K57" s="377">
        <f>'WP-BC'!I287</f>
        <v>470801.69</v>
      </c>
      <c r="L57" s="377">
        <f>'WP-BC'!J287</f>
        <v>173836.69</v>
      </c>
      <c r="M57" s="870">
        <f t="shared" si="11"/>
        <v>296965</v>
      </c>
      <c r="N57" s="377">
        <f>'WP-BC'!L287</f>
        <v>81603.8</v>
      </c>
      <c r="O57" s="871"/>
      <c r="P57" s="872"/>
      <c r="Q57" s="871"/>
      <c r="R57" s="872"/>
      <c r="S57" s="871">
        <f t="shared" si="12"/>
        <v>0</v>
      </c>
    </row>
    <row r="58" spans="1:19" s="873" customFormat="1" ht="15">
      <c r="A58" s="866" t="s">
        <v>161</v>
      </c>
      <c r="B58" s="867" t="s">
        <v>283</v>
      </c>
      <c r="C58" s="868" t="s">
        <v>166</v>
      </c>
      <c r="D58" s="869">
        <v>394</v>
      </c>
      <c r="E58" s="866" t="s">
        <v>87</v>
      </c>
      <c r="F58" s="866"/>
      <c r="G58" s="377">
        <f>'WP-BC'!E288</f>
        <v>68609.17</v>
      </c>
      <c r="H58" s="377">
        <f>'WP-BC'!F288</f>
        <v>39777.17</v>
      </c>
      <c r="I58" s="870">
        <f t="shared" si="10"/>
        <v>28832</v>
      </c>
      <c r="J58" s="377">
        <f>'WP-BC'!H288</f>
        <v>6501</v>
      </c>
      <c r="K58" s="377">
        <f>'WP-BC'!I288</f>
        <v>68609.17</v>
      </c>
      <c r="L58" s="377">
        <f>'WP-BC'!J288</f>
        <v>33276.17</v>
      </c>
      <c r="M58" s="870">
        <f t="shared" si="11"/>
        <v>35333</v>
      </c>
      <c r="N58" s="377">
        <f>'WP-BC'!L288</f>
        <v>6501</v>
      </c>
      <c r="O58" s="871">
        <v>12132.13</v>
      </c>
      <c r="P58" s="872"/>
      <c r="Q58" s="871">
        <v>1709.13</v>
      </c>
      <c r="R58" s="872"/>
      <c r="S58" s="871">
        <f t="shared" si="12"/>
        <v>10423</v>
      </c>
    </row>
    <row r="59" spans="1:19" s="880" customFormat="1" ht="15">
      <c r="A59" s="866" t="s">
        <v>161</v>
      </c>
      <c r="B59" s="867" t="s">
        <v>283</v>
      </c>
      <c r="C59" s="868" t="s">
        <v>166</v>
      </c>
      <c r="D59" s="869">
        <v>395</v>
      </c>
      <c r="E59" s="866" t="s">
        <v>88</v>
      </c>
      <c r="F59" s="866"/>
      <c r="G59" s="377">
        <f>'WP-BC'!E289</f>
        <v>85676.84</v>
      </c>
      <c r="H59" s="377">
        <f>'WP-BC'!F289</f>
        <v>26169.84</v>
      </c>
      <c r="I59" s="870">
        <f t="shared" si="10"/>
        <v>59507</v>
      </c>
      <c r="J59" s="377">
        <f>'WP-BC'!H289</f>
        <v>5254</v>
      </c>
      <c r="K59" s="377">
        <f>'WP-BC'!I289</f>
        <v>85676.84</v>
      </c>
      <c r="L59" s="377">
        <f>'WP-BC'!J289</f>
        <v>20915.84</v>
      </c>
      <c r="M59" s="870">
        <f t="shared" si="11"/>
        <v>64761</v>
      </c>
      <c r="N59" s="377">
        <f>'WP-BC'!L289</f>
        <v>5254</v>
      </c>
      <c r="O59" s="871">
        <v>30426.84</v>
      </c>
      <c r="P59" s="872"/>
      <c r="Q59" s="871">
        <v>3299.84</v>
      </c>
      <c r="R59" s="872"/>
      <c r="S59" s="871">
        <f t="shared" si="12"/>
        <v>27127</v>
      </c>
    </row>
    <row r="60" spans="1:19" s="873" customFormat="1" ht="15">
      <c r="A60" s="866" t="s">
        <v>161</v>
      </c>
      <c r="B60" s="867" t="s">
        <v>283</v>
      </c>
      <c r="C60" s="868" t="s">
        <v>166</v>
      </c>
      <c r="D60" s="869">
        <v>396</v>
      </c>
      <c r="E60" s="866" t="s">
        <v>209</v>
      </c>
      <c r="F60" s="866"/>
      <c r="G60" s="377">
        <f>'WP-BC'!E290</f>
        <v>513489.67</v>
      </c>
      <c r="H60" s="377">
        <f>'WP-BC'!F290</f>
        <v>221084.65999999997</v>
      </c>
      <c r="I60" s="870">
        <f t="shared" si="10"/>
        <v>292405.01</v>
      </c>
      <c r="J60" s="377">
        <f>'WP-BC'!H290</f>
        <v>51161.92</v>
      </c>
      <c r="K60" s="377">
        <f>'WP-BC'!I290</f>
        <v>510190.75</v>
      </c>
      <c r="L60" s="377">
        <f>'WP-BC'!J290</f>
        <v>169922.74</v>
      </c>
      <c r="M60" s="870">
        <f t="shared" si="11"/>
        <v>340268.01</v>
      </c>
      <c r="N60" s="377">
        <f>'WP-BC'!L290</f>
        <v>46383.01</v>
      </c>
      <c r="O60" s="871">
        <v>94875</v>
      </c>
      <c r="P60" s="872"/>
      <c r="Q60" s="871">
        <v>5953</v>
      </c>
      <c r="R60" s="872"/>
      <c r="S60" s="871">
        <f t="shared" si="12"/>
        <v>88922</v>
      </c>
    </row>
    <row r="61" spans="1:19" s="873" customFormat="1" ht="15">
      <c r="A61" s="866" t="s">
        <v>161</v>
      </c>
      <c r="B61" s="867" t="s">
        <v>283</v>
      </c>
      <c r="C61" s="868" t="s">
        <v>166</v>
      </c>
      <c r="D61" s="869">
        <v>398</v>
      </c>
      <c r="E61" s="866" t="s">
        <v>91</v>
      </c>
      <c r="F61" s="866"/>
      <c r="G61" s="874">
        <f>'WP-BC'!E291</f>
        <v>625239.67</v>
      </c>
      <c r="H61" s="874">
        <f>'WP-BC'!F291</f>
        <v>286838.16000000003</v>
      </c>
      <c r="I61" s="874">
        <f t="shared" si="10"/>
        <v>338401.51</v>
      </c>
      <c r="J61" s="874">
        <f>'WP-BC'!H291</f>
        <v>109691.38</v>
      </c>
      <c r="K61" s="874">
        <f>'WP-BC'!I291</f>
        <v>562680.29</v>
      </c>
      <c r="L61" s="874">
        <f>'WP-BC'!J291</f>
        <v>177146.78</v>
      </c>
      <c r="M61" s="874">
        <f t="shared" si="11"/>
        <v>385533.51</v>
      </c>
      <c r="N61" s="874">
        <f>'WP-BC'!L291</f>
        <v>84250.52</v>
      </c>
      <c r="O61" s="875">
        <v>47455.29</v>
      </c>
      <c r="P61" s="876"/>
      <c r="Q61" s="875">
        <v>6170.78</v>
      </c>
      <c r="R61" s="876"/>
      <c r="S61" s="875">
        <f t="shared" si="12"/>
        <v>41284.51</v>
      </c>
    </row>
    <row r="62" spans="1:19" s="873" customFormat="1" ht="15">
      <c r="A62" s="866"/>
      <c r="B62" s="866"/>
      <c r="C62" s="877"/>
      <c r="D62" s="878" t="s">
        <v>274</v>
      </c>
      <c r="E62" s="866"/>
      <c r="F62" s="866"/>
      <c r="G62" s="879">
        <f aca="true" t="shared" si="13" ref="G62:O62">SUM(G56:G61)</f>
        <v>1878677.35</v>
      </c>
      <c r="H62" s="879">
        <f t="shared" si="13"/>
        <v>866139.83</v>
      </c>
      <c r="I62" s="879">
        <f t="shared" si="13"/>
        <v>1012537.52</v>
      </c>
      <c r="J62" s="879">
        <f t="shared" si="13"/>
        <v>266421.4</v>
      </c>
      <c r="K62" s="879">
        <f t="shared" si="13"/>
        <v>1752313.9500000002</v>
      </c>
      <c r="L62" s="879">
        <f t="shared" si="13"/>
        <v>596608.43</v>
      </c>
      <c r="M62" s="879">
        <f t="shared" si="13"/>
        <v>1155705.52</v>
      </c>
      <c r="N62" s="879">
        <f t="shared" si="13"/>
        <v>230436.54000000004</v>
      </c>
      <c r="O62" s="885">
        <f t="shared" si="13"/>
        <v>199083.26</v>
      </c>
      <c r="P62" s="872"/>
      <c r="Q62" s="885">
        <f>SUM(Q56:Q61)</f>
        <v>21984.75</v>
      </c>
      <c r="R62" s="872"/>
      <c r="S62" s="885">
        <f>SUM(S56:S61)</f>
        <v>177098.51</v>
      </c>
    </row>
    <row r="63" spans="1:19" s="873" customFormat="1" ht="7.5" customHeight="1">
      <c r="A63" s="866"/>
      <c r="B63" s="866"/>
      <c r="C63" s="877"/>
      <c r="D63" s="869"/>
      <c r="E63" s="866"/>
      <c r="F63" s="866"/>
      <c r="G63" s="870"/>
      <c r="H63" s="870"/>
      <c r="I63" s="870"/>
      <c r="J63" s="870"/>
      <c r="K63" s="870"/>
      <c r="L63" s="870"/>
      <c r="M63" s="870"/>
      <c r="N63" s="870"/>
      <c r="O63" s="871"/>
      <c r="P63" s="872"/>
      <c r="Q63" s="871"/>
      <c r="R63" s="872"/>
      <c r="S63" s="871"/>
    </row>
    <row r="64" spans="1:19" s="873" customFormat="1" ht="15">
      <c r="A64" s="866" t="s">
        <v>161</v>
      </c>
      <c r="B64" s="867" t="s">
        <v>283</v>
      </c>
      <c r="C64" s="868" t="s">
        <v>182</v>
      </c>
      <c r="D64" s="869">
        <v>389</v>
      </c>
      <c r="E64" s="866" t="s">
        <v>169</v>
      </c>
      <c r="F64" s="866"/>
      <c r="G64" s="377">
        <f>'WP-BC'!E29</f>
        <v>8000</v>
      </c>
      <c r="H64" s="377">
        <f>'WP-BC'!F29</f>
        <v>0</v>
      </c>
      <c r="I64" s="870">
        <f>+G64-H64</f>
        <v>8000</v>
      </c>
      <c r="J64" s="377">
        <f>'WP-BC'!H29</f>
        <v>0</v>
      </c>
      <c r="K64" s="377">
        <f>'WP-BC'!I29</f>
        <v>8000</v>
      </c>
      <c r="L64" s="377">
        <f>'WP-BC'!J29</f>
        <v>0</v>
      </c>
      <c r="M64" s="870">
        <f>+K64-L64</f>
        <v>8000</v>
      </c>
      <c r="N64" s="377">
        <f>'WP-BC'!L29</f>
        <v>0</v>
      </c>
      <c r="O64" s="871">
        <v>8000</v>
      </c>
      <c r="P64" s="872"/>
      <c r="Q64" s="871">
        <v>0</v>
      </c>
      <c r="R64" s="872"/>
      <c r="S64" s="871">
        <f>+O64-Q64</f>
        <v>8000</v>
      </c>
    </row>
    <row r="65" spans="1:19" s="873" customFormat="1" ht="15">
      <c r="A65" s="866" t="s">
        <v>161</v>
      </c>
      <c r="B65" s="867" t="s">
        <v>283</v>
      </c>
      <c r="C65" s="868" t="s">
        <v>182</v>
      </c>
      <c r="D65" s="869">
        <v>399</v>
      </c>
      <c r="E65" s="866" t="s">
        <v>92</v>
      </c>
      <c r="F65" s="866"/>
      <c r="G65" s="874">
        <f>'WP-BC'!E307</f>
        <v>427000</v>
      </c>
      <c r="H65" s="874">
        <f>'WP-BC'!F307</f>
        <v>176562</v>
      </c>
      <c r="I65" s="874">
        <f>+G65-H65</f>
        <v>250438</v>
      </c>
      <c r="J65" s="874">
        <f>'WP-BC'!H307</f>
        <v>7117</v>
      </c>
      <c r="K65" s="874">
        <f>'WP-BC'!I307</f>
        <v>427000</v>
      </c>
      <c r="L65" s="874">
        <f>'WP-BC'!J307</f>
        <v>169445</v>
      </c>
      <c r="M65" s="874">
        <f>+K65-L65</f>
        <v>257555</v>
      </c>
      <c r="N65" s="874">
        <f>'WP-BC'!L307</f>
        <v>7117</v>
      </c>
      <c r="O65" s="875">
        <v>427000</v>
      </c>
      <c r="P65" s="876"/>
      <c r="Q65" s="875">
        <v>133860</v>
      </c>
      <c r="R65" s="876"/>
      <c r="S65" s="875">
        <f>+O65-Q65</f>
        <v>293140</v>
      </c>
    </row>
    <row r="66" spans="1:19" s="873" customFormat="1" ht="15">
      <c r="A66" s="866"/>
      <c r="B66" s="866"/>
      <c r="C66" s="877"/>
      <c r="D66" s="878" t="s">
        <v>275</v>
      </c>
      <c r="E66" s="866"/>
      <c r="F66" s="866"/>
      <c r="G66" s="879">
        <f aca="true" t="shared" si="14" ref="G66:O66">SUM(G64:G65)</f>
        <v>435000</v>
      </c>
      <c r="H66" s="879">
        <f t="shared" si="14"/>
        <v>176562</v>
      </c>
      <c r="I66" s="879">
        <f t="shared" si="14"/>
        <v>258438</v>
      </c>
      <c r="J66" s="879">
        <f t="shared" si="14"/>
        <v>7117</v>
      </c>
      <c r="K66" s="879">
        <f t="shared" si="14"/>
        <v>435000</v>
      </c>
      <c r="L66" s="879">
        <f t="shared" si="14"/>
        <v>169445</v>
      </c>
      <c r="M66" s="879">
        <f t="shared" si="14"/>
        <v>265555</v>
      </c>
      <c r="N66" s="879">
        <f t="shared" si="14"/>
        <v>7117</v>
      </c>
      <c r="O66" s="885">
        <f t="shared" si="14"/>
        <v>435000</v>
      </c>
      <c r="P66" s="872"/>
      <c r="Q66" s="885">
        <f>SUM(Q64:Q65)</f>
        <v>133860</v>
      </c>
      <c r="R66" s="872"/>
      <c r="S66" s="885">
        <f>SUM(S64:S65)</f>
        <v>301140</v>
      </c>
    </row>
    <row r="67" spans="1:19" s="873" customFormat="1" ht="9" customHeight="1">
      <c r="A67" s="866"/>
      <c r="B67" s="866"/>
      <c r="C67" s="877"/>
      <c r="D67" s="869"/>
      <c r="E67" s="866"/>
      <c r="F67" s="866"/>
      <c r="G67" s="870"/>
      <c r="H67" s="870"/>
      <c r="I67" s="870"/>
      <c r="J67" s="870"/>
      <c r="K67" s="870"/>
      <c r="L67" s="870"/>
      <c r="M67" s="870"/>
      <c r="N67" s="870"/>
      <c r="O67" s="871"/>
      <c r="P67" s="872"/>
      <c r="Q67" s="871"/>
      <c r="R67" s="872"/>
      <c r="S67" s="871"/>
    </row>
    <row r="68" spans="1:19" s="873" customFormat="1" ht="15">
      <c r="A68" s="866" t="s">
        <v>161</v>
      </c>
      <c r="B68" s="867" t="s">
        <v>283</v>
      </c>
      <c r="C68" s="868" t="s">
        <v>173</v>
      </c>
      <c r="D68" s="869">
        <v>391</v>
      </c>
      <c r="E68" s="866" t="s">
        <v>84</v>
      </c>
      <c r="F68" s="866"/>
      <c r="G68" s="377">
        <f>'WP-BC'!E293</f>
        <v>177276.41999999998</v>
      </c>
      <c r="H68" s="377">
        <f>'WP-BC'!F293</f>
        <v>166785.41999999998</v>
      </c>
      <c r="I68" s="870">
        <f aca="true" t="shared" si="15" ref="I68:I75">+G68-H68</f>
        <v>10491</v>
      </c>
      <c r="J68" s="377">
        <f>'WP-BC'!H293</f>
        <v>2709.27</v>
      </c>
      <c r="K68" s="377">
        <f>'WP-BC'!I293</f>
        <v>168044.15</v>
      </c>
      <c r="L68" s="377">
        <f>'WP-BC'!J293</f>
        <v>164076.15</v>
      </c>
      <c r="M68" s="870">
        <f aca="true" t="shared" si="16" ref="M68:M75">+K68-L68</f>
        <v>3968</v>
      </c>
      <c r="N68" s="377">
        <f>'WP-BC'!L293</f>
        <v>1324</v>
      </c>
      <c r="O68" s="871">
        <v>161428</v>
      </c>
      <c r="P68" s="872"/>
      <c r="Q68" s="871">
        <v>161428</v>
      </c>
      <c r="R68" s="872"/>
      <c r="S68" s="871">
        <f aca="true" t="shared" si="17" ref="S68:S75">+O68-Q68</f>
        <v>0</v>
      </c>
    </row>
    <row r="69" spans="1:19" s="873" customFormat="1" ht="15">
      <c r="A69" s="866" t="s">
        <v>161</v>
      </c>
      <c r="B69" s="867" t="s">
        <v>283</v>
      </c>
      <c r="C69" s="868" t="s">
        <v>173</v>
      </c>
      <c r="D69" s="869">
        <v>392</v>
      </c>
      <c r="E69" s="866" t="s">
        <v>85</v>
      </c>
      <c r="F69" s="866"/>
      <c r="G69" s="377">
        <f>'WP-BC'!E294</f>
        <v>137355.73</v>
      </c>
      <c r="H69" s="377">
        <f>'WP-BC'!F294</f>
        <v>113607.62999999999</v>
      </c>
      <c r="I69" s="870">
        <f t="shared" si="15"/>
        <v>23748.10000000002</v>
      </c>
      <c r="J69" s="377">
        <f>'WP-BC'!H294</f>
        <v>4131.51</v>
      </c>
      <c r="K69" s="377">
        <f>'WP-BC'!I294</f>
        <v>111454.22</v>
      </c>
      <c r="L69" s="377">
        <f>'WP-BC'!J294</f>
        <v>109476.12</v>
      </c>
      <c r="M69" s="870">
        <f t="shared" si="16"/>
        <v>1978.1000000000058</v>
      </c>
      <c r="N69" s="377">
        <f>'WP-BC'!L294</f>
        <v>4936</v>
      </c>
      <c r="O69" s="871">
        <v>158924.22</v>
      </c>
      <c r="P69" s="872"/>
      <c r="Q69" s="871">
        <v>86730.12</v>
      </c>
      <c r="R69" s="872"/>
      <c r="S69" s="871">
        <f t="shared" si="17"/>
        <v>72194.1</v>
      </c>
    </row>
    <row r="70" spans="1:19" s="873" customFormat="1" ht="15">
      <c r="A70" s="866" t="s">
        <v>161</v>
      </c>
      <c r="B70" s="867" t="s">
        <v>283</v>
      </c>
      <c r="C70" s="868" t="s">
        <v>173</v>
      </c>
      <c r="D70" s="869">
        <v>393</v>
      </c>
      <c r="E70" s="866" t="s">
        <v>86</v>
      </c>
      <c r="F70" s="866"/>
      <c r="G70" s="377">
        <f>'WP-BC'!E295</f>
        <v>0</v>
      </c>
      <c r="H70" s="377">
        <f>'WP-BC'!F295</f>
        <v>0</v>
      </c>
      <c r="I70" s="870">
        <f t="shared" si="15"/>
        <v>0</v>
      </c>
      <c r="J70" s="377">
        <f>'WP-BC'!H295</f>
        <v>0</v>
      </c>
      <c r="K70" s="377">
        <f>'WP-BC'!I295</f>
        <v>0</v>
      </c>
      <c r="L70" s="377">
        <f>'WP-BC'!J295</f>
        <v>0</v>
      </c>
      <c r="M70" s="870">
        <f t="shared" si="16"/>
        <v>0</v>
      </c>
      <c r="N70" s="377">
        <f>'WP-BC'!L295</f>
        <v>0</v>
      </c>
      <c r="O70" s="871">
        <v>0</v>
      </c>
      <c r="P70" s="872"/>
      <c r="Q70" s="871">
        <v>0</v>
      </c>
      <c r="R70" s="872"/>
      <c r="S70" s="871">
        <f t="shared" si="17"/>
        <v>0</v>
      </c>
    </row>
    <row r="71" spans="1:19" s="873" customFormat="1" ht="15">
      <c r="A71" s="866" t="s">
        <v>161</v>
      </c>
      <c r="B71" s="867" t="s">
        <v>283</v>
      </c>
      <c r="C71" s="868" t="s">
        <v>173</v>
      </c>
      <c r="D71" s="869">
        <v>394</v>
      </c>
      <c r="E71" s="866" t="s">
        <v>87</v>
      </c>
      <c r="F71" s="866"/>
      <c r="G71" s="377">
        <f>'WP-BC'!E296</f>
        <v>143571</v>
      </c>
      <c r="H71" s="377">
        <f>'WP-BC'!F296</f>
        <v>135046</v>
      </c>
      <c r="I71" s="870">
        <f t="shared" si="15"/>
        <v>8525</v>
      </c>
      <c r="J71" s="377">
        <f>'WP-BC'!H296</f>
        <v>653</v>
      </c>
      <c r="K71" s="377">
        <f>'WP-BC'!I296</f>
        <v>143571</v>
      </c>
      <c r="L71" s="377">
        <f>'WP-BC'!J296</f>
        <v>134393</v>
      </c>
      <c r="M71" s="870">
        <f t="shared" si="16"/>
        <v>9178</v>
      </c>
      <c r="N71" s="377">
        <f>'WP-BC'!L296</f>
        <v>3513</v>
      </c>
      <c r="O71" s="871">
        <v>143571</v>
      </c>
      <c r="P71" s="872"/>
      <c r="Q71" s="871">
        <v>102160</v>
      </c>
      <c r="R71" s="872"/>
      <c r="S71" s="871">
        <f t="shared" si="17"/>
        <v>41411</v>
      </c>
    </row>
    <row r="72" spans="1:19" s="873" customFormat="1" ht="15">
      <c r="A72" s="866" t="s">
        <v>161</v>
      </c>
      <c r="B72" s="867" t="s">
        <v>283</v>
      </c>
      <c r="C72" s="868" t="s">
        <v>173</v>
      </c>
      <c r="D72" s="869">
        <v>395</v>
      </c>
      <c r="E72" s="866" t="s">
        <v>88</v>
      </c>
      <c r="F72" s="866"/>
      <c r="G72" s="377">
        <f>'WP-BC'!E297</f>
        <v>49048.73</v>
      </c>
      <c r="H72" s="377">
        <f>'WP-BC'!F297</f>
        <v>39338.729999999996</v>
      </c>
      <c r="I72" s="870">
        <f t="shared" si="15"/>
        <v>9710.000000000007</v>
      </c>
      <c r="J72" s="377">
        <f>'WP-BC'!H297</f>
        <v>3218</v>
      </c>
      <c r="K72" s="377">
        <f>'WP-BC'!I297</f>
        <v>49048.73</v>
      </c>
      <c r="L72" s="377">
        <f>'WP-BC'!J297</f>
        <v>36120.729999999996</v>
      </c>
      <c r="M72" s="870">
        <f t="shared" si="16"/>
        <v>12928.000000000007</v>
      </c>
      <c r="N72" s="377">
        <f>'WP-BC'!L297</f>
        <v>3218</v>
      </c>
      <c r="O72" s="871">
        <v>49048.73</v>
      </c>
      <c r="P72" s="872"/>
      <c r="Q72" s="871">
        <v>20030.73</v>
      </c>
      <c r="R72" s="872"/>
      <c r="S72" s="871">
        <f t="shared" si="17"/>
        <v>29018.000000000004</v>
      </c>
    </row>
    <row r="73" spans="1:19" s="873" customFormat="1" ht="15">
      <c r="A73" s="866" t="s">
        <v>161</v>
      </c>
      <c r="B73" s="867" t="s">
        <v>283</v>
      </c>
      <c r="C73" s="868" t="s">
        <v>173</v>
      </c>
      <c r="D73" s="869">
        <v>396</v>
      </c>
      <c r="E73" s="866" t="s">
        <v>89</v>
      </c>
      <c r="F73" s="866"/>
      <c r="G73" s="377">
        <f>'WP-BC'!E298</f>
        <v>12250.01</v>
      </c>
      <c r="H73" s="377">
        <f>'WP-BC'!F298</f>
        <v>5513.01</v>
      </c>
      <c r="I73" s="870">
        <f t="shared" si="15"/>
        <v>6737</v>
      </c>
      <c r="J73" s="377">
        <f>'WP-BC'!H298</f>
        <v>1225</v>
      </c>
      <c r="K73" s="377">
        <f>'WP-BC'!I298</f>
        <v>12250.01</v>
      </c>
      <c r="L73" s="377">
        <f>'WP-BC'!J298</f>
        <v>4288.01</v>
      </c>
      <c r="M73" s="870">
        <f t="shared" si="16"/>
        <v>7962</v>
      </c>
      <c r="N73" s="377">
        <f>'WP-BC'!L298</f>
        <v>1225</v>
      </c>
      <c r="O73" s="871">
        <v>0</v>
      </c>
      <c r="P73" s="872"/>
      <c r="Q73" s="871">
        <v>0</v>
      </c>
      <c r="R73" s="872"/>
      <c r="S73" s="871">
        <f t="shared" si="17"/>
        <v>0</v>
      </c>
    </row>
    <row r="74" spans="1:19" s="873" customFormat="1" ht="15">
      <c r="A74" s="866" t="s">
        <v>161</v>
      </c>
      <c r="B74" s="867" t="s">
        <v>283</v>
      </c>
      <c r="C74" s="868" t="s">
        <v>173</v>
      </c>
      <c r="D74" s="869">
        <v>397</v>
      </c>
      <c r="E74" s="866" t="s">
        <v>90</v>
      </c>
      <c r="F74" s="866"/>
      <c r="G74" s="377">
        <f>'WP-BC'!E299</f>
        <v>349918</v>
      </c>
      <c r="H74" s="377">
        <f>'WP-BC'!F299</f>
        <v>349917</v>
      </c>
      <c r="I74" s="870">
        <f t="shared" si="15"/>
        <v>1</v>
      </c>
      <c r="J74" s="377">
        <f>'WP-BC'!H299</f>
        <v>0</v>
      </c>
      <c r="K74" s="377">
        <f>'WP-BC'!I299</f>
        <v>349918</v>
      </c>
      <c r="L74" s="377">
        <f>'WP-BC'!J299</f>
        <v>349917</v>
      </c>
      <c r="M74" s="870">
        <f t="shared" si="16"/>
        <v>1</v>
      </c>
      <c r="N74" s="377">
        <f>'WP-BC'!L299</f>
        <v>26068</v>
      </c>
      <c r="O74" s="871">
        <v>349918</v>
      </c>
      <c r="P74" s="872"/>
      <c r="Q74" s="871">
        <v>219473</v>
      </c>
      <c r="R74" s="872"/>
      <c r="S74" s="871">
        <f t="shared" si="17"/>
        <v>130445</v>
      </c>
    </row>
    <row r="75" spans="1:19" s="873" customFormat="1" ht="15">
      <c r="A75" s="866" t="s">
        <v>161</v>
      </c>
      <c r="B75" s="867" t="s">
        <v>283</v>
      </c>
      <c r="C75" s="868" t="s">
        <v>173</v>
      </c>
      <c r="D75" s="869">
        <v>398</v>
      </c>
      <c r="E75" s="866" t="s">
        <v>91</v>
      </c>
      <c r="F75" s="866"/>
      <c r="G75" s="874">
        <f>'WP-BC'!E300</f>
        <v>500640.2</v>
      </c>
      <c r="H75" s="874">
        <f>'WP-BC'!F300</f>
        <v>143095.78</v>
      </c>
      <c r="I75" s="874">
        <f t="shared" si="15"/>
        <v>357544.42000000004</v>
      </c>
      <c r="J75" s="874">
        <f>'WP-BC'!H300</f>
        <v>51972.67</v>
      </c>
      <c r="K75" s="874">
        <f>'WP-BC'!I300</f>
        <v>268942.53</v>
      </c>
      <c r="L75" s="874">
        <f>'WP-BC'!J300</f>
        <v>91123.11</v>
      </c>
      <c r="M75" s="874">
        <f t="shared" si="16"/>
        <v>177819.42000000004</v>
      </c>
      <c r="N75" s="874">
        <f>'WP-BC'!L300</f>
        <v>21628.76</v>
      </c>
      <c r="O75" s="875">
        <v>94603.15000000001</v>
      </c>
      <c r="P75" s="876"/>
      <c r="Q75" s="875">
        <v>24313.730000000003</v>
      </c>
      <c r="R75" s="876"/>
      <c r="S75" s="875">
        <f t="shared" si="17"/>
        <v>70289.42000000001</v>
      </c>
    </row>
    <row r="76" spans="1:19" s="873" customFormat="1" ht="15">
      <c r="A76" s="866"/>
      <c r="B76" s="866"/>
      <c r="C76" s="877"/>
      <c r="D76" s="878" t="s">
        <v>276</v>
      </c>
      <c r="E76" s="866"/>
      <c r="F76" s="866"/>
      <c r="G76" s="879">
        <f aca="true" t="shared" si="18" ref="G76:O76">SUM(G68:G75)</f>
        <v>1370060.09</v>
      </c>
      <c r="H76" s="879">
        <f t="shared" si="18"/>
        <v>953303.5700000001</v>
      </c>
      <c r="I76" s="879">
        <f t="shared" si="18"/>
        <v>416756.5200000001</v>
      </c>
      <c r="J76" s="879">
        <f t="shared" si="18"/>
        <v>63909.45</v>
      </c>
      <c r="K76" s="879">
        <f t="shared" si="18"/>
        <v>1103228.6400000001</v>
      </c>
      <c r="L76" s="879">
        <f t="shared" si="18"/>
        <v>889394.12</v>
      </c>
      <c r="M76" s="879">
        <f t="shared" si="18"/>
        <v>213834.52000000005</v>
      </c>
      <c r="N76" s="879">
        <f t="shared" si="18"/>
        <v>61912.759999999995</v>
      </c>
      <c r="O76" s="885">
        <f t="shared" si="18"/>
        <v>957493.1</v>
      </c>
      <c r="P76" s="872"/>
      <c r="Q76" s="885">
        <f>SUM(Q68:Q75)</f>
        <v>614135.58</v>
      </c>
      <c r="R76" s="872"/>
      <c r="S76" s="885">
        <f>SUM(S68:S75)</f>
        <v>343357.52</v>
      </c>
    </row>
    <row r="77" spans="1:19" s="873" customFormat="1" ht="7.5" customHeight="1">
      <c r="A77" s="866"/>
      <c r="B77" s="866"/>
      <c r="C77" s="877"/>
      <c r="D77" s="869"/>
      <c r="E77" s="866"/>
      <c r="F77" s="866"/>
      <c r="G77" s="870"/>
      <c r="H77" s="870"/>
      <c r="I77" s="870"/>
      <c r="J77" s="870"/>
      <c r="K77" s="870"/>
      <c r="L77" s="870"/>
      <c r="M77" s="870"/>
      <c r="N77" s="870"/>
      <c r="O77" s="871"/>
      <c r="P77" s="872"/>
      <c r="Q77" s="871"/>
      <c r="R77" s="872"/>
      <c r="S77" s="871"/>
    </row>
    <row r="78" spans="1:19" s="873" customFormat="1" ht="15">
      <c r="A78" s="866" t="s">
        <v>161</v>
      </c>
      <c r="B78" s="867" t="s">
        <v>283</v>
      </c>
      <c r="C78" s="868" t="s">
        <v>181</v>
      </c>
      <c r="D78" s="869">
        <v>389</v>
      </c>
      <c r="E78" s="866" t="s">
        <v>169</v>
      </c>
      <c r="F78" s="866"/>
      <c r="G78" s="377">
        <f>'WP-BC'!E30</f>
        <v>13816</v>
      </c>
      <c r="H78" s="377">
        <f>'WP-BC'!F30</f>
        <v>0</v>
      </c>
      <c r="I78" s="870">
        <f aca="true" t="shared" si="19" ref="I78:I88">+G78-H78</f>
        <v>13816</v>
      </c>
      <c r="J78" s="377">
        <f>'WP-BC'!H30</f>
        <v>0</v>
      </c>
      <c r="K78" s="377">
        <f>'WP-BC'!I30</f>
        <v>13816</v>
      </c>
      <c r="L78" s="377">
        <f>'WP-BC'!J30</f>
        <v>0</v>
      </c>
      <c r="M78" s="870">
        <f aca="true" t="shared" si="20" ref="M78:M88">+K78-L78</f>
        <v>13816</v>
      </c>
      <c r="N78" s="377">
        <f>'WP-BC'!L30</f>
        <v>0</v>
      </c>
      <c r="O78" s="871">
        <v>13816</v>
      </c>
      <c r="P78" s="872"/>
      <c r="Q78" s="871">
        <v>0</v>
      </c>
      <c r="R78" s="872"/>
      <c r="S78" s="871">
        <f aca="true" t="shared" si="21" ref="S78:S88">+O78-Q78</f>
        <v>13816</v>
      </c>
    </row>
    <row r="79" spans="1:19" s="873" customFormat="1" ht="15">
      <c r="A79" s="866" t="s">
        <v>161</v>
      </c>
      <c r="B79" s="867" t="s">
        <v>283</v>
      </c>
      <c r="C79" s="868" t="s">
        <v>181</v>
      </c>
      <c r="D79" s="869">
        <v>390</v>
      </c>
      <c r="E79" s="866" t="s">
        <v>73</v>
      </c>
      <c r="F79" s="866"/>
      <c r="G79" s="377">
        <f>'WP-BC'!E310</f>
        <v>1576650.3900000001</v>
      </c>
      <c r="H79" s="377">
        <f>'WP-BC'!F310</f>
        <v>1157285</v>
      </c>
      <c r="I79" s="870">
        <f t="shared" si="19"/>
        <v>419365.39000000013</v>
      </c>
      <c r="J79" s="377">
        <f>'WP-BC'!H310</f>
        <v>1</v>
      </c>
      <c r="K79" s="377">
        <f>'WP-BC'!I310</f>
        <v>1576650.3900000001</v>
      </c>
      <c r="L79" s="377">
        <f>'WP-BC'!J310</f>
        <v>1157284</v>
      </c>
      <c r="M79" s="870">
        <f t="shared" si="20"/>
        <v>419366.39000000013</v>
      </c>
      <c r="N79" s="377">
        <f>'WP-BC'!L310</f>
        <v>0</v>
      </c>
      <c r="O79" s="871">
        <v>1083781</v>
      </c>
      <c r="P79" s="872"/>
      <c r="Q79" s="871">
        <v>954097</v>
      </c>
      <c r="R79" s="872"/>
      <c r="S79" s="871">
        <f t="shared" si="21"/>
        <v>129684</v>
      </c>
    </row>
    <row r="80" spans="1:19" s="873" customFormat="1" ht="15">
      <c r="A80" s="866" t="s">
        <v>161</v>
      </c>
      <c r="B80" s="867" t="s">
        <v>283</v>
      </c>
      <c r="C80" s="868" t="s">
        <v>181</v>
      </c>
      <c r="D80" s="869">
        <v>391</v>
      </c>
      <c r="E80" s="866" t="s">
        <v>84</v>
      </c>
      <c r="F80" s="866"/>
      <c r="G80" s="377">
        <f>'WP-BC'!E311</f>
        <v>833108.48</v>
      </c>
      <c r="H80" s="377">
        <f>'WP-BC'!F311</f>
        <v>833108.48</v>
      </c>
      <c r="I80" s="870">
        <f t="shared" si="19"/>
        <v>0</v>
      </c>
      <c r="J80" s="377">
        <f>'WP-BC'!H311</f>
        <v>0</v>
      </c>
      <c r="K80" s="377">
        <f>'WP-BC'!I311</f>
        <v>833108.48</v>
      </c>
      <c r="L80" s="377">
        <f>'WP-BC'!J311</f>
        <v>833108.48</v>
      </c>
      <c r="M80" s="870">
        <f t="shared" si="20"/>
        <v>0</v>
      </c>
      <c r="N80" s="377">
        <f>'WP-BC'!L311</f>
        <v>0</v>
      </c>
      <c r="O80" s="871">
        <v>837882</v>
      </c>
      <c r="P80" s="872"/>
      <c r="Q80" s="871">
        <v>999305</v>
      </c>
      <c r="R80" s="872"/>
      <c r="S80" s="871">
        <f t="shared" si="21"/>
        <v>-161423</v>
      </c>
    </row>
    <row r="81" spans="1:19" s="873" customFormat="1" ht="15">
      <c r="A81" s="866" t="s">
        <v>161</v>
      </c>
      <c r="B81" s="867" t="s">
        <v>283</v>
      </c>
      <c r="C81" s="868" t="s">
        <v>181</v>
      </c>
      <c r="D81" s="869">
        <v>392</v>
      </c>
      <c r="E81" s="866" t="s">
        <v>85</v>
      </c>
      <c r="F81" s="866"/>
      <c r="G81" s="377">
        <f>'WP-BC'!E312</f>
        <v>190358.34</v>
      </c>
      <c r="H81" s="377">
        <f>'WP-BC'!F312</f>
        <v>190358.62999999998</v>
      </c>
      <c r="I81" s="870">
        <f t="shared" si="19"/>
        <v>-0.28999999997904524</v>
      </c>
      <c r="J81" s="377">
        <f>'WP-BC'!H312</f>
        <v>0</v>
      </c>
      <c r="K81" s="377">
        <f>'WP-BC'!I312</f>
        <v>190358.34</v>
      </c>
      <c r="L81" s="377">
        <f>'WP-BC'!J312</f>
        <v>224302.62999999998</v>
      </c>
      <c r="M81" s="870">
        <f t="shared" si="20"/>
        <v>-33944.28999999998</v>
      </c>
      <c r="N81" s="377">
        <f>'WP-BC'!L312</f>
        <v>4535</v>
      </c>
      <c r="O81" s="871">
        <v>541246.62</v>
      </c>
      <c r="P81" s="872"/>
      <c r="Q81" s="871">
        <v>429233.08</v>
      </c>
      <c r="R81" s="872"/>
      <c r="S81" s="871">
        <f t="shared" si="21"/>
        <v>112013.53999999998</v>
      </c>
    </row>
    <row r="82" spans="1:19" s="873" customFormat="1" ht="15">
      <c r="A82" s="866" t="s">
        <v>161</v>
      </c>
      <c r="B82" s="867" t="s">
        <v>283</v>
      </c>
      <c r="C82" s="868" t="s">
        <v>181</v>
      </c>
      <c r="D82" s="869">
        <v>393</v>
      </c>
      <c r="E82" s="866" t="s">
        <v>86</v>
      </c>
      <c r="F82" s="866"/>
      <c r="G82" s="377">
        <f>'WP-BC'!E313</f>
        <v>108837.62</v>
      </c>
      <c r="H82" s="377">
        <f>'WP-BC'!F313</f>
        <v>98424.62</v>
      </c>
      <c r="I82" s="870">
        <f t="shared" si="19"/>
        <v>10413</v>
      </c>
      <c r="J82" s="377">
        <f>'WP-BC'!H313</f>
        <v>825</v>
      </c>
      <c r="K82" s="377">
        <f>'WP-BC'!I313</f>
        <v>108837.62</v>
      </c>
      <c r="L82" s="377">
        <f>'WP-BC'!J313</f>
        <v>97599.62</v>
      </c>
      <c r="M82" s="870">
        <f t="shared" si="20"/>
        <v>11238</v>
      </c>
      <c r="N82" s="377">
        <f>'WP-BC'!L313</f>
        <v>550</v>
      </c>
      <c r="O82" s="871">
        <v>108837.62</v>
      </c>
      <c r="P82" s="872"/>
      <c r="Q82" s="871">
        <v>94091.62</v>
      </c>
      <c r="R82" s="872"/>
      <c r="S82" s="871">
        <f t="shared" si="21"/>
        <v>14746</v>
      </c>
    </row>
    <row r="83" spans="1:19" s="873" customFormat="1" ht="15">
      <c r="A83" s="866" t="s">
        <v>161</v>
      </c>
      <c r="B83" s="867" t="s">
        <v>283</v>
      </c>
      <c r="C83" s="868" t="s">
        <v>181</v>
      </c>
      <c r="D83" s="869">
        <v>394</v>
      </c>
      <c r="E83" s="866" t="s">
        <v>87</v>
      </c>
      <c r="F83" s="866"/>
      <c r="G83" s="377">
        <f>'WP-BC'!E314</f>
        <v>227024.47</v>
      </c>
      <c r="H83" s="377">
        <f>'WP-BC'!F314</f>
        <v>60727.27</v>
      </c>
      <c r="I83" s="870">
        <f t="shared" si="19"/>
        <v>166297.2</v>
      </c>
      <c r="J83" s="377">
        <f>'WP-BC'!H314</f>
        <v>9360.67</v>
      </c>
      <c r="K83" s="377">
        <f>'WP-BC'!I314</f>
        <v>174087.6</v>
      </c>
      <c r="L83" s="377">
        <f>'WP-BC'!J314</f>
        <v>17422.6</v>
      </c>
      <c r="M83" s="870">
        <f t="shared" si="20"/>
        <v>156665</v>
      </c>
      <c r="N83" s="377">
        <f>'WP-BC'!L314</f>
        <v>8655.6</v>
      </c>
      <c r="O83" s="871">
        <v>6400</v>
      </c>
      <c r="P83" s="872"/>
      <c r="Q83" s="871">
        <v>3191</v>
      </c>
      <c r="R83" s="872"/>
      <c r="S83" s="871">
        <f t="shared" si="21"/>
        <v>3209</v>
      </c>
    </row>
    <row r="84" spans="1:19" s="873" customFormat="1" ht="15">
      <c r="A84" s="866" t="s">
        <v>161</v>
      </c>
      <c r="B84" s="867" t="s">
        <v>283</v>
      </c>
      <c r="C84" s="868" t="s">
        <v>181</v>
      </c>
      <c r="D84" s="869">
        <v>395</v>
      </c>
      <c r="E84" s="866" t="s">
        <v>88</v>
      </c>
      <c r="F84" s="866"/>
      <c r="G84" s="377">
        <f>'WP-BC'!E315</f>
        <v>1616697.85</v>
      </c>
      <c r="H84" s="377">
        <f>'WP-BC'!F315</f>
        <v>1539395.87</v>
      </c>
      <c r="I84" s="870">
        <f t="shared" si="19"/>
        <v>77301.97999999998</v>
      </c>
      <c r="J84" s="377">
        <f>'WP-BC'!H315</f>
        <v>40613.67999999999</v>
      </c>
      <c r="K84" s="377">
        <f>'WP-BC'!I315</f>
        <v>1583505.1700000002</v>
      </c>
      <c r="L84" s="377">
        <f>'WP-BC'!J315</f>
        <v>1476710.1900000002</v>
      </c>
      <c r="M84" s="870">
        <f t="shared" si="20"/>
        <v>106794.97999999998</v>
      </c>
      <c r="N84" s="377">
        <f>'WP-BC'!L315</f>
        <v>36216.020000000004</v>
      </c>
      <c r="O84" s="871">
        <v>1394339.57</v>
      </c>
      <c r="P84" s="872"/>
      <c r="Q84" s="871">
        <v>1342713.59</v>
      </c>
      <c r="R84" s="872"/>
      <c r="S84" s="871">
        <f t="shared" si="21"/>
        <v>51625.97999999998</v>
      </c>
    </row>
    <row r="85" spans="1:19" s="873" customFormat="1" ht="15">
      <c r="A85" s="866" t="s">
        <v>161</v>
      </c>
      <c r="B85" s="867" t="s">
        <v>283</v>
      </c>
      <c r="C85" s="868" t="s">
        <v>181</v>
      </c>
      <c r="D85" s="869">
        <v>396</v>
      </c>
      <c r="E85" s="866" t="s">
        <v>89</v>
      </c>
      <c r="F85" s="866"/>
      <c r="G85" s="377">
        <f>'WP-BC'!E316</f>
        <v>163077.94</v>
      </c>
      <c r="H85" s="377">
        <f>'WP-BC'!F316</f>
        <v>148126.93</v>
      </c>
      <c r="I85" s="870">
        <f t="shared" si="19"/>
        <v>14951.01000000001</v>
      </c>
      <c r="J85" s="377">
        <f>'WP-BC'!H316</f>
        <v>-1263</v>
      </c>
      <c r="K85" s="377">
        <f>'WP-BC'!I316</f>
        <v>163077.94</v>
      </c>
      <c r="L85" s="377">
        <f>'WP-BC'!J316</f>
        <v>149389.93</v>
      </c>
      <c r="M85" s="870">
        <f t="shared" si="20"/>
        <v>13688.01000000001</v>
      </c>
      <c r="N85" s="377">
        <f>'WP-BC'!L316</f>
        <v>-1260</v>
      </c>
      <c r="O85" s="871">
        <v>198592</v>
      </c>
      <c r="P85" s="872"/>
      <c r="Q85" s="871">
        <v>167153</v>
      </c>
      <c r="R85" s="872"/>
      <c r="S85" s="871">
        <f t="shared" si="21"/>
        <v>31439</v>
      </c>
    </row>
    <row r="86" spans="1:19" s="873" customFormat="1" ht="15">
      <c r="A86" s="866" t="s">
        <v>161</v>
      </c>
      <c r="B86" s="867" t="s">
        <v>283</v>
      </c>
      <c r="C86" s="868" t="s">
        <v>181</v>
      </c>
      <c r="D86" s="869">
        <v>397</v>
      </c>
      <c r="E86" s="866" t="s">
        <v>90</v>
      </c>
      <c r="F86" s="866"/>
      <c r="G86" s="377">
        <f>'WP-BC'!E317</f>
        <v>443045</v>
      </c>
      <c r="H86" s="377">
        <f>'WP-BC'!F317</f>
        <v>427385</v>
      </c>
      <c r="I86" s="870">
        <f t="shared" si="19"/>
        <v>15660</v>
      </c>
      <c r="J86" s="377">
        <f>'WP-BC'!H317</f>
        <v>0</v>
      </c>
      <c r="K86" s="377">
        <f>'WP-BC'!I317</f>
        <v>443045</v>
      </c>
      <c r="L86" s="377">
        <f>'WP-BC'!J317</f>
        <v>427385</v>
      </c>
      <c r="M86" s="870">
        <f t="shared" si="20"/>
        <v>15660</v>
      </c>
      <c r="N86" s="377">
        <f>'WP-BC'!L317</f>
        <v>0</v>
      </c>
      <c r="O86" s="871">
        <v>443045</v>
      </c>
      <c r="P86" s="872"/>
      <c r="Q86" s="871">
        <v>254870</v>
      </c>
      <c r="R86" s="872"/>
      <c r="S86" s="871">
        <f t="shared" si="21"/>
        <v>188175</v>
      </c>
    </row>
    <row r="87" spans="1:19" s="873" customFormat="1" ht="15">
      <c r="A87" s="866" t="s">
        <v>161</v>
      </c>
      <c r="B87" s="867" t="s">
        <v>283</v>
      </c>
      <c r="C87" s="868" t="s">
        <v>181</v>
      </c>
      <c r="D87" s="869">
        <v>398</v>
      </c>
      <c r="E87" s="866" t="s">
        <v>91</v>
      </c>
      <c r="F87" s="866"/>
      <c r="G87" s="377">
        <f>'WP-BC'!E318</f>
        <v>2960625.65</v>
      </c>
      <c r="H87" s="377">
        <f>'WP-BC'!F318</f>
        <v>2960625.93</v>
      </c>
      <c r="I87" s="870">
        <f t="shared" si="19"/>
        <v>-0.2800000002607703</v>
      </c>
      <c r="J87" s="377">
        <f>'WP-BC'!H318</f>
        <v>3801</v>
      </c>
      <c r="K87" s="377">
        <f>'WP-BC'!I318</f>
        <v>2975525.65</v>
      </c>
      <c r="L87" s="377">
        <f>'WP-BC'!J318</f>
        <v>2978896.93</v>
      </c>
      <c r="M87" s="870">
        <f t="shared" si="20"/>
        <v>-3371.2800000002608</v>
      </c>
      <c r="N87" s="377">
        <f>'WP-BC'!L318</f>
        <v>2679</v>
      </c>
      <c r="O87" s="871">
        <v>3131817.34</v>
      </c>
      <c r="P87" s="872"/>
      <c r="Q87" s="871">
        <v>3047113.62</v>
      </c>
      <c r="R87" s="872"/>
      <c r="S87" s="871">
        <f t="shared" si="21"/>
        <v>84703.71999999974</v>
      </c>
    </row>
    <row r="88" spans="1:19" s="873" customFormat="1" ht="15">
      <c r="A88" s="866" t="s">
        <v>161</v>
      </c>
      <c r="B88" s="867" t="s">
        <v>283</v>
      </c>
      <c r="C88" s="868" t="s">
        <v>181</v>
      </c>
      <c r="D88" s="869">
        <v>399</v>
      </c>
      <c r="E88" s="866" t="s">
        <v>92</v>
      </c>
      <c r="F88" s="866"/>
      <c r="G88" s="874">
        <f>'WP-BC'!E319</f>
        <v>322930</v>
      </c>
      <c r="H88" s="874">
        <f>'WP-BC'!F319</f>
        <v>322930</v>
      </c>
      <c r="I88" s="874">
        <f t="shared" si="19"/>
        <v>0</v>
      </c>
      <c r="J88" s="874">
        <f>'WP-BC'!H319</f>
        <v>0</v>
      </c>
      <c r="K88" s="874">
        <f>'WP-BC'!I319</f>
        <v>322930</v>
      </c>
      <c r="L88" s="874">
        <f>'WP-BC'!J319</f>
        <v>322930</v>
      </c>
      <c r="M88" s="874">
        <f t="shared" si="20"/>
        <v>0</v>
      </c>
      <c r="N88" s="874">
        <f>'WP-BC'!L319</f>
        <v>0</v>
      </c>
      <c r="O88" s="875">
        <v>322930</v>
      </c>
      <c r="P88" s="876"/>
      <c r="Q88" s="875">
        <v>322930</v>
      </c>
      <c r="R88" s="876"/>
      <c r="S88" s="875">
        <f t="shared" si="21"/>
        <v>0</v>
      </c>
    </row>
    <row r="89" spans="1:19" s="873" customFormat="1" ht="15">
      <c r="A89" s="866"/>
      <c r="B89" s="866"/>
      <c r="C89" s="877"/>
      <c r="D89" s="878" t="s">
        <v>277</v>
      </c>
      <c r="E89" s="866"/>
      <c r="F89" s="866"/>
      <c r="G89" s="879">
        <f aca="true" t="shared" si="22" ref="G89:O89">SUM(G78:G88)</f>
        <v>8456171.74</v>
      </c>
      <c r="H89" s="879">
        <f t="shared" si="22"/>
        <v>7738367.73</v>
      </c>
      <c r="I89" s="879">
        <f t="shared" si="22"/>
        <v>717804.0099999999</v>
      </c>
      <c r="J89" s="879">
        <f t="shared" si="22"/>
        <v>53338.34999999999</v>
      </c>
      <c r="K89" s="879">
        <f t="shared" si="22"/>
        <v>8384942.190000001</v>
      </c>
      <c r="L89" s="879">
        <f t="shared" si="22"/>
        <v>7685029.380000001</v>
      </c>
      <c r="M89" s="879">
        <f t="shared" si="22"/>
        <v>699912.8099999998</v>
      </c>
      <c r="N89" s="879">
        <f t="shared" si="22"/>
        <v>51375.62</v>
      </c>
      <c r="O89" s="885">
        <f t="shared" si="22"/>
        <v>8082687.15</v>
      </c>
      <c r="P89" s="872"/>
      <c r="Q89" s="885">
        <f>SUM(Q78:Q88)</f>
        <v>7614697.91</v>
      </c>
      <c r="R89" s="872"/>
      <c r="S89" s="885">
        <f>SUM(S78:S88)</f>
        <v>467989.2399999997</v>
      </c>
    </row>
    <row r="90" spans="1:19" s="157" customFormat="1" ht="9.75" customHeight="1">
      <c r="A90" s="413"/>
      <c r="B90" s="413"/>
      <c r="C90" s="415"/>
      <c r="D90" s="418"/>
      <c r="E90" s="413"/>
      <c r="F90" s="413"/>
      <c r="G90" s="792"/>
      <c r="H90" s="792"/>
      <c r="I90" s="792"/>
      <c r="J90" s="792"/>
      <c r="K90" s="792"/>
      <c r="L90" s="792"/>
      <c r="M90" s="792"/>
      <c r="N90" s="792"/>
      <c r="O90" s="176"/>
      <c r="P90" s="174"/>
      <c r="Q90" s="176"/>
      <c r="R90" s="174"/>
      <c r="S90" s="176"/>
    </row>
    <row r="91" spans="1:19" s="873" customFormat="1" ht="15">
      <c r="A91" s="866" t="s">
        <v>161</v>
      </c>
      <c r="B91" s="867" t="s">
        <v>283</v>
      </c>
      <c r="C91" s="868" t="s">
        <v>177</v>
      </c>
      <c r="D91" s="869">
        <v>398</v>
      </c>
      <c r="E91" s="866" t="s">
        <v>91</v>
      </c>
      <c r="F91" s="866"/>
      <c r="G91" s="377">
        <f>'WP-BC'!E292</f>
        <v>181336.84</v>
      </c>
      <c r="H91" s="377">
        <f>'WP-BC'!F292</f>
        <v>180976.84</v>
      </c>
      <c r="I91" s="870">
        <f aca="true" t="shared" si="23" ref="I91:I103">+G91-H91</f>
        <v>360</v>
      </c>
      <c r="J91" s="377">
        <f>'WP-BC'!H292</f>
        <v>437</v>
      </c>
      <c r="K91" s="377">
        <f>'WP-BC'!I292</f>
        <v>181336.84</v>
      </c>
      <c r="L91" s="377">
        <f>'WP-BC'!J292</f>
        <v>180539.84</v>
      </c>
      <c r="M91" s="870">
        <f aca="true" t="shared" si="24" ref="M91:M103">+K91-L91</f>
        <v>797</v>
      </c>
      <c r="N91" s="377">
        <f>'WP-BC'!L292</f>
        <v>3300</v>
      </c>
      <c r="O91" s="871">
        <v>181336.84</v>
      </c>
      <c r="P91" s="872"/>
      <c r="Q91" s="871">
        <v>147903.84</v>
      </c>
      <c r="R91" s="872"/>
      <c r="S91" s="871">
        <f aca="true" t="shared" si="25" ref="S91:S103">+O91-Q91</f>
        <v>33433</v>
      </c>
    </row>
    <row r="92" spans="1:19" s="873" customFormat="1" ht="15">
      <c r="A92" s="866" t="s">
        <v>161</v>
      </c>
      <c r="B92" s="867" t="s">
        <v>283</v>
      </c>
      <c r="C92" s="868" t="s">
        <v>174</v>
      </c>
      <c r="D92" s="869">
        <v>396</v>
      </c>
      <c r="E92" s="866" t="s">
        <v>89</v>
      </c>
      <c r="F92" s="866"/>
      <c r="G92" s="377">
        <f>'WP-BC'!E301</f>
        <v>28597</v>
      </c>
      <c r="H92" s="377">
        <f>'WP-BC'!F301</f>
        <v>22162</v>
      </c>
      <c r="I92" s="870">
        <f t="shared" si="23"/>
        <v>6435</v>
      </c>
      <c r="J92" s="377">
        <f>'WP-BC'!H301</f>
        <v>280</v>
      </c>
      <c r="K92" s="377">
        <f>'WP-BC'!I301</f>
        <v>21882</v>
      </c>
      <c r="L92" s="377">
        <f>'WP-BC'!J301</f>
        <v>21882</v>
      </c>
      <c r="M92" s="870">
        <f t="shared" si="24"/>
        <v>0</v>
      </c>
      <c r="N92" s="377">
        <f>'WP-BC'!L301</f>
        <v>1451</v>
      </c>
      <c r="O92" s="871">
        <v>21882</v>
      </c>
      <c r="P92" s="872"/>
      <c r="Q92" s="871">
        <v>11675</v>
      </c>
      <c r="R92" s="872"/>
      <c r="S92" s="871">
        <f t="shared" si="25"/>
        <v>10207</v>
      </c>
    </row>
    <row r="93" spans="1:19" s="873" customFormat="1" ht="15">
      <c r="A93" s="866" t="s">
        <v>161</v>
      </c>
      <c r="B93" s="867" t="s">
        <v>283</v>
      </c>
      <c r="C93" s="868" t="s">
        <v>174</v>
      </c>
      <c r="D93" s="869">
        <v>398</v>
      </c>
      <c r="E93" s="866" t="s">
        <v>91</v>
      </c>
      <c r="F93" s="866"/>
      <c r="G93" s="377">
        <f>'WP-BC'!E302</f>
        <v>427955.33999999997</v>
      </c>
      <c r="H93" s="377">
        <f>'WP-BC'!F302</f>
        <v>423675.33999999997</v>
      </c>
      <c r="I93" s="870">
        <f t="shared" si="23"/>
        <v>4280</v>
      </c>
      <c r="J93" s="377">
        <f>'WP-BC'!H302</f>
        <v>1884</v>
      </c>
      <c r="K93" s="377">
        <f>'WP-BC'!I302</f>
        <v>427955.33999999997</v>
      </c>
      <c r="L93" s="377">
        <f>'WP-BC'!J302</f>
        <v>421791.33999999997</v>
      </c>
      <c r="M93" s="870">
        <f t="shared" si="24"/>
        <v>6164</v>
      </c>
      <c r="N93" s="377">
        <f>'WP-BC'!L302</f>
        <v>2383</v>
      </c>
      <c r="O93" s="871">
        <v>427955.33999999997</v>
      </c>
      <c r="P93" s="872"/>
      <c r="Q93" s="871">
        <v>373839.33999999997</v>
      </c>
      <c r="R93" s="872"/>
      <c r="S93" s="871">
        <f t="shared" si="25"/>
        <v>54116</v>
      </c>
    </row>
    <row r="94" spans="1:19" s="873" customFormat="1" ht="15">
      <c r="A94" s="866" t="s">
        <v>161</v>
      </c>
      <c r="B94" s="867" t="s">
        <v>283</v>
      </c>
      <c r="C94" s="868" t="s">
        <v>175</v>
      </c>
      <c r="D94" s="869">
        <v>396</v>
      </c>
      <c r="E94" s="866" t="s">
        <v>89</v>
      </c>
      <c r="F94" s="866"/>
      <c r="G94" s="377">
        <f>'WP-BC'!E303</f>
        <v>21882</v>
      </c>
      <c r="H94" s="377">
        <f>'WP-BC'!F303</f>
        <v>21882</v>
      </c>
      <c r="I94" s="870">
        <f t="shared" si="23"/>
        <v>0</v>
      </c>
      <c r="J94" s="377">
        <f>'WP-BC'!H303</f>
        <v>0</v>
      </c>
      <c r="K94" s="377">
        <f>'WP-BC'!I303</f>
        <v>21882</v>
      </c>
      <c r="L94" s="377">
        <f>'WP-BC'!J303</f>
        <v>21882</v>
      </c>
      <c r="M94" s="870">
        <f t="shared" si="24"/>
        <v>0</v>
      </c>
      <c r="N94" s="377">
        <f>'WP-BC'!L303</f>
        <v>1451</v>
      </c>
      <c r="O94" s="871">
        <v>21882</v>
      </c>
      <c r="P94" s="872"/>
      <c r="Q94" s="871">
        <v>11675</v>
      </c>
      <c r="R94" s="872"/>
      <c r="S94" s="871">
        <f t="shared" si="25"/>
        <v>10207</v>
      </c>
    </row>
    <row r="95" spans="1:19" s="873" customFormat="1" ht="15">
      <c r="A95" s="866" t="s">
        <v>161</v>
      </c>
      <c r="B95" s="867" t="s">
        <v>283</v>
      </c>
      <c r="C95" s="868" t="s">
        <v>175</v>
      </c>
      <c r="D95" s="869">
        <v>398</v>
      </c>
      <c r="E95" s="866" t="s">
        <v>91</v>
      </c>
      <c r="F95" s="866"/>
      <c r="G95" s="377">
        <f>'WP-BC'!E304</f>
        <v>1166179.73</v>
      </c>
      <c r="H95" s="377">
        <f>'WP-BC'!F304</f>
        <v>1161496.73</v>
      </c>
      <c r="I95" s="870">
        <f t="shared" si="23"/>
        <v>4683</v>
      </c>
      <c r="J95" s="377">
        <f>'WP-BC'!H304</f>
        <v>2371</v>
      </c>
      <c r="K95" s="377">
        <f>'WP-BC'!I304</f>
        <v>860179.7300000001</v>
      </c>
      <c r="L95" s="377">
        <f>'WP-BC'!J304</f>
        <v>1159125.73</v>
      </c>
      <c r="M95" s="870">
        <f t="shared" si="24"/>
        <v>-298945.9999999999</v>
      </c>
      <c r="N95" s="377">
        <f>'WP-BC'!L304</f>
        <v>2870</v>
      </c>
      <c r="O95" s="871">
        <v>860179.7300000001</v>
      </c>
      <c r="P95" s="872"/>
      <c r="Q95" s="871">
        <v>503709.73</v>
      </c>
      <c r="R95" s="872"/>
      <c r="S95" s="871">
        <f t="shared" si="25"/>
        <v>356470.0000000001</v>
      </c>
    </row>
    <row r="96" spans="1:19" s="873" customFormat="1" ht="15">
      <c r="A96" s="866" t="s">
        <v>161</v>
      </c>
      <c r="B96" s="867" t="s">
        <v>283</v>
      </c>
      <c r="C96" s="868" t="s">
        <v>176</v>
      </c>
      <c r="D96" s="869">
        <v>396</v>
      </c>
      <c r="E96" s="866" t="s">
        <v>89</v>
      </c>
      <c r="F96" s="866"/>
      <c r="G96" s="377">
        <f>'WP-BC'!E305</f>
        <v>22076</v>
      </c>
      <c r="H96" s="377">
        <f>'WP-BC'!F305</f>
        <v>22076</v>
      </c>
      <c r="I96" s="870">
        <f t="shared" si="23"/>
        <v>0</v>
      </c>
      <c r="J96" s="377">
        <f>'WP-BC'!H305</f>
        <v>0</v>
      </c>
      <c r="K96" s="377">
        <f>'WP-BC'!I305</f>
        <v>22076</v>
      </c>
      <c r="L96" s="377">
        <f>'WP-BC'!J305</f>
        <v>22076</v>
      </c>
      <c r="M96" s="870">
        <f t="shared" si="24"/>
        <v>0</v>
      </c>
      <c r="N96" s="377">
        <f>'WP-BC'!L305</f>
        <v>1468</v>
      </c>
      <c r="O96" s="871">
        <v>22076</v>
      </c>
      <c r="P96" s="872"/>
      <c r="Q96" s="871">
        <v>11776</v>
      </c>
      <c r="R96" s="872"/>
      <c r="S96" s="871">
        <f t="shared" si="25"/>
        <v>10300</v>
      </c>
    </row>
    <row r="97" spans="1:19" s="873" customFormat="1" ht="15">
      <c r="A97" s="866" t="s">
        <v>161</v>
      </c>
      <c r="B97" s="867" t="s">
        <v>283</v>
      </c>
      <c r="C97" s="868" t="s">
        <v>176</v>
      </c>
      <c r="D97" s="869">
        <v>398</v>
      </c>
      <c r="E97" s="866" t="s">
        <v>91</v>
      </c>
      <c r="F97" s="866"/>
      <c r="G97" s="377">
        <f>'WP-BC'!E306</f>
        <v>1272183.1099999999</v>
      </c>
      <c r="H97" s="377">
        <f>'WP-BC'!F306</f>
        <v>1247299.5899999999</v>
      </c>
      <c r="I97" s="870">
        <f t="shared" si="23"/>
        <v>24883.52000000002</v>
      </c>
      <c r="J97" s="377">
        <f>'WP-BC'!H306</f>
        <v>6534</v>
      </c>
      <c r="K97" s="377">
        <f>'WP-BC'!I306</f>
        <v>1272183.1099999999</v>
      </c>
      <c r="L97" s="377">
        <f>'WP-BC'!J306</f>
        <v>1240765.5899999999</v>
      </c>
      <c r="M97" s="870">
        <f t="shared" si="24"/>
        <v>31417.52000000002</v>
      </c>
      <c r="N97" s="377">
        <f>'WP-BC'!L306</f>
        <v>7187</v>
      </c>
      <c r="O97" s="871">
        <v>1238891.6099999999</v>
      </c>
      <c r="P97" s="872"/>
      <c r="Q97" s="871">
        <v>554089.09</v>
      </c>
      <c r="R97" s="872"/>
      <c r="S97" s="871">
        <f t="shared" si="25"/>
        <v>684802.5199999999</v>
      </c>
    </row>
    <row r="98" spans="1:19" s="873" customFormat="1" ht="15">
      <c r="A98" s="866" t="s">
        <v>161</v>
      </c>
      <c r="B98" s="867" t="s">
        <v>283</v>
      </c>
      <c r="C98" s="868" t="s">
        <v>187</v>
      </c>
      <c r="D98" s="869">
        <v>396</v>
      </c>
      <c r="E98" s="866" t="s">
        <v>89</v>
      </c>
      <c r="F98" s="866"/>
      <c r="G98" s="377">
        <f>'WP-BC'!E308</f>
        <v>22076</v>
      </c>
      <c r="H98" s="377">
        <f>'WP-BC'!F308</f>
        <v>22076</v>
      </c>
      <c r="I98" s="870">
        <f t="shared" si="23"/>
        <v>0</v>
      </c>
      <c r="J98" s="377">
        <f>'WP-BC'!H308</f>
        <v>0</v>
      </c>
      <c r="K98" s="377">
        <f>'WP-BC'!I308</f>
        <v>22076</v>
      </c>
      <c r="L98" s="377">
        <f>'WP-BC'!J308</f>
        <v>22076</v>
      </c>
      <c r="M98" s="870">
        <f t="shared" si="24"/>
        <v>0</v>
      </c>
      <c r="N98" s="377">
        <f>'WP-BC'!L308</f>
        <v>1468</v>
      </c>
      <c r="O98" s="871">
        <v>22076</v>
      </c>
      <c r="P98" s="872"/>
      <c r="Q98" s="871">
        <v>11776</v>
      </c>
      <c r="R98" s="872"/>
      <c r="S98" s="871">
        <f t="shared" si="25"/>
        <v>10300</v>
      </c>
    </row>
    <row r="99" spans="1:19" s="873" customFormat="1" ht="15">
      <c r="A99" s="866" t="s">
        <v>161</v>
      </c>
      <c r="B99" s="867" t="s">
        <v>283</v>
      </c>
      <c r="C99" s="868" t="s">
        <v>187</v>
      </c>
      <c r="D99" s="869">
        <v>398</v>
      </c>
      <c r="E99" s="866" t="s">
        <v>91</v>
      </c>
      <c r="F99" s="866"/>
      <c r="G99" s="377">
        <f>'WP-BC'!E309</f>
        <v>228133.34</v>
      </c>
      <c r="H99" s="377">
        <f>'WP-BC'!F309</f>
        <v>227772.34</v>
      </c>
      <c r="I99" s="870">
        <f t="shared" si="23"/>
        <v>361</v>
      </c>
      <c r="J99" s="377">
        <f>'WP-BC'!H309</f>
        <v>1066</v>
      </c>
      <c r="K99" s="377">
        <f>'WP-BC'!I309</f>
        <v>228133.34</v>
      </c>
      <c r="L99" s="377">
        <f>'WP-BC'!J309</f>
        <v>226706.34</v>
      </c>
      <c r="M99" s="870">
        <f t="shared" si="24"/>
        <v>1427</v>
      </c>
      <c r="N99" s="377">
        <f>'WP-BC'!L309</f>
        <v>1520</v>
      </c>
      <c r="O99" s="871">
        <v>228133.34</v>
      </c>
      <c r="P99" s="872"/>
      <c r="Q99" s="871">
        <v>196578.34</v>
      </c>
      <c r="R99" s="872"/>
      <c r="S99" s="871">
        <f t="shared" si="25"/>
        <v>31555</v>
      </c>
    </row>
    <row r="100" spans="1:19" s="873" customFormat="1" ht="15">
      <c r="A100" s="866" t="s">
        <v>161</v>
      </c>
      <c r="B100" s="867" t="s">
        <v>283</v>
      </c>
      <c r="C100" s="868" t="s">
        <v>188</v>
      </c>
      <c r="D100" s="869">
        <v>396</v>
      </c>
      <c r="E100" s="866" t="s">
        <v>89</v>
      </c>
      <c r="F100" s="866"/>
      <c r="G100" s="377">
        <f>'WP-BC'!E320</f>
        <v>22076</v>
      </c>
      <c r="H100" s="377">
        <f>'WP-BC'!F320</f>
        <v>22076</v>
      </c>
      <c r="I100" s="870">
        <f t="shared" si="23"/>
        <v>0</v>
      </c>
      <c r="J100" s="377">
        <f>'WP-BC'!H320</f>
        <v>0</v>
      </c>
      <c r="K100" s="377">
        <f>'WP-BC'!I320</f>
        <v>22076</v>
      </c>
      <c r="L100" s="377">
        <f>'WP-BC'!J320</f>
        <v>22076</v>
      </c>
      <c r="M100" s="870">
        <f t="shared" si="24"/>
        <v>0</v>
      </c>
      <c r="N100" s="377">
        <f>'WP-BC'!L320</f>
        <v>1468</v>
      </c>
      <c r="O100" s="871">
        <v>22076</v>
      </c>
      <c r="P100" s="872"/>
      <c r="Q100" s="871">
        <v>11776</v>
      </c>
      <c r="R100" s="872"/>
      <c r="S100" s="871">
        <f t="shared" si="25"/>
        <v>10300</v>
      </c>
    </row>
    <row r="101" spans="1:19" s="873" customFormat="1" ht="15">
      <c r="A101" s="866" t="s">
        <v>161</v>
      </c>
      <c r="B101" s="867" t="s">
        <v>283</v>
      </c>
      <c r="C101" s="868" t="s">
        <v>188</v>
      </c>
      <c r="D101" s="869">
        <v>398</v>
      </c>
      <c r="E101" s="866" t="s">
        <v>91</v>
      </c>
      <c r="F101" s="866"/>
      <c r="G101" s="377">
        <f>'WP-BC'!E321</f>
        <v>313431</v>
      </c>
      <c r="H101" s="377">
        <f>'WP-BC'!F321</f>
        <v>171153</v>
      </c>
      <c r="I101" s="870">
        <f t="shared" si="23"/>
        <v>142278</v>
      </c>
      <c r="J101" s="377">
        <f>'WP-BC'!H321</f>
        <v>629</v>
      </c>
      <c r="K101" s="377">
        <f>'WP-BC'!I321</f>
        <v>171154</v>
      </c>
      <c r="L101" s="377">
        <f>'WP-BC'!J321</f>
        <v>170524</v>
      </c>
      <c r="M101" s="870">
        <f t="shared" si="24"/>
        <v>630</v>
      </c>
      <c r="N101" s="377">
        <f>'WP-BC'!L321</f>
        <v>1083</v>
      </c>
      <c r="O101" s="871">
        <v>171154</v>
      </c>
      <c r="P101" s="872"/>
      <c r="Q101" s="871">
        <v>151602</v>
      </c>
      <c r="R101" s="872"/>
      <c r="S101" s="871">
        <f t="shared" si="25"/>
        <v>19552</v>
      </c>
    </row>
    <row r="102" spans="1:19" s="873" customFormat="1" ht="15">
      <c r="A102" s="866" t="s">
        <v>161</v>
      </c>
      <c r="B102" s="867" t="s">
        <v>283</v>
      </c>
      <c r="C102" s="868" t="s">
        <v>189</v>
      </c>
      <c r="D102" s="869">
        <v>396</v>
      </c>
      <c r="E102" s="866" t="s">
        <v>89</v>
      </c>
      <c r="F102" s="866"/>
      <c r="G102" s="377">
        <f>'WP-BC'!E322</f>
        <v>22076</v>
      </c>
      <c r="H102" s="377">
        <f>'WP-BC'!F322</f>
        <v>11029</v>
      </c>
      <c r="I102" s="870">
        <f t="shared" si="23"/>
        <v>11047</v>
      </c>
      <c r="J102" s="377">
        <f>'WP-BC'!H322</f>
        <v>0</v>
      </c>
      <c r="K102" s="377">
        <f>'WP-BC'!I322</f>
        <v>22076</v>
      </c>
      <c r="L102" s="377">
        <f>'WP-BC'!J322</f>
        <v>11029</v>
      </c>
      <c r="M102" s="870">
        <f t="shared" si="24"/>
        <v>11047</v>
      </c>
      <c r="N102" s="377">
        <f>'WP-BC'!L322</f>
        <v>1468</v>
      </c>
      <c r="O102" s="871">
        <v>22076</v>
      </c>
      <c r="P102" s="872"/>
      <c r="Q102" s="871">
        <v>5152</v>
      </c>
      <c r="R102" s="872"/>
      <c r="S102" s="871">
        <f t="shared" si="25"/>
        <v>16924</v>
      </c>
    </row>
    <row r="103" spans="1:19" s="873" customFormat="1" ht="15">
      <c r="A103" s="866" t="s">
        <v>161</v>
      </c>
      <c r="B103" s="867" t="s">
        <v>283</v>
      </c>
      <c r="C103" s="868" t="s">
        <v>189</v>
      </c>
      <c r="D103" s="869">
        <v>398</v>
      </c>
      <c r="E103" s="866" t="s">
        <v>91</v>
      </c>
      <c r="F103" s="866"/>
      <c r="G103" s="874">
        <f>'WP-BC'!E323</f>
        <v>245850</v>
      </c>
      <c r="H103" s="874">
        <f>'WP-BC'!F323</f>
        <v>95787</v>
      </c>
      <c r="I103" s="874">
        <f t="shared" si="23"/>
        <v>150063</v>
      </c>
      <c r="J103" s="874">
        <f>'WP-BC'!H323</f>
        <v>2808</v>
      </c>
      <c r="K103" s="874">
        <f>'WP-BC'!I323</f>
        <v>245850</v>
      </c>
      <c r="L103" s="874">
        <f>'WP-BC'!J323</f>
        <v>92979</v>
      </c>
      <c r="M103" s="874">
        <f t="shared" si="24"/>
        <v>152871</v>
      </c>
      <c r="N103" s="874">
        <f>'WP-BC'!L323</f>
        <v>3307</v>
      </c>
      <c r="O103" s="875">
        <v>245850</v>
      </c>
      <c r="P103" s="876"/>
      <c r="Q103" s="875">
        <v>83052</v>
      </c>
      <c r="R103" s="876"/>
      <c r="S103" s="875">
        <f t="shared" si="25"/>
        <v>162798</v>
      </c>
    </row>
    <row r="104" spans="1:19" s="157" customFormat="1" ht="15">
      <c r="A104" s="413"/>
      <c r="B104" s="413"/>
      <c r="C104" s="415"/>
      <c r="D104" s="419" t="s">
        <v>278</v>
      </c>
      <c r="E104" s="413"/>
      <c r="F104" s="413"/>
      <c r="G104" s="791">
        <f aca="true" t="shared" si="26" ref="G104:O104">SUM(G91:G103)</f>
        <v>3973852.3599999994</v>
      </c>
      <c r="H104" s="791">
        <f t="shared" si="26"/>
        <v>3629461.84</v>
      </c>
      <c r="I104" s="791">
        <f t="shared" si="26"/>
        <v>344390.52</v>
      </c>
      <c r="J104" s="791">
        <f t="shared" si="26"/>
        <v>16009</v>
      </c>
      <c r="K104" s="791">
        <f t="shared" si="26"/>
        <v>3518860.36</v>
      </c>
      <c r="L104" s="791">
        <f t="shared" si="26"/>
        <v>3613452.84</v>
      </c>
      <c r="M104" s="791">
        <f t="shared" si="26"/>
        <v>-94592.47999999986</v>
      </c>
      <c r="N104" s="791">
        <f t="shared" si="26"/>
        <v>30424</v>
      </c>
      <c r="O104" s="175">
        <f t="shared" si="26"/>
        <v>3485568.86</v>
      </c>
      <c r="Q104" s="175">
        <f>SUM(Q91:Q103)</f>
        <v>2074604.34</v>
      </c>
      <c r="S104" s="175">
        <f>SUM(S91:S103)</f>
        <v>1410964.52</v>
      </c>
    </row>
    <row r="105" spans="1:19" s="157" customFormat="1" ht="18">
      <c r="A105" s="413"/>
      <c r="B105" s="413"/>
      <c r="C105" s="415"/>
      <c r="D105" s="416" t="s">
        <v>180</v>
      </c>
      <c r="E105" s="413"/>
      <c r="F105" s="413"/>
      <c r="G105" s="791">
        <f aca="true" t="shared" si="27" ref="G105:O105">G62+G66+G76+G89+G104</f>
        <v>16113761.54</v>
      </c>
      <c r="H105" s="791">
        <f t="shared" si="27"/>
        <v>13363834.97</v>
      </c>
      <c r="I105" s="791">
        <f t="shared" si="27"/>
        <v>2749926.57</v>
      </c>
      <c r="J105" s="791">
        <f t="shared" si="27"/>
        <v>406795.2</v>
      </c>
      <c r="K105" s="791">
        <f t="shared" si="27"/>
        <v>15194345.14</v>
      </c>
      <c r="L105" s="791">
        <f t="shared" si="27"/>
        <v>12953929.770000001</v>
      </c>
      <c r="M105" s="791">
        <f t="shared" si="27"/>
        <v>2240415.3699999996</v>
      </c>
      <c r="N105" s="791">
        <f t="shared" si="27"/>
        <v>381265.92000000004</v>
      </c>
      <c r="O105" s="175">
        <f t="shared" si="27"/>
        <v>13159832.37</v>
      </c>
      <c r="Q105" s="175">
        <f>Q62+Q66+Q76+Q89+Q104</f>
        <v>10459282.58</v>
      </c>
      <c r="S105" s="175">
        <f>S62+S66+S76+S89+S104</f>
        <v>2700549.79</v>
      </c>
    </row>
  </sheetData>
  <sheetProtection/>
  <mergeCells count="7">
    <mergeCell ref="G11:J11"/>
    <mergeCell ref="D4:M4"/>
    <mergeCell ref="D5:M5"/>
    <mergeCell ref="D6:M6"/>
    <mergeCell ref="D8:M8"/>
    <mergeCell ref="D9:M9"/>
    <mergeCell ref="K11:N11"/>
  </mergeCells>
  <printOptions horizontalCentered="1"/>
  <pageMargins left="0.25" right="0.25" top="0.25" bottom="0.25" header="0" footer="0.5"/>
  <pageSetup fitToHeight="0" fitToWidth="1" horizontalDpi="600" verticalDpi="600" orientation="landscape" scale="54" r:id="rId2"/>
  <rowBreaks count="2" manualBreakCount="2">
    <brk id="53" min="3" max="19" man="1"/>
    <brk id="90" min="3" max="19" man="1"/>
  </rowBreaks>
  <drawing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O338"/>
  <sheetViews>
    <sheetView view="pageBreakPreview" zoomScale="75" zoomScaleNormal="90" zoomScaleSheetLayoutView="75" zoomScalePageLayoutView="0" workbookViewId="0" topLeftCell="A1">
      <pane xSplit="4" ySplit="12" topLeftCell="E1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2.75" outlineLevelRow="1"/>
  <cols>
    <col min="1" max="1" width="14.125" style="383" bestFit="1" customWidth="1"/>
    <col min="2" max="2" width="40.375" style="1523" customWidth="1"/>
    <col min="3" max="3" width="4.75390625" style="383" bestFit="1" customWidth="1"/>
    <col min="4" max="4" width="33.00390625" style="383" customWidth="1"/>
    <col min="5" max="7" width="21.125" style="383" bestFit="1" customWidth="1"/>
    <col min="8" max="8" width="21.00390625" style="383" customWidth="1"/>
    <col min="9" max="9" width="19.50390625" style="383" bestFit="1" customWidth="1"/>
    <col min="10" max="10" width="19.50390625" style="383" customWidth="1"/>
    <col min="11" max="11" width="19.50390625" style="383" bestFit="1" customWidth="1"/>
    <col min="12" max="12" width="19.50390625" style="383" customWidth="1"/>
    <col min="13" max="13" width="14.50390625" style="272" bestFit="1" customWidth="1"/>
    <col min="14" max="14" width="9.00390625" style="272" customWidth="1"/>
    <col min="15" max="15" width="14.75390625" style="1497" bestFit="1" customWidth="1"/>
    <col min="16" max="245" width="9.00390625" style="272" customWidth="1"/>
    <col min="246" max="246" width="5.125" style="272" customWidth="1"/>
    <col min="247" max="247" width="1.4921875" style="272" customWidth="1"/>
    <col min="248" max="248" width="25.875" style="272" customWidth="1"/>
    <col min="249" max="249" width="3.25390625" style="272" customWidth="1"/>
    <col min="250" max="250" width="14.50390625" style="272" customWidth="1"/>
    <col min="251" max="251" width="2.375" style="272" customWidth="1"/>
    <col min="252" max="252" width="16.25390625" style="272" customWidth="1"/>
    <col min="253" max="253" width="1.4921875" style="272" customWidth="1"/>
    <col min="254" max="254" width="16.25390625" style="272" customWidth="1"/>
    <col min="255" max="255" width="1.4921875" style="272" customWidth="1"/>
    <col min="256" max="16384" width="16.625" style="272" customWidth="1"/>
  </cols>
  <sheetData>
    <row r="1" spans="1:15" s="17" customFormat="1" ht="25.5" customHeight="1">
      <c r="A1" s="1484" t="s">
        <v>1155</v>
      </c>
      <c r="B1" s="1512"/>
      <c r="C1" s="385"/>
      <c r="D1" s="385"/>
      <c r="E1" s="696"/>
      <c r="F1" s="1485"/>
      <c r="G1" s="696"/>
      <c r="H1" s="696"/>
      <c r="I1" s="696"/>
      <c r="J1" s="696"/>
      <c r="K1" s="696"/>
      <c r="L1" s="696"/>
      <c r="O1" s="1495"/>
    </row>
    <row r="2" spans="1:15" s="1489" customFormat="1" ht="17.25">
      <c r="A2" s="1486"/>
      <c r="B2" s="1513"/>
      <c r="C2" s="387"/>
      <c r="D2" s="1487"/>
      <c r="E2" s="1488"/>
      <c r="F2" s="1488"/>
      <c r="G2" s="697"/>
      <c r="H2" s="697"/>
      <c r="I2" s="697"/>
      <c r="J2" s="697"/>
      <c r="K2" s="697"/>
      <c r="L2" s="697"/>
      <c r="O2" s="1496"/>
    </row>
    <row r="3" spans="1:15" s="1489" customFormat="1" ht="17.25">
      <c r="A3" s="1594" t="s">
        <v>228</v>
      </c>
      <c r="B3" s="1594"/>
      <c r="C3" s="1594"/>
      <c r="D3" s="1594"/>
      <c r="E3" s="1594"/>
      <c r="F3" s="1594"/>
      <c r="G3" s="1594"/>
      <c r="H3" s="1594"/>
      <c r="I3" s="1594"/>
      <c r="J3" s="1594"/>
      <c r="K3" s="1594"/>
      <c r="L3" s="1490"/>
      <c r="O3" s="1496"/>
    </row>
    <row r="4" spans="1:15" s="1489" customFormat="1" ht="17.25">
      <c r="A4" s="1594" t="s">
        <v>111</v>
      </c>
      <c r="B4" s="1594"/>
      <c r="C4" s="1594"/>
      <c r="D4" s="1594"/>
      <c r="E4" s="1594"/>
      <c r="F4" s="1594"/>
      <c r="G4" s="1594"/>
      <c r="H4" s="1594"/>
      <c r="I4" s="1594"/>
      <c r="J4" s="1594"/>
      <c r="K4" s="1594"/>
      <c r="L4" s="1490"/>
      <c r="O4" s="1496"/>
    </row>
    <row r="5" spans="1:15" s="1489" customFormat="1" ht="17.25">
      <c r="A5" s="1595" t="s">
        <v>1377</v>
      </c>
      <c r="B5" s="1595"/>
      <c r="C5" s="1595"/>
      <c r="D5" s="1595"/>
      <c r="E5" s="1595"/>
      <c r="F5" s="1595"/>
      <c r="G5" s="1595"/>
      <c r="H5" s="1595"/>
      <c r="I5" s="1595"/>
      <c r="J5" s="1595"/>
      <c r="K5" s="1595"/>
      <c r="L5" s="1480"/>
      <c r="O5" s="1496"/>
    </row>
    <row r="6" spans="1:15" s="1489" customFormat="1" ht="12" customHeight="1">
      <c r="A6" s="1487"/>
      <c r="B6" s="1513"/>
      <c r="C6" s="388"/>
      <c r="D6" s="1487"/>
      <c r="E6" s="1488"/>
      <c r="F6" s="1488"/>
      <c r="G6" s="697"/>
      <c r="H6" s="697"/>
      <c r="I6" s="697"/>
      <c r="J6" s="697"/>
      <c r="K6" s="697"/>
      <c r="L6" s="697"/>
      <c r="O6" s="1496"/>
    </row>
    <row r="7" spans="1:15" s="1489" customFormat="1" ht="17.25">
      <c r="A7" s="1596" t="s">
        <v>1156</v>
      </c>
      <c r="B7" s="1596"/>
      <c r="C7" s="1596"/>
      <c r="D7" s="1596"/>
      <c r="E7" s="1596"/>
      <c r="F7" s="1596"/>
      <c r="G7" s="1596"/>
      <c r="H7" s="1596"/>
      <c r="I7" s="1596"/>
      <c r="J7" s="1596"/>
      <c r="K7" s="1596"/>
      <c r="L7" s="1491"/>
      <c r="O7" s="1496"/>
    </row>
    <row r="8" spans="1:15" s="1489" customFormat="1" ht="17.25">
      <c r="A8" s="1594" t="s">
        <v>888</v>
      </c>
      <c r="B8" s="1594"/>
      <c r="C8" s="1594"/>
      <c r="D8" s="1594"/>
      <c r="E8" s="1594"/>
      <c r="F8" s="1594"/>
      <c r="G8" s="1594"/>
      <c r="H8" s="1594"/>
      <c r="I8" s="1594"/>
      <c r="J8" s="1594"/>
      <c r="K8" s="1594"/>
      <c r="L8" s="1490"/>
      <c r="O8" s="1496"/>
    </row>
    <row r="9" spans="1:15" s="1492" customFormat="1" ht="15">
      <c r="A9" s="390"/>
      <c r="B9" s="1514"/>
      <c r="C9" s="391"/>
      <c r="D9" s="391"/>
      <c r="E9" s="698"/>
      <c r="F9" s="698"/>
      <c r="G9" s="698"/>
      <c r="H9" s="698"/>
      <c r="I9" s="698"/>
      <c r="J9" s="698"/>
      <c r="K9" s="698"/>
      <c r="L9" s="698"/>
      <c r="O9" s="1497"/>
    </row>
    <row r="10" spans="1:15" s="1492" customFormat="1" ht="15">
      <c r="A10" s="390"/>
      <c r="B10" s="1514"/>
      <c r="C10" s="391"/>
      <c r="D10" s="391"/>
      <c r="E10" s="1591" t="s">
        <v>1378</v>
      </c>
      <c r="F10" s="1592"/>
      <c r="G10" s="1592"/>
      <c r="H10" s="1592"/>
      <c r="I10" s="1591" t="s">
        <v>918</v>
      </c>
      <c r="J10" s="1592"/>
      <c r="K10" s="1592"/>
      <c r="L10" s="1593"/>
      <c r="O10" s="1497"/>
    </row>
    <row r="11" spans="1:15" s="1492" customFormat="1" ht="15" thickBot="1">
      <c r="A11" s="390"/>
      <c r="B11" s="1514"/>
      <c r="C11" s="391"/>
      <c r="D11" s="391"/>
      <c r="E11" s="699"/>
      <c r="F11" s="699"/>
      <c r="G11" s="699"/>
      <c r="H11" s="699"/>
      <c r="I11" s="699"/>
      <c r="J11" s="699"/>
      <c r="K11" s="699"/>
      <c r="L11" s="699"/>
      <c r="O11" s="1497"/>
    </row>
    <row r="12" spans="1:15" s="1493" customFormat="1" ht="46.5" customHeight="1">
      <c r="A12" s="392" t="s">
        <v>566</v>
      </c>
      <c r="B12" s="397" t="s">
        <v>567</v>
      </c>
      <c r="C12" s="393" t="s">
        <v>568</v>
      </c>
      <c r="D12" s="393" t="s">
        <v>112</v>
      </c>
      <c r="E12" s="700" t="s">
        <v>959</v>
      </c>
      <c r="F12" s="700" t="s">
        <v>960</v>
      </c>
      <c r="G12" s="700" t="s">
        <v>961</v>
      </c>
      <c r="H12" s="700" t="s">
        <v>958</v>
      </c>
      <c r="I12" s="700" t="s">
        <v>959</v>
      </c>
      <c r="J12" s="700" t="s">
        <v>960</v>
      </c>
      <c r="K12" s="700" t="s">
        <v>962</v>
      </c>
      <c r="L12" s="700" t="s">
        <v>958</v>
      </c>
      <c r="O12" s="1498"/>
    </row>
    <row r="13" spans="1:15" s="1493" customFormat="1" ht="15.75" customHeight="1">
      <c r="A13" s="392"/>
      <c r="B13" s="397"/>
      <c r="C13" s="393"/>
      <c r="D13" s="393"/>
      <c r="E13" s="700"/>
      <c r="F13" s="700"/>
      <c r="G13" s="700"/>
      <c r="H13" s="700"/>
      <c r="I13" s="700"/>
      <c r="J13" s="700"/>
      <c r="K13" s="700"/>
      <c r="L13" s="700"/>
      <c r="O13" s="1498"/>
    </row>
    <row r="14" spans="1:15" s="1494" customFormat="1" ht="16.5" customHeight="1" thickBot="1">
      <c r="A14" s="394"/>
      <c r="B14" s="395"/>
      <c r="C14" s="375" t="s">
        <v>770</v>
      </c>
      <c r="D14" s="375"/>
      <c r="E14" s="701"/>
      <c r="F14" s="701"/>
      <c r="G14" s="701"/>
      <c r="H14" s="701"/>
      <c r="I14" s="701"/>
      <c r="J14" s="701"/>
      <c r="K14" s="701"/>
      <c r="L14" s="701"/>
      <c r="O14" s="1499"/>
    </row>
    <row r="15" spans="1:15" s="1493" customFormat="1" ht="16.5" customHeight="1" outlineLevel="1">
      <c r="A15" s="396"/>
      <c r="B15" s="397"/>
      <c r="C15" s="393"/>
      <c r="D15" s="393"/>
      <c r="E15" s="700"/>
      <c r="F15" s="700"/>
      <c r="G15" s="700"/>
      <c r="H15" s="700"/>
      <c r="I15" s="700"/>
      <c r="J15" s="700"/>
      <c r="K15" s="700"/>
      <c r="L15" s="700"/>
      <c r="O15" s="1498"/>
    </row>
    <row r="16" spans="1:15" s="1494" customFormat="1" ht="16.5" customHeight="1" outlineLevel="1" thickBot="1">
      <c r="A16" s="394"/>
      <c r="B16" s="395"/>
      <c r="C16" s="375"/>
      <c r="D16" s="375" t="s">
        <v>758</v>
      </c>
      <c r="E16" s="701"/>
      <c r="F16" s="701"/>
      <c r="G16" s="701"/>
      <c r="H16" s="701"/>
      <c r="I16" s="701"/>
      <c r="J16" s="701"/>
      <c r="K16" s="701"/>
      <c r="L16" s="701"/>
      <c r="O16" s="1499"/>
    </row>
    <row r="17" spans="1:15" s="295" customFormat="1" ht="15.75" customHeight="1" outlineLevel="1">
      <c r="A17" s="372" t="s">
        <v>35</v>
      </c>
      <c r="B17" s="1515" t="s">
        <v>186</v>
      </c>
      <c r="C17" s="372">
        <v>350</v>
      </c>
      <c r="D17" s="372" t="s">
        <v>169</v>
      </c>
      <c r="E17" s="787">
        <v>2249581</v>
      </c>
      <c r="F17" s="787">
        <v>0</v>
      </c>
      <c r="G17" s="787">
        <v>2249581</v>
      </c>
      <c r="H17" s="787">
        <v>0</v>
      </c>
      <c r="I17" s="787">
        <v>2249581</v>
      </c>
      <c r="J17" s="787">
        <v>0</v>
      </c>
      <c r="K17" s="787">
        <v>2249581</v>
      </c>
      <c r="L17" s="787">
        <v>0</v>
      </c>
      <c r="M17" s="1479">
        <f aca="true" t="shared" si="0" ref="M17:M80">H17+J17-F17</f>
        <v>0</v>
      </c>
      <c r="O17" s="1500">
        <v>0</v>
      </c>
    </row>
    <row r="18" spans="1:15" s="295" customFormat="1" ht="15.75" customHeight="1" outlineLevel="1">
      <c r="A18" s="372" t="s">
        <v>35</v>
      </c>
      <c r="B18" s="1515" t="s">
        <v>190</v>
      </c>
      <c r="C18" s="372">
        <v>350</v>
      </c>
      <c r="D18" s="372" t="s">
        <v>169</v>
      </c>
      <c r="E18" s="787">
        <v>0</v>
      </c>
      <c r="F18" s="787">
        <v>0</v>
      </c>
      <c r="G18" s="787">
        <v>0</v>
      </c>
      <c r="H18" s="787">
        <v>0</v>
      </c>
      <c r="I18" s="787">
        <v>0</v>
      </c>
      <c r="J18" s="787">
        <v>0</v>
      </c>
      <c r="K18" s="787">
        <v>0</v>
      </c>
      <c r="L18" s="787">
        <v>0</v>
      </c>
      <c r="M18" s="1479">
        <f t="shared" si="0"/>
        <v>0</v>
      </c>
      <c r="O18" s="1500">
        <v>0</v>
      </c>
    </row>
    <row r="19" spans="1:15" s="295" customFormat="1" ht="15.75" customHeight="1" outlineLevel="1">
      <c r="A19" s="372" t="s">
        <v>35</v>
      </c>
      <c r="B19" s="1515" t="s">
        <v>71</v>
      </c>
      <c r="C19" s="372">
        <v>350</v>
      </c>
      <c r="D19" s="372" t="s">
        <v>169</v>
      </c>
      <c r="E19" s="787">
        <v>13469254</v>
      </c>
      <c r="F19" s="787">
        <v>0</v>
      </c>
      <c r="G19" s="787">
        <v>13469254</v>
      </c>
      <c r="H19" s="787">
        <v>0</v>
      </c>
      <c r="I19" s="787">
        <v>13469254</v>
      </c>
      <c r="J19" s="787">
        <v>0</v>
      </c>
      <c r="K19" s="787">
        <v>13469254</v>
      </c>
      <c r="L19" s="787">
        <v>0</v>
      </c>
      <c r="M19" s="1479">
        <f t="shared" si="0"/>
        <v>0</v>
      </c>
      <c r="O19" s="1500">
        <v>0</v>
      </c>
    </row>
    <row r="20" spans="1:15" s="295" customFormat="1" ht="15.75" customHeight="1" outlineLevel="1">
      <c r="A20" s="372" t="s">
        <v>35</v>
      </c>
      <c r="B20" s="1515" t="s">
        <v>30</v>
      </c>
      <c r="C20" s="372">
        <v>350</v>
      </c>
      <c r="D20" s="372" t="s">
        <v>169</v>
      </c>
      <c r="E20" s="787">
        <v>22206093</v>
      </c>
      <c r="F20" s="787">
        <v>0</v>
      </c>
      <c r="G20" s="787">
        <v>22206093</v>
      </c>
      <c r="H20" s="787">
        <v>0</v>
      </c>
      <c r="I20" s="787">
        <v>22206093</v>
      </c>
      <c r="J20" s="787">
        <v>0</v>
      </c>
      <c r="K20" s="787">
        <v>22206093</v>
      </c>
      <c r="L20" s="787">
        <v>0</v>
      </c>
      <c r="M20" s="1479">
        <f t="shared" si="0"/>
        <v>0</v>
      </c>
      <c r="O20" s="1500">
        <v>0</v>
      </c>
    </row>
    <row r="21" spans="1:15" s="295" customFormat="1" ht="15.75" customHeight="1" outlineLevel="1">
      <c r="A21" s="372" t="s">
        <v>35</v>
      </c>
      <c r="B21" s="1515" t="s">
        <v>191</v>
      </c>
      <c r="C21" s="372">
        <v>350</v>
      </c>
      <c r="D21" s="372" t="s">
        <v>169</v>
      </c>
      <c r="E21" s="787">
        <v>2668531</v>
      </c>
      <c r="F21" s="787">
        <v>0</v>
      </c>
      <c r="G21" s="787">
        <v>2668531</v>
      </c>
      <c r="H21" s="787">
        <v>0</v>
      </c>
      <c r="I21" s="787">
        <v>2668531</v>
      </c>
      <c r="J21" s="787">
        <v>0</v>
      </c>
      <c r="K21" s="787">
        <v>2668531</v>
      </c>
      <c r="L21" s="787">
        <v>0</v>
      </c>
      <c r="M21" s="1479">
        <f t="shared" si="0"/>
        <v>0</v>
      </c>
      <c r="O21" s="1500">
        <v>0</v>
      </c>
    </row>
    <row r="22" spans="1:15" s="295" customFormat="1" ht="15.75" customHeight="1" outlineLevel="1">
      <c r="A22" s="372" t="s">
        <v>35</v>
      </c>
      <c r="B22" s="1515" t="s">
        <v>29</v>
      </c>
      <c r="C22" s="372">
        <v>350</v>
      </c>
      <c r="D22" s="372" t="s">
        <v>169</v>
      </c>
      <c r="E22" s="787">
        <v>5021928.49</v>
      </c>
      <c r="F22" s="787">
        <v>0</v>
      </c>
      <c r="G22" s="787">
        <v>5021928.49</v>
      </c>
      <c r="H22" s="787">
        <v>0</v>
      </c>
      <c r="I22" s="787">
        <v>5076648.49</v>
      </c>
      <c r="J22" s="787">
        <v>0</v>
      </c>
      <c r="K22" s="787">
        <v>5076648.49</v>
      </c>
      <c r="L22" s="787">
        <v>0</v>
      </c>
      <c r="M22" s="1479">
        <f t="shared" si="0"/>
        <v>0</v>
      </c>
      <c r="O22" s="1500">
        <v>0</v>
      </c>
    </row>
    <row r="23" spans="1:15" s="295" customFormat="1" ht="15.75" customHeight="1" outlineLevel="1">
      <c r="A23" s="372" t="s">
        <v>35</v>
      </c>
      <c r="B23" s="1515" t="s">
        <v>184</v>
      </c>
      <c r="C23" s="372">
        <v>350</v>
      </c>
      <c r="D23" s="372" t="s">
        <v>169</v>
      </c>
      <c r="E23" s="787">
        <v>1837610.5</v>
      </c>
      <c r="F23" s="787">
        <v>0</v>
      </c>
      <c r="G23" s="787">
        <v>1837610.5</v>
      </c>
      <c r="H23" s="787">
        <v>0</v>
      </c>
      <c r="I23" s="787">
        <v>1881817.5</v>
      </c>
      <c r="J23" s="787">
        <v>0</v>
      </c>
      <c r="K23" s="787">
        <v>1881817.5</v>
      </c>
      <c r="L23" s="787">
        <v>0</v>
      </c>
      <c r="M23" s="1479">
        <f t="shared" si="0"/>
        <v>0</v>
      </c>
      <c r="O23" s="1500">
        <v>0</v>
      </c>
    </row>
    <row r="24" spans="1:15" s="295" customFormat="1" ht="15.75" customHeight="1" outlineLevel="1">
      <c r="A24" s="372" t="s">
        <v>115</v>
      </c>
      <c r="B24" s="1515" t="s">
        <v>186</v>
      </c>
      <c r="C24" s="372">
        <v>389</v>
      </c>
      <c r="D24" s="372" t="s">
        <v>169</v>
      </c>
      <c r="E24" s="787">
        <v>56835</v>
      </c>
      <c r="F24" s="787">
        <v>0</v>
      </c>
      <c r="G24" s="787">
        <v>56835</v>
      </c>
      <c r="H24" s="787">
        <v>0</v>
      </c>
      <c r="I24" s="787">
        <v>56835</v>
      </c>
      <c r="J24" s="787">
        <v>0</v>
      </c>
      <c r="K24" s="787">
        <v>56835</v>
      </c>
      <c r="L24" s="787">
        <v>0</v>
      </c>
      <c r="M24" s="1479">
        <f t="shared" si="0"/>
        <v>0</v>
      </c>
      <c r="O24" s="1500">
        <v>0</v>
      </c>
    </row>
    <row r="25" spans="1:15" s="295" customFormat="1" ht="15.75" customHeight="1" outlineLevel="1">
      <c r="A25" s="372" t="s">
        <v>115</v>
      </c>
      <c r="B25" s="1515" t="s">
        <v>31</v>
      </c>
      <c r="C25" s="372">
        <v>389</v>
      </c>
      <c r="D25" s="372" t="s">
        <v>169</v>
      </c>
      <c r="E25" s="787">
        <v>11300000</v>
      </c>
      <c r="F25" s="787">
        <v>0</v>
      </c>
      <c r="G25" s="787">
        <v>11300000</v>
      </c>
      <c r="H25" s="787">
        <v>0</v>
      </c>
      <c r="I25" s="787">
        <v>11300000</v>
      </c>
      <c r="J25" s="787">
        <v>0</v>
      </c>
      <c r="K25" s="787">
        <v>11300000</v>
      </c>
      <c r="L25" s="787">
        <v>0</v>
      </c>
      <c r="M25" s="1479">
        <f t="shared" si="0"/>
        <v>0</v>
      </c>
      <c r="O25" s="1500">
        <v>0</v>
      </c>
    </row>
    <row r="26" spans="1:15" s="295" customFormat="1" ht="15.75" customHeight="1" outlineLevel="1">
      <c r="A26" s="372" t="s">
        <v>115</v>
      </c>
      <c r="B26" s="1515" t="s">
        <v>191</v>
      </c>
      <c r="C26" s="372">
        <v>389</v>
      </c>
      <c r="D26" s="372" t="s">
        <v>169</v>
      </c>
      <c r="E26" s="787">
        <v>75936</v>
      </c>
      <c r="F26" s="787">
        <v>0</v>
      </c>
      <c r="G26" s="787">
        <v>75936</v>
      </c>
      <c r="H26" s="787">
        <v>0</v>
      </c>
      <c r="I26" s="787">
        <v>75936</v>
      </c>
      <c r="J26" s="787">
        <v>0</v>
      </c>
      <c r="K26" s="787">
        <v>75936</v>
      </c>
      <c r="L26" s="787">
        <v>0</v>
      </c>
      <c r="M26" s="1479">
        <f t="shared" si="0"/>
        <v>0</v>
      </c>
      <c r="O26" s="1500">
        <v>0</v>
      </c>
    </row>
    <row r="27" spans="1:15" s="295" customFormat="1" ht="15.75" customHeight="1" outlineLevel="1">
      <c r="A27" s="372" t="s">
        <v>115</v>
      </c>
      <c r="B27" s="1515" t="s">
        <v>29</v>
      </c>
      <c r="C27" s="372">
        <v>389</v>
      </c>
      <c r="D27" s="372" t="s">
        <v>169</v>
      </c>
      <c r="E27" s="787">
        <v>152996</v>
      </c>
      <c r="F27" s="787">
        <v>0</v>
      </c>
      <c r="G27" s="787">
        <v>152996</v>
      </c>
      <c r="H27" s="787">
        <v>0</v>
      </c>
      <c r="I27" s="787">
        <v>152996</v>
      </c>
      <c r="J27" s="787">
        <v>0</v>
      </c>
      <c r="K27" s="787">
        <v>152996</v>
      </c>
      <c r="L27" s="787">
        <v>0</v>
      </c>
      <c r="M27" s="1479">
        <f t="shared" si="0"/>
        <v>0</v>
      </c>
      <c r="O27" s="1500">
        <v>0</v>
      </c>
    </row>
    <row r="28" spans="1:15" s="295" customFormat="1" ht="15.75" customHeight="1" outlineLevel="1">
      <c r="A28" s="372" t="s">
        <v>115</v>
      </c>
      <c r="B28" s="1515" t="s">
        <v>184</v>
      </c>
      <c r="C28" s="372">
        <v>389</v>
      </c>
      <c r="D28" s="372" t="s">
        <v>169</v>
      </c>
      <c r="E28" s="787">
        <v>6858</v>
      </c>
      <c r="F28" s="787">
        <v>0</v>
      </c>
      <c r="G28" s="787">
        <v>6858</v>
      </c>
      <c r="H28" s="787">
        <v>0</v>
      </c>
      <c r="I28" s="787">
        <v>6858</v>
      </c>
      <c r="J28" s="787">
        <v>0</v>
      </c>
      <c r="K28" s="787">
        <v>6858</v>
      </c>
      <c r="L28" s="787">
        <v>0</v>
      </c>
      <c r="M28" s="1479">
        <f t="shared" si="0"/>
        <v>0</v>
      </c>
      <c r="O28" s="1500">
        <v>0</v>
      </c>
    </row>
    <row r="29" spans="1:15" s="295" customFormat="1" ht="15.75" customHeight="1" outlineLevel="1">
      <c r="A29" s="372" t="s">
        <v>115</v>
      </c>
      <c r="B29" s="1515" t="s">
        <v>182</v>
      </c>
      <c r="C29" s="372">
        <v>389</v>
      </c>
      <c r="D29" s="372" t="s">
        <v>169</v>
      </c>
      <c r="E29" s="787">
        <v>8000</v>
      </c>
      <c r="F29" s="787">
        <v>0</v>
      </c>
      <c r="G29" s="787">
        <v>8000</v>
      </c>
      <c r="H29" s="787">
        <v>0</v>
      </c>
      <c r="I29" s="787">
        <v>8000</v>
      </c>
      <c r="J29" s="787">
        <v>0</v>
      </c>
      <c r="K29" s="787">
        <v>8000</v>
      </c>
      <c r="L29" s="787">
        <v>0</v>
      </c>
      <c r="M29" s="1479">
        <f t="shared" si="0"/>
        <v>0</v>
      </c>
      <c r="O29" s="1500">
        <v>0</v>
      </c>
    </row>
    <row r="30" spans="1:15" s="295" customFormat="1" ht="15.75" customHeight="1" outlineLevel="1">
      <c r="A30" s="372" t="s">
        <v>115</v>
      </c>
      <c r="B30" s="1515" t="s">
        <v>181</v>
      </c>
      <c r="C30" s="372">
        <v>389</v>
      </c>
      <c r="D30" s="372" t="s">
        <v>169</v>
      </c>
      <c r="E30" s="787">
        <v>13816</v>
      </c>
      <c r="F30" s="787">
        <v>0</v>
      </c>
      <c r="G30" s="787">
        <v>13816</v>
      </c>
      <c r="H30" s="787">
        <v>0</v>
      </c>
      <c r="I30" s="787">
        <v>13816</v>
      </c>
      <c r="J30" s="787">
        <v>0</v>
      </c>
      <c r="K30" s="787">
        <v>13816</v>
      </c>
      <c r="L30" s="787">
        <v>0</v>
      </c>
      <c r="M30" s="1479">
        <f t="shared" si="0"/>
        <v>0</v>
      </c>
      <c r="O30" s="1500">
        <v>0</v>
      </c>
    </row>
    <row r="31" spans="1:15" s="295" customFormat="1" ht="15.75" customHeight="1" outlineLevel="1">
      <c r="A31" s="372" t="s">
        <v>35</v>
      </c>
      <c r="B31" s="1515" t="s">
        <v>577</v>
      </c>
      <c r="C31" s="372">
        <v>350</v>
      </c>
      <c r="D31" s="372" t="s">
        <v>169</v>
      </c>
      <c r="E31" s="787">
        <v>0</v>
      </c>
      <c r="F31" s="787"/>
      <c r="G31" s="787">
        <v>0</v>
      </c>
      <c r="H31" s="787">
        <v>0</v>
      </c>
      <c r="I31" s="787">
        <v>0</v>
      </c>
      <c r="J31" s="787"/>
      <c r="K31" s="787">
        <v>0</v>
      </c>
      <c r="L31" s="787">
        <v>0</v>
      </c>
      <c r="M31" s="1479">
        <f t="shared" si="0"/>
        <v>0</v>
      </c>
      <c r="O31" s="1500">
        <v>0</v>
      </c>
    </row>
    <row r="32" spans="1:15" s="295" customFormat="1" ht="15.75" customHeight="1" outlineLevel="1">
      <c r="A32" s="372" t="s">
        <v>35</v>
      </c>
      <c r="B32" s="1515" t="s">
        <v>181</v>
      </c>
      <c r="C32" s="372">
        <v>350</v>
      </c>
      <c r="D32" s="372" t="s">
        <v>169</v>
      </c>
      <c r="E32" s="787">
        <v>981</v>
      </c>
      <c r="F32" s="787">
        <v>0</v>
      </c>
      <c r="G32" s="787">
        <v>981</v>
      </c>
      <c r="H32" s="787">
        <v>0</v>
      </c>
      <c r="I32" s="787">
        <v>981</v>
      </c>
      <c r="J32" s="787">
        <v>0</v>
      </c>
      <c r="K32" s="787">
        <v>981</v>
      </c>
      <c r="L32" s="787">
        <v>0</v>
      </c>
      <c r="M32" s="1479">
        <f t="shared" si="0"/>
        <v>0</v>
      </c>
      <c r="O32" s="1500">
        <v>0</v>
      </c>
    </row>
    <row r="33" spans="1:15" s="295" customFormat="1" ht="15.75" customHeight="1" outlineLevel="1">
      <c r="A33" s="372" t="s">
        <v>581</v>
      </c>
      <c r="B33" s="1515" t="s">
        <v>166</v>
      </c>
      <c r="C33" s="372">
        <v>340</v>
      </c>
      <c r="D33" s="372" t="s">
        <v>169</v>
      </c>
      <c r="E33" s="787">
        <v>1080216</v>
      </c>
      <c r="F33" s="787"/>
      <c r="G33" s="787">
        <v>1080216</v>
      </c>
      <c r="H33" s="787"/>
      <c r="I33" s="787">
        <v>1053978.28</v>
      </c>
      <c r="J33" s="787"/>
      <c r="K33" s="787">
        <v>1053978.28</v>
      </c>
      <c r="L33" s="787"/>
      <c r="M33" s="1479">
        <f t="shared" si="0"/>
        <v>0</v>
      </c>
      <c r="O33" s="1500">
        <v>0</v>
      </c>
    </row>
    <row r="34" spans="1:15" s="295" customFormat="1" ht="15.75" customHeight="1" outlineLevel="1">
      <c r="A34" s="372" t="s">
        <v>581</v>
      </c>
      <c r="B34" s="1515" t="s">
        <v>564</v>
      </c>
      <c r="C34" s="372">
        <v>330</v>
      </c>
      <c r="D34" s="372" t="s">
        <v>169</v>
      </c>
      <c r="E34" s="787">
        <v>1205</v>
      </c>
      <c r="F34" s="787">
        <v>0</v>
      </c>
      <c r="G34" s="787">
        <v>1205</v>
      </c>
      <c r="H34" s="787">
        <v>0</v>
      </c>
      <c r="I34" s="787">
        <v>1205</v>
      </c>
      <c r="J34" s="787">
        <v>0</v>
      </c>
      <c r="K34" s="787">
        <v>1205</v>
      </c>
      <c r="L34" s="787">
        <v>0</v>
      </c>
      <c r="M34" s="1479">
        <f t="shared" si="0"/>
        <v>0</v>
      </c>
      <c r="O34" s="1500">
        <v>0</v>
      </c>
    </row>
    <row r="35" spans="1:15" s="295" customFormat="1" ht="15.75" customHeight="1" outlineLevel="1">
      <c r="A35" s="372" t="s">
        <v>581</v>
      </c>
      <c r="B35" s="1515" t="s">
        <v>186</v>
      </c>
      <c r="C35" s="372">
        <v>330</v>
      </c>
      <c r="D35" s="372" t="s">
        <v>169</v>
      </c>
      <c r="E35" s="787">
        <v>817483</v>
      </c>
      <c r="F35" s="787">
        <v>0</v>
      </c>
      <c r="G35" s="787">
        <v>817483</v>
      </c>
      <c r="H35" s="787">
        <v>0</v>
      </c>
      <c r="I35" s="787">
        <v>817483</v>
      </c>
      <c r="J35" s="787">
        <v>0</v>
      </c>
      <c r="K35" s="787">
        <v>817483</v>
      </c>
      <c r="L35" s="787">
        <v>0</v>
      </c>
      <c r="M35" s="1479">
        <f t="shared" si="0"/>
        <v>0</v>
      </c>
      <c r="O35" s="1500">
        <v>0</v>
      </c>
    </row>
    <row r="36" spans="1:15" s="295" customFormat="1" ht="15.75" customHeight="1" outlineLevel="1">
      <c r="A36" s="372" t="s">
        <v>581</v>
      </c>
      <c r="B36" s="1515" t="s">
        <v>177</v>
      </c>
      <c r="C36" s="372">
        <v>340</v>
      </c>
      <c r="D36" s="372" t="s">
        <v>169</v>
      </c>
      <c r="E36" s="787">
        <v>1030830</v>
      </c>
      <c r="F36" s="787">
        <v>0</v>
      </c>
      <c r="G36" s="787">
        <v>1030830</v>
      </c>
      <c r="H36" s="787">
        <v>0</v>
      </c>
      <c r="I36" s="787">
        <v>1030830</v>
      </c>
      <c r="J36" s="787">
        <v>0</v>
      </c>
      <c r="K36" s="787">
        <v>1030830</v>
      </c>
      <c r="L36" s="787">
        <v>0</v>
      </c>
      <c r="M36" s="1479">
        <f t="shared" si="0"/>
        <v>0</v>
      </c>
      <c r="O36" s="1500">
        <v>0</v>
      </c>
    </row>
    <row r="37" spans="1:15" s="295" customFormat="1" ht="15.75" customHeight="1" outlineLevel="1">
      <c r="A37" s="372" t="s">
        <v>581</v>
      </c>
      <c r="B37" s="1515" t="s">
        <v>170</v>
      </c>
      <c r="C37" s="372">
        <v>330</v>
      </c>
      <c r="D37" s="372" t="s">
        <v>169</v>
      </c>
      <c r="E37" s="787">
        <v>5402065</v>
      </c>
      <c r="F37" s="787">
        <v>0</v>
      </c>
      <c r="G37" s="787">
        <v>5402065</v>
      </c>
      <c r="H37" s="787">
        <v>0</v>
      </c>
      <c r="I37" s="787">
        <v>5402065</v>
      </c>
      <c r="J37" s="787">
        <v>0</v>
      </c>
      <c r="K37" s="787">
        <v>5402065</v>
      </c>
      <c r="L37" s="787">
        <v>0</v>
      </c>
      <c r="M37" s="1479">
        <f t="shared" si="0"/>
        <v>0</v>
      </c>
      <c r="O37" s="1500">
        <v>0</v>
      </c>
    </row>
    <row r="38" spans="1:15" s="295" customFormat="1" ht="15.75" customHeight="1" outlineLevel="1">
      <c r="A38" s="372" t="s">
        <v>581</v>
      </c>
      <c r="B38" s="1515" t="s">
        <v>173</v>
      </c>
      <c r="C38" s="372">
        <v>340</v>
      </c>
      <c r="D38" s="372" t="s">
        <v>169</v>
      </c>
      <c r="E38" s="787">
        <v>5923685.34</v>
      </c>
      <c r="F38" s="787">
        <v>0</v>
      </c>
      <c r="G38" s="787">
        <v>5923685.34</v>
      </c>
      <c r="H38" s="787">
        <v>0</v>
      </c>
      <c r="I38" s="787">
        <v>5923685.34</v>
      </c>
      <c r="J38" s="787">
        <v>0</v>
      </c>
      <c r="K38" s="787">
        <v>5923685.34</v>
      </c>
      <c r="L38" s="787">
        <v>0</v>
      </c>
      <c r="M38" s="1479">
        <f t="shared" si="0"/>
        <v>0</v>
      </c>
      <c r="O38" s="1500">
        <v>0</v>
      </c>
    </row>
    <row r="39" spans="1:15" s="295" customFormat="1" ht="15.75" customHeight="1" outlineLevel="1">
      <c r="A39" s="372" t="s">
        <v>581</v>
      </c>
      <c r="B39" s="1515" t="s">
        <v>174</v>
      </c>
      <c r="C39" s="372">
        <v>340</v>
      </c>
      <c r="D39" s="372" t="s">
        <v>169</v>
      </c>
      <c r="E39" s="787">
        <v>6512971</v>
      </c>
      <c r="F39" s="787">
        <v>0</v>
      </c>
      <c r="G39" s="787">
        <v>6512971</v>
      </c>
      <c r="H39" s="787">
        <v>0</v>
      </c>
      <c r="I39" s="787">
        <v>6512971</v>
      </c>
      <c r="J39" s="787">
        <v>0</v>
      </c>
      <c r="K39" s="787">
        <v>6512971</v>
      </c>
      <c r="L39" s="787">
        <v>0</v>
      </c>
      <c r="M39" s="1479">
        <f t="shared" si="0"/>
        <v>0</v>
      </c>
      <c r="O39" s="1500">
        <v>0</v>
      </c>
    </row>
    <row r="40" spans="1:15" s="295" customFormat="1" ht="15.75" customHeight="1" outlineLevel="1">
      <c r="A40" s="372" t="s">
        <v>581</v>
      </c>
      <c r="B40" s="1515" t="s">
        <v>175</v>
      </c>
      <c r="C40" s="372">
        <v>340</v>
      </c>
      <c r="D40" s="372" t="s">
        <v>169</v>
      </c>
      <c r="E40" s="787">
        <v>5846605</v>
      </c>
      <c r="F40" s="787">
        <v>0</v>
      </c>
      <c r="G40" s="787">
        <v>5846605</v>
      </c>
      <c r="H40" s="787">
        <v>0</v>
      </c>
      <c r="I40" s="787">
        <v>5846605</v>
      </c>
      <c r="J40" s="787">
        <v>0</v>
      </c>
      <c r="K40" s="787">
        <v>5846605</v>
      </c>
      <c r="L40" s="787">
        <v>0</v>
      </c>
      <c r="M40" s="1479">
        <f t="shared" si="0"/>
        <v>0</v>
      </c>
      <c r="O40" s="1500">
        <v>0</v>
      </c>
    </row>
    <row r="41" spans="1:15" s="295" customFormat="1" ht="15.75" customHeight="1" outlineLevel="1">
      <c r="A41" s="372" t="s">
        <v>581</v>
      </c>
      <c r="B41" s="1515" t="s">
        <v>176</v>
      </c>
      <c r="C41" s="372">
        <v>340</v>
      </c>
      <c r="D41" s="372" t="s">
        <v>169</v>
      </c>
      <c r="E41" s="787">
        <v>5079808</v>
      </c>
      <c r="F41" s="787">
        <v>0</v>
      </c>
      <c r="G41" s="787">
        <v>5079808</v>
      </c>
      <c r="H41" s="787">
        <v>0</v>
      </c>
      <c r="I41" s="787">
        <v>5079808</v>
      </c>
      <c r="J41" s="787">
        <v>0</v>
      </c>
      <c r="K41" s="787">
        <v>5079808</v>
      </c>
      <c r="L41" s="787">
        <v>0</v>
      </c>
      <c r="M41" s="1479">
        <f t="shared" si="0"/>
        <v>0</v>
      </c>
      <c r="O41" s="1500">
        <v>0</v>
      </c>
    </row>
    <row r="42" spans="1:15" s="295" customFormat="1" ht="15.75" customHeight="1" outlineLevel="1">
      <c r="A42" s="372" t="s">
        <v>581</v>
      </c>
      <c r="B42" s="1515" t="s">
        <v>182</v>
      </c>
      <c r="C42" s="372">
        <v>330</v>
      </c>
      <c r="D42" s="372" t="s">
        <v>169</v>
      </c>
      <c r="E42" s="787">
        <v>450172</v>
      </c>
      <c r="F42" s="787">
        <v>0</v>
      </c>
      <c r="G42" s="787">
        <v>450172</v>
      </c>
      <c r="H42" s="787">
        <v>0</v>
      </c>
      <c r="I42" s="787">
        <v>450172</v>
      </c>
      <c r="J42" s="787">
        <v>0</v>
      </c>
      <c r="K42" s="787">
        <v>450172</v>
      </c>
      <c r="L42" s="787">
        <v>0</v>
      </c>
      <c r="M42" s="1479">
        <f t="shared" si="0"/>
        <v>0</v>
      </c>
      <c r="O42" s="1500">
        <v>0</v>
      </c>
    </row>
    <row r="43" spans="1:15" s="295" customFormat="1" ht="15.75" customHeight="1" outlineLevel="1">
      <c r="A43" s="372" t="s">
        <v>581</v>
      </c>
      <c r="B43" s="1515" t="s">
        <v>183</v>
      </c>
      <c r="C43" s="372">
        <v>330</v>
      </c>
      <c r="D43" s="372" t="s">
        <v>169</v>
      </c>
      <c r="E43" s="787">
        <v>0</v>
      </c>
      <c r="F43" s="787">
        <v>0</v>
      </c>
      <c r="G43" s="787">
        <v>0</v>
      </c>
      <c r="H43" s="787">
        <v>0</v>
      </c>
      <c r="I43" s="787">
        <v>0</v>
      </c>
      <c r="J43" s="787">
        <v>0</v>
      </c>
      <c r="K43" s="787">
        <v>0</v>
      </c>
      <c r="L43" s="787">
        <v>0</v>
      </c>
      <c r="M43" s="1479">
        <f t="shared" si="0"/>
        <v>0</v>
      </c>
      <c r="O43" s="1500">
        <v>0</v>
      </c>
    </row>
    <row r="44" spans="1:15" s="295" customFormat="1" ht="15.75" customHeight="1" outlineLevel="1">
      <c r="A44" s="372" t="s">
        <v>581</v>
      </c>
      <c r="B44" s="1515" t="s">
        <v>187</v>
      </c>
      <c r="C44" s="372">
        <v>340</v>
      </c>
      <c r="D44" s="372" t="s">
        <v>169</v>
      </c>
      <c r="E44" s="787">
        <v>4215782</v>
      </c>
      <c r="F44" s="787">
        <v>0</v>
      </c>
      <c r="G44" s="787">
        <v>4215782</v>
      </c>
      <c r="H44" s="787">
        <v>0</v>
      </c>
      <c r="I44" s="787">
        <v>4215782</v>
      </c>
      <c r="J44" s="787">
        <v>0</v>
      </c>
      <c r="K44" s="787">
        <v>4215782</v>
      </c>
      <c r="L44" s="787">
        <v>0</v>
      </c>
      <c r="M44" s="1479">
        <f t="shared" si="0"/>
        <v>0</v>
      </c>
      <c r="O44" s="1500">
        <v>0</v>
      </c>
    </row>
    <row r="45" spans="1:15" s="295" customFormat="1" ht="15.75" customHeight="1" outlineLevel="1">
      <c r="A45" s="372" t="s">
        <v>581</v>
      </c>
      <c r="B45" s="1515" t="s">
        <v>29</v>
      </c>
      <c r="C45" s="372">
        <v>330</v>
      </c>
      <c r="D45" s="372" t="s">
        <v>169</v>
      </c>
      <c r="E45" s="787">
        <v>49246654.43</v>
      </c>
      <c r="F45" s="787">
        <v>0</v>
      </c>
      <c r="G45" s="787">
        <v>49246654.43</v>
      </c>
      <c r="H45" s="787">
        <v>0</v>
      </c>
      <c r="I45" s="787">
        <v>49185533.97</v>
      </c>
      <c r="J45" s="787">
        <v>0</v>
      </c>
      <c r="K45" s="787">
        <v>49185533.97</v>
      </c>
      <c r="L45" s="787">
        <v>0</v>
      </c>
      <c r="M45" s="1479">
        <f t="shared" si="0"/>
        <v>0</v>
      </c>
      <c r="O45" s="1500">
        <v>0</v>
      </c>
    </row>
    <row r="46" spans="1:15" s="295" customFormat="1" ht="15.75" customHeight="1" outlineLevel="1">
      <c r="A46" s="372" t="s">
        <v>581</v>
      </c>
      <c r="B46" s="1515" t="s">
        <v>181</v>
      </c>
      <c r="C46" s="372">
        <v>310</v>
      </c>
      <c r="D46" s="372" t="s">
        <v>169</v>
      </c>
      <c r="E46" s="787">
        <v>729549</v>
      </c>
      <c r="F46" s="787">
        <v>0</v>
      </c>
      <c r="G46" s="787">
        <v>729549</v>
      </c>
      <c r="H46" s="787">
        <v>0</v>
      </c>
      <c r="I46" s="787">
        <v>729549</v>
      </c>
      <c r="J46" s="787">
        <v>0</v>
      </c>
      <c r="K46" s="787">
        <v>729549</v>
      </c>
      <c r="L46" s="787">
        <v>0</v>
      </c>
      <c r="M46" s="1479">
        <f t="shared" si="0"/>
        <v>0</v>
      </c>
      <c r="O46" s="1500">
        <v>0</v>
      </c>
    </row>
    <row r="47" spans="1:15" s="295" customFormat="1" ht="15.75" customHeight="1" outlineLevel="1">
      <c r="A47" s="372" t="s">
        <v>581</v>
      </c>
      <c r="B47" s="1515" t="s">
        <v>188</v>
      </c>
      <c r="C47" s="372">
        <v>340</v>
      </c>
      <c r="D47" s="372" t="s">
        <v>169</v>
      </c>
      <c r="E47" s="787">
        <v>950605</v>
      </c>
      <c r="F47" s="787">
        <v>0</v>
      </c>
      <c r="G47" s="787">
        <v>950605</v>
      </c>
      <c r="H47" s="787">
        <v>0</v>
      </c>
      <c r="I47" s="787">
        <v>950605</v>
      </c>
      <c r="J47" s="787">
        <v>0</v>
      </c>
      <c r="K47" s="787">
        <v>950605</v>
      </c>
      <c r="L47" s="787">
        <v>0</v>
      </c>
      <c r="M47" s="1479">
        <f t="shared" si="0"/>
        <v>0</v>
      </c>
      <c r="O47" s="1500">
        <v>0</v>
      </c>
    </row>
    <row r="48" spans="1:15" s="295" customFormat="1" ht="15.75" customHeight="1" outlineLevel="1">
      <c r="A48" s="372" t="s">
        <v>581</v>
      </c>
      <c r="B48" s="1515" t="s">
        <v>184</v>
      </c>
      <c r="C48" s="372">
        <v>330</v>
      </c>
      <c r="D48" s="372" t="s">
        <v>169</v>
      </c>
      <c r="E48" s="787">
        <v>217672</v>
      </c>
      <c r="F48" s="787">
        <v>0</v>
      </c>
      <c r="G48" s="787">
        <v>217672</v>
      </c>
      <c r="H48" s="787">
        <v>0</v>
      </c>
      <c r="I48" s="787">
        <v>217672</v>
      </c>
      <c r="J48" s="787">
        <v>0</v>
      </c>
      <c r="K48" s="787">
        <v>217672</v>
      </c>
      <c r="L48" s="787">
        <v>0</v>
      </c>
      <c r="M48" s="1479">
        <f t="shared" si="0"/>
        <v>0</v>
      </c>
      <c r="O48" s="1500">
        <v>0</v>
      </c>
    </row>
    <row r="49" spans="1:15" s="295" customFormat="1" ht="15.75" customHeight="1" outlineLevel="1">
      <c r="A49" s="372" t="s">
        <v>581</v>
      </c>
      <c r="B49" s="1515" t="s">
        <v>189</v>
      </c>
      <c r="C49" s="372">
        <v>340</v>
      </c>
      <c r="D49" s="372" t="s">
        <v>169</v>
      </c>
      <c r="E49" s="787">
        <v>6968605</v>
      </c>
      <c r="F49" s="787">
        <v>0</v>
      </c>
      <c r="G49" s="787">
        <v>6968605</v>
      </c>
      <c r="H49" s="787">
        <v>0</v>
      </c>
      <c r="I49" s="787">
        <v>6968605</v>
      </c>
      <c r="J49" s="787">
        <v>0</v>
      </c>
      <c r="K49" s="787">
        <v>6968605</v>
      </c>
      <c r="L49" s="787">
        <v>0</v>
      </c>
      <c r="M49" s="1479">
        <f t="shared" si="0"/>
        <v>0</v>
      </c>
      <c r="O49" s="1500">
        <v>0</v>
      </c>
    </row>
    <row r="50" spans="1:15" s="295" customFormat="1" ht="15.75" customHeight="1" outlineLevel="1" thickBot="1">
      <c r="A50" s="372" t="s">
        <v>581</v>
      </c>
      <c r="B50" s="1515" t="s">
        <v>185</v>
      </c>
      <c r="C50" s="372">
        <v>330</v>
      </c>
      <c r="D50" s="372" t="s">
        <v>169</v>
      </c>
      <c r="E50" s="787">
        <v>6518668</v>
      </c>
      <c r="F50" s="787">
        <v>0</v>
      </c>
      <c r="G50" s="787">
        <v>6518668</v>
      </c>
      <c r="H50" s="787">
        <v>0</v>
      </c>
      <c r="I50" s="787">
        <v>6518668</v>
      </c>
      <c r="J50" s="787">
        <v>0</v>
      </c>
      <c r="K50" s="787">
        <v>6518668</v>
      </c>
      <c r="L50" s="787">
        <v>0</v>
      </c>
      <c r="M50" s="1479">
        <f t="shared" si="0"/>
        <v>0</v>
      </c>
      <c r="O50" s="1500">
        <v>0</v>
      </c>
    </row>
    <row r="51" spans="1:15" s="273" customFormat="1" ht="16.5" customHeight="1" thickBot="1">
      <c r="A51" s="400"/>
      <c r="B51" s="1516"/>
      <c r="C51" s="400"/>
      <c r="D51" s="702" t="s">
        <v>766</v>
      </c>
      <c r="E51" s="403">
        <f aca="true" t="shared" si="1" ref="E51:K51">SUBTOTAL(9,E17:E50)</f>
        <v>160060995.76000002</v>
      </c>
      <c r="F51" s="403">
        <f t="shared" si="1"/>
        <v>0</v>
      </c>
      <c r="G51" s="403">
        <f t="shared" si="1"/>
        <v>160060995.76000002</v>
      </c>
      <c r="H51" s="403">
        <f>SUBTOTAL(9,H17:H50)</f>
        <v>0</v>
      </c>
      <c r="I51" s="403">
        <f t="shared" si="1"/>
        <v>160072564.58</v>
      </c>
      <c r="J51" s="403">
        <f t="shared" si="1"/>
        <v>0</v>
      </c>
      <c r="K51" s="403">
        <f t="shared" si="1"/>
        <v>160072564.58</v>
      </c>
      <c r="L51" s="403">
        <f>SUBTOTAL(9,L17:L50)</f>
        <v>0</v>
      </c>
      <c r="M51" s="1479">
        <f t="shared" si="0"/>
        <v>0</v>
      </c>
      <c r="O51" s="1501"/>
    </row>
    <row r="52" spans="1:15" s="295" customFormat="1" ht="15.75" customHeight="1" outlineLevel="1">
      <c r="A52" s="372"/>
      <c r="B52" s="1515"/>
      <c r="C52" s="372"/>
      <c r="D52" s="373"/>
      <c r="E52" s="377"/>
      <c r="F52" s="377"/>
      <c r="G52" s="377"/>
      <c r="H52" s="377"/>
      <c r="I52" s="377"/>
      <c r="J52" s="377"/>
      <c r="K52" s="377"/>
      <c r="L52" s="377"/>
      <c r="M52" s="1479">
        <f t="shared" si="0"/>
        <v>0</v>
      </c>
      <c r="O52" s="1500"/>
    </row>
    <row r="53" spans="1:15" s="295" customFormat="1" ht="15.75" customHeight="1" outlineLevel="1">
      <c r="A53" s="372"/>
      <c r="B53" s="1515"/>
      <c r="C53" s="372"/>
      <c r="D53" s="373"/>
      <c r="E53" s="377"/>
      <c r="F53" s="377"/>
      <c r="G53" s="377"/>
      <c r="H53" s="377"/>
      <c r="I53" s="377"/>
      <c r="J53" s="377"/>
      <c r="K53" s="377"/>
      <c r="L53" s="377"/>
      <c r="M53" s="1479">
        <f t="shared" si="0"/>
        <v>0</v>
      </c>
      <c r="O53" s="1500"/>
    </row>
    <row r="54" spans="1:15" s="275" customFormat="1" ht="16.5" customHeight="1" outlineLevel="1" thickBot="1">
      <c r="A54" s="374"/>
      <c r="B54" s="1517"/>
      <c r="C54" s="374"/>
      <c r="D54" s="398" t="s">
        <v>759</v>
      </c>
      <c r="E54" s="376"/>
      <c r="F54" s="376"/>
      <c r="G54" s="376"/>
      <c r="H54" s="376"/>
      <c r="I54" s="376"/>
      <c r="J54" s="376"/>
      <c r="K54" s="376"/>
      <c r="L54" s="376"/>
      <c r="M54" s="1479">
        <f t="shared" si="0"/>
        <v>0</v>
      </c>
      <c r="O54" s="1502"/>
    </row>
    <row r="55" spans="1:15" s="295" customFormat="1" ht="15.75" customHeight="1" outlineLevel="1" thickBot="1">
      <c r="A55" s="383"/>
      <c r="B55" s="1518" t="s">
        <v>211</v>
      </c>
      <c r="C55" s="383"/>
      <c r="D55" s="382" t="s">
        <v>212</v>
      </c>
      <c r="E55" s="787">
        <v>428072003</v>
      </c>
      <c r="F55" s="787"/>
      <c r="G55" s="787">
        <v>428072003</v>
      </c>
      <c r="H55" s="787"/>
      <c r="I55" s="787">
        <v>260456318.8491012</v>
      </c>
      <c r="J55" s="787"/>
      <c r="K55" s="787">
        <v>260456318.8491012</v>
      </c>
      <c r="L55" s="787"/>
      <c r="M55" s="1479">
        <f t="shared" si="0"/>
        <v>0</v>
      </c>
      <c r="O55" s="1500"/>
    </row>
    <row r="56" spans="1:15" s="273" customFormat="1" ht="16.5" customHeight="1" thickBot="1">
      <c r="A56" s="400"/>
      <c r="B56" s="401"/>
      <c r="C56" s="400"/>
      <c r="D56" s="402" t="s">
        <v>768</v>
      </c>
      <c r="E56" s="403">
        <f aca="true" t="shared" si="2" ref="E56:K56">SUBTOTAL(9,E55:E55)</f>
        <v>428072003</v>
      </c>
      <c r="F56" s="403">
        <f t="shared" si="2"/>
        <v>0</v>
      </c>
      <c r="G56" s="403">
        <f t="shared" si="2"/>
        <v>428072003</v>
      </c>
      <c r="H56" s="403">
        <f>SUBTOTAL(9,H55:H55)</f>
        <v>0</v>
      </c>
      <c r="I56" s="403">
        <f t="shared" si="2"/>
        <v>260456318.8491012</v>
      </c>
      <c r="J56" s="403">
        <f t="shared" si="2"/>
        <v>0</v>
      </c>
      <c r="K56" s="403">
        <f t="shared" si="2"/>
        <v>260456318.8491012</v>
      </c>
      <c r="L56" s="403">
        <f>SUBTOTAL(9,L55:L55)</f>
        <v>0</v>
      </c>
      <c r="M56" s="1479">
        <f t="shared" si="0"/>
        <v>0</v>
      </c>
      <c r="O56" s="1501"/>
    </row>
    <row r="57" spans="1:15" s="295" customFormat="1" ht="16.5" customHeight="1" thickBot="1">
      <c r="A57" s="372"/>
      <c r="B57" s="399"/>
      <c r="C57" s="372"/>
      <c r="D57" s="371"/>
      <c r="E57" s="377"/>
      <c r="F57" s="377"/>
      <c r="G57" s="377"/>
      <c r="H57" s="377"/>
      <c r="I57" s="377"/>
      <c r="J57" s="377"/>
      <c r="K57" s="377"/>
      <c r="L57" s="377"/>
      <c r="M57" s="1479">
        <f t="shared" si="0"/>
        <v>0</v>
      </c>
      <c r="O57" s="1500"/>
    </row>
    <row r="58" spans="1:15" s="274" customFormat="1" ht="16.5" customHeight="1" thickBot="1">
      <c r="A58" s="702"/>
      <c r="B58" s="401"/>
      <c r="C58" s="702" t="s">
        <v>771</v>
      </c>
      <c r="D58" s="402"/>
      <c r="E58" s="789">
        <f aca="true" t="shared" si="3" ref="E58:K58">E51+E56</f>
        <v>588132998.76</v>
      </c>
      <c r="F58" s="789">
        <f t="shared" si="3"/>
        <v>0</v>
      </c>
      <c r="G58" s="789">
        <f t="shared" si="3"/>
        <v>588132998.76</v>
      </c>
      <c r="H58" s="789">
        <f>H51+H56</f>
        <v>0</v>
      </c>
      <c r="I58" s="789">
        <f t="shared" si="3"/>
        <v>420528883.4291012</v>
      </c>
      <c r="J58" s="789">
        <f t="shared" si="3"/>
        <v>0</v>
      </c>
      <c r="K58" s="789">
        <f t="shared" si="3"/>
        <v>420528883.4291012</v>
      </c>
      <c r="L58" s="789">
        <f>L51+L56</f>
        <v>0</v>
      </c>
      <c r="M58" s="1479">
        <f t="shared" si="0"/>
        <v>0</v>
      </c>
      <c r="O58" s="1503"/>
    </row>
    <row r="59" spans="1:15" s="295" customFormat="1" ht="15.75" customHeight="1">
      <c r="A59" s="372"/>
      <c r="B59" s="399"/>
      <c r="C59" s="372"/>
      <c r="D59" s="371"/>
      <c r="E59" s="377"/>
      <c r="F59" s="377"/>
      <c r="G59" s="377"/>
      <c r="H59" s="377"/>
      <c r="I59" s="377"/>
      <c r="J59" s="377"/>
      <c r="K59" s="377"/>
      <c r="L59" s="377"/>
      <c r="M59" s="1479">
        <f t="shared" si="0"/>
        <v>0</v>
      </c>
      <c r="O59" s="1500"/>
    </row>
    <row r="60" spans="1:15" s="295" customFormat="1" ht="15.75" customHeight="1">
      <c r="A60" s="372"/>
      <c r="B60" s="399"/>
      <c r="C60" s="372"/>
      <c r="D60" s="371"/>
      <c r="E60" s="377"/>
      <c r="F60" s="377"/>
      <c r="G60" s="377"/>
      <c r="H60" s="377"/>
      <c r="I60" s="377"/>
      <c r="J60" s="377"/>
      <c r="K60" s="377"/>
      <c r="L60" s="377"/>
      <c r="M60" s="1479">
        <f t="shared" si="0"/>
        <v>0</v>
      </c>
      <c r="O60" s="1500"/>
    </row>
    <row r="61" spans="1:15" s="295" customFormat="1" ht="15.75" customHeight="1">
      <c r="A61" s="372"/>
      <c r="B61" s="399"/>
      <c r="C61" s="372"/>
      <c r="D61" s="371"/>
      <c r="E61" s="377"/>
      <c r="F61" s="377"/>
      <c r="G61" s="377"/>
      <c r="H61" s="377"/>
      <c r="I61" s="377"/>
      <c r="J61" s="377"/>
      <c r="K61" s="377"/>
      <c r="L61" s="377"/>
      <c r="M61" s="1479">
        <f t="shared" si="0"/>
        <v>0</v>
      </c>
      <c r="O61" s="1500"/>
    </row>
    <row r="62" spans="1:15" s="1494" customFormat="1" ht="16.5" customHeight="1" thickBot="1">
      <c r="A62" s="394"/>
      <c r="B62" s="395"/>
      <c r="C62" s="375" t="s">
        <v>772</v>
      </c>
      <c r="D62" s="375"/>
      <c r="E62" s="790"/>
      <c r="F62" s="790"/>
      <c r="G62" s="790"/>
      <c r="H62" s="790"/>
      <c r="I62" s="790"/>
      <c r="J62" s="790"/>
      <c r="K62" s="790"/>
      <c r="L62" s="790"/>
      <c r="M62" s="1479">
        <f t="shared" si="0"/>
        <v>0</v>
      </c>
      <c r="O62" s="1499"/>
    </row>
    <row r="63" spans="1:15" s="295" customFormat="1" ht="15.75" customHeight="1" outlineLevel="1">
      <c r="A63" s="372"/>
      <c r="B63" s="399"/>
      <c r="C63" s="372"/>
      <c r="D63" s="371"/>
      <c r="E63" s="377"/>
      <c r="F63" s="377"/>
      <c r="G63" s="377"/>
      <c r="H63" s="377"/>
      <c r="I63" s="377"/>
      <c r="J63" s="377"/>
      <c r="K63" s="377"/>
      <c r="L63" s="377"/>
      <c r="M63" s="1479">
        <f t="shared" si="0"/>
        <v>0</v>
      </c>
      <c r="O63" s="1500"/>
    </row>
    <row r="64" spans="1:15" s="275" customFormat="1" ht="16.5" customHeight="1" outlineLevel="1" thickBot="1">
      <c r="A64" s="374"/>
      <c r="B64" s="1517"/>
      <c r="C64" s="374"/>
      <c r="D64" s="398" t="s">
        <v>760</v>
      </c>
      <c r="E64" s="376"/>
      <c r="F64" s="376"/>
      <c r="G64" s="376"/>
      <c r="H64" s="376"/>
      <c r="I64" s="376"/>
      <c r="J64" s="376"/>
      <c r="K64" s="376"/>
      <c r="L64" s="376"/>
      <c r="M64" s="1479">
        <f t="shared" si="0"/>
        <v>0</v>
      </c>
      <c r="O64" s="1502"/>
    </row>
    <row r="65" spans="1:15" s="295" customFormat="1" ht="15.75" customHeight="1" outlineLevel="1">
      <c r="A65" s="703" t="s">
        <v>581</v>
      </c>
      <c r="B65" s="1519" t="s">
        <v>564</v>
      </c>
      <c r="C65" s="703">
        <v>333</v>
      </c>
      <c r="D65" s="703" t="s">
        <v>172</v>
      </c>
      <c r="E65" s="787">
        <v>13225588.87</v>
      </c>
      <c r="F65" s="787">
        <v>7299647.87</v>
      </c>
      <c r="G65" s="787">
        <v>5925940.999999999</v>
      </c>
      <c r="H65" s="787">
        <v>220428</v>
      </c>
      <c r="I65" s="787">
        <v>13225588.87</v>
      </c>
      <c r="J65" s="787">
        <v>7079219.87</v>
      </c>
      <c r="K65" s="787">
        <v>6146368.999999999</v>
      </c>
      <c r="L65" s="787">
        <v>220428</v>
      </c>
      <c r="M65" s="1479">
        <f t="shared" si="0"/>
        <v>0</v>
      </c>
      <c r="O65" s="1500">
        <v>0</v>
      </c>
    </row>
    <row r="66" spans="1:15" s="295" customFormat="1" ht="15.75" customHeight="1" outlineLevel="1">
      <c r="A66" s="703" t="s">
        <v>581</v>
      </c>
      <c r="B66" s="1519" t="s">
        <v>186</v>
      </c>
      <c r="C66" s="703">
        <v>331</v>
      </c>
      <c r="D66" s="703" t="s">
        <v>73</v>
      </c>
      <c r="E66" s="787">
        <v>36537261</v>
      </c>
      <c r="F66" s="787">
        <v>18776227</v>
      </c>
      <c r="G66" s="787">
        <v>17761034</v>
      </c>
      <c r="H66" s="787">
        <v>471420</v>
      </c>
      <c r="I66" s="787">
        <v>36537261</v>
      </c>
      <c r="J66" s="787">
        <v>18304807</v>
      </c>
      <c r="K66" s="787">
        <v>18232454</v>
      </c>
      <c r="L66" s="787">
        <v>471420</v>
      </c>
      <c r="M66" s="1479">
        <f t="shared" si="0"/>
        <v>0</v>
      </c>
      <c r="O66" s="1500">
        <v>0</v>
      </c>
    </row>
    <row r="67" spans="1:15" s="295" customFormat="1" ht="15.75" customHeight="1" outlineLevel="1">
      <c r="A67" s="703" t="s">
        <v>581</v>
      </c>
      <c r="B67" s="1519" t="s">
        <v>186</v>
      </c>
      <c r="C67" s="703">
        <v>332</v>
      </c>
      <c r="D67" s="703" t="s">
        <v>171</v>
      </c>
      <c r="E67" s="787">
        <v>78709649.6</v>
      </c>
      <c r="F67" s="787">
        <v>49454467.6</v>
      </c>
      <c r="G67" s="787">
        <v>29255181.999999993</v>
      </c>
      <c r="H67" s="787">
        <v>1195397</v>
      </c>
      <c r="I67" s="787">
        <v>78709649.6</v>
      </c>
      <c r="J67" s="787">
        <v>48259070.6</v>
      </c>
      <c r="K67" s="787">
        <v>30450578.999999993</v>
      </c>
      <c r="L67" s="787">
        <v>1195397</v>
      </c>
      <c r="M67" s="1479">
        <f t="shared" si="0"/>
        <v>0</v>
      </c>
      <c r="O67" s="1500">
        <v>0</v>
      </c>
    </row>
    <row r="68" spans="1:15" s="295" customFormat="1" ht="15.75" customHeight="1" outlineLevel="1">
      <c r="A68" s="703" t="s">
        <v>581</v>
      </c>
      <c r="B68" s="1519" t="s">
        <v>186</v>
      </c>
      <c r="C68" s="703">
        <v>333</v>
      </c>
      <c r="D68" s="703" t="s">
        <v>172</v>
      </c>
      <c r="E68" s="787">
        <v>95257886.96999998</v>
      </c>
      <c r="F68" s="787">
        <v>19488207.389999997</v>
      </c>
      <c r="G68" s="787">
        <v>75769679.57999998</v>
      </c>
      <c r="H68" s="787">
        <v>2244708.06</v>
      </c>
      <c r="I68" s="787">
        <v>95235734.90999998</v>
      </c>
      <c r="J68" s="787">
        <v>17243499.33</v>
      </c>
      <c r="K68" s="787">
        <v>77992235.57999998</v>
      </c>
      <c r="L68" s="787">
        <v>2243160.49</v>
      </c>
      <c r="M68" s="1479">
        <f t="shared" si="0"/>
        <v>0</v>
      </c>
      <c r="O68" s="1500">
        <v>0</v>
      </c>
    </row>
    <row r="69" spans="1:15" s="295" customFormat="1" ht="15.75" customHeight="1" outlineLevel="1">
      <c r="A69" s="703" t="s">
        <v>581</v>
      </c>
      <c r="B69" s="1519" t="s">
        <v>186</v>
      </c>
      <c r="C69" s="703">
        <v>334</v>
      </c>
      <c r="D69" s="703" t="s">
        <v>75</v>
      </c>
      <c r="E69" s="787">
        <v>28868371.41</v>
      </c>
      <c r="F69" s="787">
        <v>10581304.26</v>
      </c>
      <c r="G69" s="787">
        <v>18287067.15</v>
      </c>
      <c r="H69" s="787">
        <v>937568.09</v>
      </c>
      <c r="I69" s="787">
        <v>22924839.32</v>
      </c>
      <c r="J69" s="787">
        <v>9643736.17</v>
      </c>
      <c r="K69" s="787">
        <v>13281103.15</v>
      </c>
      <c r="L69" s="787">
        <v>919803.72</v>
      </c>
      <c r="M69" s="1479">
        <f t="shared" si="0"/>
        <v>0</v>
      </c>
      <c r="O69" s="1500">
        <v>0</v>
      </c>
    </row>
    <row r="70" spans="1:15" s="295" customFormat="1" ht="15.75" customHeight="1" outlineLevel="1">
      <c r="A70" s="703" t="s">
        <v>581</v>
      </c>
      <c r="B70" s="1519" t="s">
        <v>186</v>
      </c>
      <c r="C70" s="703">
        <v>335</v>
      </c>
      <c r="D70" s="703" t="s">
        <v>168</v>
      </c>
      <c r="E70" s="787">
        <v>12160052.719999999</v>
      </c>
      <c r="F70" s="787">
        <v>4104804.0599999996</v>
      </c>
      <c r="G70" s="787">
        <v>8055248.659999999</v>
      </c>
      <c r="H70" s="787">
        <v>578205.86</v>
      </c>
      <c r="I70" s="787">
        <v>12159450.86</v>
      </c>
      <c r="J70" s="787">
        <v>3526598.1999999997</v>
      </c>
      <c r="K70" s="787">
        <v>8632852.66</v>
      </c>
      <c r="L70" s="787">
        <v>571727.35</v>
      </c>
      <c r="M70" s="1479">
        <f t="shared" si="0"/>
        <v>0</v>
      </c>
      <c r="O70" s="1500">
        <v>0</v>
      </c>
    </row>
    <row r="71" spans="1:15" s="295" customFormat="1" ht="15.75" customHeight="1" outlineLevel="1">
      <c r="A71" s="703" t="s">
        <v>581</v>
      </c>
      <c r="B71" s="1519" t="s">
        <v>186</v>
      </c>
      <c r="C71" s="703">
        <v>336</v>
      </c>
      <c r="D71" s="703" t="s">
        <v>76</v>
      </c>
      <c r="E71" s="787">
        <v>17394228</v>
      </c>
      <c r="F71" s="787">
        <v>4483195</v>
      </c>
      <c r="G71" s="787">
        <v>12911033</v>
      </c>
      <c r="H71" s="787">
        <v>210099</v>
      </c>
      <c r="I71" s="787">
        <v>17394228</v>
      </c>
      <c r="J71" s="787">
        <v>4273096</v>
      </c>
      <c r="K71" s="787">
        <v>13121132</v>
      </c>
      <c r="L71" s="787">
        <v>210099</v>
      </c>
      <c r="M71" s="1479">
        <f t="shared" si="0"/>
        <v>0</v>
      </c>
      <c r="O71" s="1500">
        <v>0</v>
      </c>
    </row>
    <row r="72" spans="1:15" s="295" customFormat="1" ht="15.75" customHeight="1" outlineLevel="1">
      <c r="A72" s="703" t="s">
        <v>581</v>
      </c>
      <c r="B72" s="1519" t="s">
        <v>170</v>
      </c>
      <c r="C72" s="703">
        <v>332</v>
      </c>
      <c r="D72" s="703" t="s">
        <v>171</v>
      </c>
      <c r="E72" s="787">
        <v>28098444</v>
      </c>
      <c r="F72" s="787">
        <v>11772476</v>
      </c>
      <c r="G72" s="787">
        <v>16325968</v>
      </c>
      <c r="H72" s="787">
        <v>483284</v>
      </c>
      <c r="I72" s="787">
        <v>28098444</v>
      </c>
      <c r="J72" s="787">
        <v>11289192</v>
      </c>
      <c r="K72" s="787">
        <v>16809252</v>
      </c>
      <c r="L72" s="787">
        <v>483284</v>
      </c>
      <c r="M72" s="1479">
        <f t="shared" si="0"/>
        <v>0</v>
      </c>
      <c r="O72" s="1500">
        <v>0</v>
      </c>
    </row>
    <row r="73" spans="1:15" s="295" customFormat="1" ht="15.75" customHeight="1" outlineLevel="1">
      <c r="A73" s="703" t="s">
        <v>581</v>
      </c>
      <c r="B73" s="1519" t="s">
        <v>170</v>
      </c>
      <c r="C73" s="703">
        <v>333</v>
      </c>
      <c r="D73" s="703" t="s">
        <v>172</v>
      </c>
      <c r="E73" s="787">
        <v>9175611.37</v>
      </c>
      <c r="F73" s="787">
        <v>3539781.3699999996</v>
      </c>
      <c r="G73" s="787">
        <v>5635830</v>
      </c>
      <c r="H73" s="787">
        <v>157465</v>
      </c>
      <c r="I73" s="787">
        <v>9175611.37</v>
      </c>
      <c r="J73" s="787">
        <v>3382316.3699999996</v>
      </c>
      <c r="K73" s="787">
        <v>5793295</v>
      </c>
      <c r="L73" s="787">
        <v>157465</v>
      </c>
      <c r="M73" s="1479">
        <f t="shared" si="0"/>
        <v>0</v>
      </c>
      <c r="O73" s="1500">
        <v>0</v>
      </c>
    </row>
    <row r="74" spans="1:15" s="295" customFormat="1" ht="15.75" customHeight="1" outlineLevel="1">
      <c r="A74" s="703" t="s">
        <v>581</v>
      </c>
      <c r="B74" s="1519" t="s">
        <v>170</v>
      </c>
      <c r="C74" s="703">
        <v>334</v>
      </c>
      <c r="D74" s="703" t="s">
        <v>75</v>
      </c>
      <c r="E74" s="787">
        <v>4165236.44</v>
      </c>
      <c r="F74" s="787">
        <v>1400898.44</v>
      </c>
      <c r="G74" s="787">
        <v>2764338</v>
      </c>
      <c r="H74" s="787">
        <v>71198</v>
      </c>
      <c r="I74" s="787">
        <v>4165236.44</v>
      </c>
      <c r="J74" s="787">
        <v>1329700.44</v>
      </c>
      <c r="K74" s="787">
        <v>2835536</v>
      </c>
      <c r="L74" s="787">
        <v>60783.44</v>
      </c>
      <c r="M74" s="1479">
        <f t="shared" si="0"/>
        <v>0</v>
      </c>
      <c r="O74" s="1500">
        <v>0</v>
      </c>
    </row>
    <row r="75" spans="1:15" s="295" customFormat="1" ht="15.75" customHeight="1" outlineLevel="1">
      <c r="A75" s="703" t="s">
        <v>581</v>
      </c>
      <c r="B75" s="1519" t="s">
        <v>170</v>
      </c>
      <c r="C75" s="703">
        <v>335</v>
      </c>
      <c r="D75" s="703" t="s">
        <v>168</v>
      </c>
      <c r="E75" s="787">
        <v>1594412.42</v>
      </c>
      <c r="F75" s="787">
        <v>386803.42</v>
      </c>
      <c r="G75" s="787">
        <v>1207609</v>
      </c>
      <c r="H75" s="787">
        <v>30832</v>
      </c>
      <c r="I75" s="787">
        <v>1594412.42</v>
      </c>
      <c r="J75" s="787">
        <v>355971.42</v>
      </c>
      <c r="K75" s="787">
        <v>1238441</v>
      </c>
      <c r="L75" s="787">
        <v>30832</v>
      </c>
      <c r="M75" s="1479">
        <f t="shared" si="0"/>
        <v>0</v>
      </c>
      <c r="O75" s="1500">
        <v>0</v>
      </c>
    </row>
    <row r="76" spans="1:15" s="295" customFormat="1" ht="15.75" customHeight="1" outlineLevel="1">
      <c r="A76" s="703" t="s">
        <v>581</v>
      </c>
      <c r="B76" s="1519" t="s">
        <v>182</v>
      </c>
      <c r="C76" s="703">
        <v>332</v>
      </c>
      <c r="D76" s="703" t="s">
        <v>171</v>
      </c>
      <c r="E76" s="787">
        <v>19336575</v>
      </c>
      <c r="F76" s="787">
        <v>8101720</v>
      </c>
      <c r="G76" s="787">
        <v>11234855</v>
      </c>
      <c r="H76" s="787">
        <v>332597</v>
      </c>
      <c r="I76" s="787">
        <v>19336575</v>
      </c>
      <c r="J76" s="787">
        <v>7769123</v>
      </c>
      <c r="K76" s="787">
        <v>11567452</v>
      </c>
      <c r="L76" s="787">
        <v>332597</v>
      </c>
      <c r="M76" s="1479">
        <f t="shared" si="0"/>
        <v>0</v>
      </c>
      <c r="O76" s="1500">
        <v>0</v>
      </c>
    </row>
    <row r="77" spans="1:15" s="295" customFormat="1" ht="15.75" customHeight="1" outlineLevel="1">
      <c r="A77" s="703" t="s">
        <v>581</v>
      </c>
      <c r="B77" s="1519" t="s">
        <v>182</v>
      </c>
      <c r="C77" s="703">
        <v>333</v>
      </c>
      <c r="D77" s="703" t="s">
        <v>172</v>
      </c>
      <c r="E77" s="787">
        <v>8183671.53</v>
      </c>
      <c r="F77" s="787">
        <v>3312152.53</v>
      </c>
      <c r="G77" s="787">
        <v>4871519</v>
      </c>
      <c r="H77" s="787">
        <v>141220</v>
      </c>
      <c r="I77" s="787">
        <v>8183671.53</v>
      </c>
      <c r="J77" s="787">
        <v>3170932.53</v>
      </c>
      <c r="K77" s="787">
        <v>5012739</v>
      </c>
      <c r="L77" s="787">
        <v>138734.53</v>
      </c>
      <c r="M77" s="1479">
        <f t="shared" si="0"/>
        <v>0</v>
      </c>
      <c r="O77" s="1500">
        <v>0</v>
      </c>
    </row>
    <row r="78" spans="1:15" s="295" customFormat="1" ht="15.75" customHeight="1" outlineLevel="1">
      <c r="A78" s="703" t="s">
        <v>581</v>
      </c>
      <c r="B78" s="1519" t="s">
        <v>182</v>
      </c>
      <c r="C78" s="703">
        <v>334</v>
      </c>
      <c r="D78" s="703" t="s">
        <v>75</v>
      </c>
      <c r="E78" s="787">
        <v>153363</v>
      </c>
      <c r="F78" s="787">
        <v>63731</v>
      </c>
      <c r="G78" s="787">
        <v>89632</v>
      </c>
      <c r="H78" s="787">
        <v>2641</v>
      </c>
      <c r="I78" s="787">
        <v>153363</v>
      </c>
      <c r="J78" s="787">
        <v>61090</v>
      </c>
      <c r="K78" s="787">
        <v>92273</v>
      </c>
      <c r="L78" s="787">
        <v>2641</v>
      </c>
      <c r="M78" s="1479">
        <f t="shared" si="0"/>
        <v>0</v>
      </c>
      <c r="O78" s="1500">
        <v>0</v>
      </c>
    </row>
    <row r="79" spans="1:15" s="295" customFormat="1" ht="15.75" customHeight="1" outlineLevel="1">
      <c r="A79" s="703" t="s">
        <v>581</v>
      </c>
      <c r="B79" s="1519" t="s">
        <v>182</v>
      </c>
      <c r="C79" s="703">
        <v>335</v>
      </c>
      <c r="D79" s="703" t="s">
        <v>168</v>
      </c>
      <c r="E79" s="787">
        <v>526915.02</v>
      </c>
      <c r="F79" s="787">
        <v>189504.02000000002</v>
      </c>
      <c r="G79" s="787">
        <v>337411</v>
      </c>
      <c r="H79" s="787">
        <v>26347</v>
      </c>
      <c r="I79" s="787">
        <v>526915.02</v>
      </c>
      <c r="J79" s="787">
        <v>163157.02000000002</v>
      </c>
      <c r="K79" s="787">
        <v>363758</v>
      </c>
      <c r="L79" s="787">
        <v>26347</v>
      </c>
      <c r="M79" s="1479">
        <f t="shared" si="0"/>
        <v>0</v>
      </c>
      <c r="O79" s="1500">
        <v>0</v>
      </c>
    </row>
    <row r="80" spans="1:15" s="295" customFormat="1" ht="15.75" customHeight="1" outlineLevel="1">
      <c r="A80" s="703" t="s">
        <v>581</v>
      </c>
      <c r="B80" s="1519" t="s">
        <v>183</v>
      </c>
      <c r="C80" s="703">
        <v>333</v>
      </c>
      <c r="D80" s="703" t="s">
        <v>172</v>
      </c>
      <c r="E80" s="787">
        <v>5057705</v>
      </c>
      <c r="F80" s="787">
        <v>2553424</v>
      </c>
      <c r="G80" s="787">
        <v>2504281</v>
      </c>
      <c r="H80" s="787">
        <v>3</v>
      </c>
      <c r="I80" s="787">
        <v>5057705</v>
      </c>
      <c r="J80" s="787">
        <v>2553421</v>
      </c>
      <c r="K80" s="787">
        <v>2504284</v>
      </c>
      <c r="L80" s="787">
        <v>-1</v>
      </c>
      <c r="M80" s="1479">
        <f t="shared" si="0"/>
        <v>0</v>
      </c>
      <c r="O80" s="1500">
        <v>0</v>
      </c>
    </row>
    <row r="81" spans="1:15" s="295" customFormat="1" ht="15.75" customHeight="1" outlineLevel="1">
      <c r="A81" s="703" t="s">
        <v>581</v>
      </c>
      <c r="B81" s="1519" t="s">
        <v>29</v>
      </c>
      <c r="C81" s="703">
        <v>331</v>
      </c>
      <c r="D81" s="703" t="s">
        <v>73</v>
      </c>
      <c r="E81" s="787">
        <v>119518193.75999999</v>
      </c>
      <c r="F81" s="787">
        <v>50345211.760000005</v>
      </c>
      <c r="G81" s="787">
        <v>69172981.99999999</v>
      </c>
      <c r="H81" s="787">
        <v>1468750.27</v>
      </c>
      <c r="I81" s="787">
        <v>119506046.49</v>
      </c>
      <c r="J81" s="787">
        <v>48876461.49</v>
      </c>
      <c r="K81" s="787">
        <v>70629585</v>
      </c>
      <c r="L81" s="787">
        <v>1465662.07</v>
      </c>
      <c r="M81" s="1479">
        <f aca="true" t="shared" si="4" ref="M81:M144">H81+J81-F81</f>
        <v>0</v>
      </c>
      <c r="O81" s="1500">
        <v>0</v>
      </c>
    </row>
    <row r="82" spans="1:15" s="295" customFormat="1" ht="15.75" customHeight="1" outlineLevel="1">
      <c r="A82" s="703" t="s">
        <v>581</v>
      </c>
      <c r="B82" s="1519" t="s">
        <v>29</v>
      </c>
      <c r="C82" s="703">
        <v>332</v>
      </c>
      <c r="D82" s="703" t="s">
        <v>171</v>
      </c>
      <c r="E82" s="787">
        <v>398185551.8300001</v>
      </c>
      <c r="F82" s="787">
        <v>306770409.83000004</v>
      </c>
      <c r="G82" s="787">
        <v>91415142.00000006</v>
      </c>
      <c r="H82" s="787">
        <v>7081925.48</v>
      </c>
      <c r="I82" s="787">
        <v>395794525.3500001</v>
      </c>
      <c r="J82" s="787">
        <v>299688484.35</v>
      </c>
      <c r="K82" s="787">
        <v>96106041.00000006</v>
      </c>
      <c r="L82" s="787">
        <v>7048444.92</v>
      </c>
      <c r="M82" s="1479">
        <f t="shared" si="4"/>
        <v>0</v>
      </c>
      <c r="O82" s="1500">
        <v>0</v>
      </c>
    </row>
    <row r="83" spans="1:15" s="295" customFormat="1" ht="15.75" customHeight="1" outlineLevel="1">
      <c r="A83" s="703" t="s">
        <v>581</v>
      </c>
      <c r="B83" s="1519" t="s">
        <v>29</v>
      </c>
      <c r="C83" s="703">
        <v>333</v>
      </c>
      <c r="D83" s="703" t="s">
        <v>172</v>
      </c>
      <c r="E83" s="787">
        <v>403305758.14999986</v>
      </c>
      <c r="F83" s="787">
        <v>84688141.81</v>
      </c>
      <c r="G83" s="787">
        <v>318617616.33999985</v>
      </c>
      <c r="H83" s="787">
        <v>8528863.690000001</v>
      </c>
      <c r="I83" s="787">
        <v>387648868.7499999</v>
      </c>
      <c r="J83" s="787">
        <v>79159278.12</v>
      </c>
      <c r="K83" s="787">
        <v>308489590.6299999</v>
      </c>
      <c r="L83" s="787">
        <v>7694498.89</v>
      </c>
      <c r="M83" s="1479">
        <f t="shared" si="4"/>
        <v>3000000</v>
      </c>
      <c r="O83" s="1500">
        <v>3000000</v>
      </c>
    </row>
    <row r="84" spans="1:15" s="295" customFormat="1" ht="15.75" customHeight="1" outlineLevel="1">
      <c r="A84" s="703" t="s">
        <v>581</v>
      </c>
      <c r="B84" s="1519" t="s">
        <v>29</v>
      </c>
      <c r="C84" s="703">
        <v>334</v>
      </c>
      <c r="D84" s="703" t="s">
        <v>75</v>
      </c>
      <c r="E84" s="787">
        <v>39269121.15</v>
      </c>
      <c r="F84" s="787">
        <v>17372264.359999996</v>
      </c>
      <c r="G84" s="787">
        <v>21896856.790000003</v>
      </c>
      <c r="H84" s="787">
        <v>1094967.64</v>
      </c>
      <c r="I84" s="787">
        <v>38189329.6</v>
      </c>
      <c r="J84" s="787">
        <v>16409296.719999997</v>
      </c>
      <c r="K84" s="787">
        <v>21780032.880000003</v>
      </c>
      <c r="L84" s="787">
        <v>1036514.12</v>
      </c>
      <c r="M84" s="1479">
        <f t="shared" si="4"/>
        <v>132000</v>
      </c>
      <c r="O84" s="1500">
        <v>132000.00000000186</v>
      </c>
    </row>
    <row r="85" spans="1:15" s="295" customFormat="1" ht="15.75" customHeight="1" outlineLevel="1">
      <c r="A85" s="703" t="s">
        <v>581</v>
      </c>
      <c r="B85" s="1519" t="s">
        <v>29</v>
      </c>
      <c r="C85" s="703">
        <v>335</v>
      </c>
      <c r="D85" s="703" t="s">
        <v>168</v>
      </c>
      <c r="E85" s="787">
        <v>65493027.98</v>
      </c>
      <c r="F85" s="787">
        <v>16892054.61</v>
      </c>
      <c r="G85" s="787">
        <v>48600973.37</v>
      </c>
      <c r="H85" s="787">
        <v>2038370.15</v>
      </c>
      <c r="I85" s="787">
        <v>61195590.83</v>
      </c>
      <c r="J85" s="787">
        <v>14853684.459999999</v>
      </c>
      <c r="K85" s="787">
        <v>46341906.37</v>
      </c>
      <c r="L85" s="787">
        <v>1651754.26</v>
      </c>
      <c r="M85" s="1479">
        <f t="shared" si="4"/>
        <v>0</v>
      </c>
      <c r="O85" s="1500">
        <v>0</v>
      </c>
    </row>
    <row r="86" spans="1:15" s="295" customFormat="1" ht="15.75" customHeight="1" outlineLevel="1">
      <c r="A86" s="703" t="s">
        <v>581</v>
      </c>
      <c r="B86" s="1519" t="s">
        <v>29</v>
      </c>
      <c r="C86" s="703">
        <v>336</v>
      </c>
      <c r="D86" s="703" t="s">
        <v>76</v>
      </c>
      <c r="E86" s="787">
        <v>33117699</v>
      </c>
      <c r="F86" s="787">
        <v>21072861</v>
      </c>
      <c r="G86" s="787">
        <v>12044838</v>
      </c>
      <c r="H86" s="787">
        <v>445970</v>
      </c>
      <c r="I86" s="787">
        <v>33117699</v>
      </c>
      <c r="J86" s="787">
        <v>20626891</v>
      </c>
      <c r="K86" s="787">
        <v>12490808</v>
      </c>
      <c r="L86" s="787">
        <v>445970</v>
      </c>
      <c r="M86" s="1479">
        <f t="shared" si="4"/>
        <v>0</v>
      </c>
      <c r="O86" s="1500">
        <v>0</v>
      </c>
    </row>
    <row r="87" spans="1:15" s="295" customFormat="1" ht="15.75" customHeight="1" outlineLevel="1">
      <c r="A87" s="703" t="s">
        <v>581</v>
      </c>
      <c r="B87" s="1519" t="s">
        <v>184</v>
      </c>
      <c r="C87" s="703">
        <v>331</v>
      </c>
      <c r="D87" s="703" t="s">
        <v>73</v>
      </c>
      <c r="E87" s="787">
        <v>37858013.04000001</v>
      </c>
      <c r="F87" s="787">
        <v>25413247.039999995</v>
      </c>
      <c r="G87" s="787">
        <v>12444766.000000011</v>
      </c>
      <c r="H87" s="787">
        <v>577766</v>
      </c>
      <c r="I87" s="787">
        <v>37858013.04000001</v>
      </c>
      <c r="J87" s="787">
        <v>24835481.039999995</v>
      </c>
      <c r="K87" s="787">
        <v>13022532.000000011</v>
      </c>
      <c r="L87" s="787">
        <v>577710.99</v>
      </c>
      <c r="M87" s="1479">
        <f t="shared" si="4"/>
        <v>0</v>
      </c>
      <c r="O87" s="1500">
        <v>0</v>
      </c>
    </row>
    <row r="88" spans="1:15" s="295" customFormat="1" ht="15.75" customHeight="1" outlineLevel="1">
      <c r="A88" s="703" t="s">
        <v>581</v>
      </c>
      <c r="B88" s="1519" t="s">
        <v>184</v>
      </c>
      <c r="C88" s="703">
        <v>332</v>
      </c>
      <c r="D88" s="703" t="s">
        <v>171</v>
      </c>
      <c r="E88" s="787">
        <v>219593311.89</v>
      </c>
      <c r="F88" s="787">
        <v>180049774.82999998</v>
      </c>
      <c r="G88" s="787">
        <v>39543537.06</v>
      </c>
      <c r="H88" s="787">
        <v>4226443.17</v>
      </c>
      <c r="I88" s="787">
        <v>215505891.72</v>
      </c>
      <c r="J88" s="787">
        <v>175823331.66</v>
      </c>
      <c r="K88" s="787">
        <v>39682560.06</v>
      </c>
      <c r="L88" s="787">
        <v>4219629.57</v>
      </c>
      <c r="M88" s="1479">
        <f t="shared" si="4"/>
        <v>0</v>
      </c>
      <c r="O88" s="1500">
        <v>0</v>
      </c>
    </row>
    <row r="89" spans="1:15" s="295" customFormat="1" ht="15.75" customHeight="1" outlineLevel="1">
      <c r="A89" s="703" t="s">
        <v>581</v>
      </c>
      <c r="B89" s="1519" t="s">
        <v>184</v>
      </c>
      <c r="C89" s="703">
        <v>333</v>
      </c>
      <c r="D89" s="703" t="s">
        <v>172</v>
      </c>
      <c r="E89" s="787">
        <v>218882202.32999998</v>
      </c>
      <c r="F89" s="787">
        <v>38368708.06</v>
      </c>
      <c r="G89" s="787">
        <v>180513494.26999998</v>
      </c>
      <c r="H89" s="787">
        <v>4594675.08</v>
      </c>
      <c r="I89" s="787">
        <v>218632902.24999997</v>
      </c>
      <c r="J89" s="787">
        <v>33774032.980000004</v>
      </c>
      <c r="K89" s="787">
        <v>184858869.26999998</v>
      </c>
      <c r="L89" s="787">
        <v>4589039.03</v>
      </c>
      <c r="M89" s="1479">
        <f t="shared" si="4"/>
        <v>0</v>
      </c>
      <c r="O89" s="1500">
        <v>0</v>
      </c>
    </row>
    <row r="90" spans="1:15" s="295" customFormat="1" ht="15.75" customHeight="1" outlineLevel="1">
      <c r="A90" s="703" t="s">
        <v>581</v>
      </c>
      <c r="B90" s="1519" t="s">
        <v>184</v>
      </c>
      <c r="C90" s="703">
        <v>334</v>
      </c>
      <c r="D90" s="703" t="s">
        <v>75</v>
      </c>
      <c r="E90" s="787">
        <v>33337024.280000005</v>
      </c>
      <c r="F90" s="787">
        <v>11377553.7</v>
      </c>
      <c r="G90" s="787">
        <v>21959470.580000006</v>
      </c>
      <c r="H90" s="787">
        <v>608441.87</v>
      </c>
      <c r="I90" s="787">
        <v>31851347.410000004</v>
      </c>
      <c r="J90" s="787">
        <v>10769111.83</v>
      </c>
      <c r="K90" s="787">
        <v>21082235.580000006</v>
      </c>
      <c r="L90" s="787">
        <v>593322.57</v>
      </c>
      <c r="M90" s="1479">
        <f t="shared" si="4"/>
        <v>0</v>
      </c>
      <c r="O90" s="1500">
        <v>0</v>
      </c>
    </row>
    <row r="91" spans="1:15" s="295" customFormat="1" ht="15.75" customHeight="1" outlineLevel="1">
      <c r="A91" s="703" t="s">
        <v>581</v>
      </c>
      <c r="B91" s="1519" t="s">
        <v>184</v>
      </c>
      <c r="C91" s="703">
        <v>335</v>
      </c>
      <c r="D91" s="703" t="s">
        <v>168</v>
      </c>
      <c r="E91" s="787">
        <v>14111717.02</v>
      </c>
      <c r="F91" s="787">
        <v>7232859.830000001</v>
      </c>
      <c r="G91" s="787">
        <v>6878857.189999999</v>
      </c>
      <c r="H91" s="787">
        <v>352798.95</v>
      </c>
      <c r="I91" s="787">
        <v>14106119.07</v>
      </c>
      <c r="J91" s="787">
        <v>6712515.880000001</v>
      </c>
      <c r="K91" s="787">
        <v>7393603.1899999995</v>
      </c>
      <c r="L91" s="787">
        <v>531855.36</v>
      </c>
      <c r="M91" s="1479">
        <f t="shared" si="4"/>
        <v>-167545</v>
      </c>
      <c r="O91" s="1500">
        <v>-167545</v>
      </c>
    </row>
    <row r="92" spans="1:15" s="295" customFormat="1" ht="15.75" customHeight="1" outlineLevel="1">
      <c r="A92" s="703" t="s">
        <v>581</v>
      </c>
      <c r="B92" s="1519" t="s">
        <v>184</v>
      </c>
      <c r="C92" s="703">
        <v>336</v>
      </c>
      <c r="D92" s="703" t="s">
        <v>76</v>
      </c>
      <c r="E92" s="787">
        <v>5635590</v>
      </c>
      <c r="F92" s="787">
        <v>3880443</v>
      </c>
      <c r="G92" s="787">
        <v>1755147</v>
      </c>
      <c r="H92" s="787">
        <v>78616</v>
      </c>
      <c r="I92" s="787">
        <v>5635590</v>
      </c>
      <c r="J92" s="787">
        <v>3801827</v>
      </c>
      <c r="K92" s="787">
        <v>1833763</v>
      </c>
      <c r="L92" s="787">
        <v>78616</v>
      </c>
      <c r="M92" s="1479">
        <f t="shared" si="4"/>
        <v>0</v>
      </c>
      <c r="O92" s="1500">
        <v>0</v>
      </c>
    </row>
    <row r="93" spans="1:15" s="295" customFormat="1" ht="15.75" customHeight="1" outlineLevel="1">
      <c r="A93" s="703" t="s">
        <v>581</v>
      </c>
      <c r="B93" s="1519" t="s">
        <v>185</v>
      </c>
      <c r="C93" s="703">
        <v>332</v>
      </c>
      <c r="D93" s="703" t="s">
        <v>171</v>
      </c>
      <c r="E93" s="787">
        <v>33413381</v>
      </c>
      <c r="F93" s="787">
        <v>13999470</v>
      </c>
      <c r="G93" s="787">
        <v>19413911</v>
      </c>
      <c r="H93" s="787">
        <v>574710</v>
      </c>
      <c r="I93" s="787">
        <v>33413381</v>
      </c>
      <c r="J93" s="787">
        <v>13424760</v>
      </c>
      <c r="K93" s="787">
        <v>19988621</v>
      </c>
      <c r="L93" s="787">
        <v>574710</v>
      </c>
      <c r="M93" s="1479">
        <f t="shared" si="4"/>
        <v>0</v>
      </c>
      <c r="O93" s="1500">
        <v>0</v>
      </c>
    </row>
    <row r="94" spans="1:15" s="295" customFormat="1" ht="15.75" customHeight="1" outlineLevel="1">
      <c r="A94" s="703" t="s">
        <v>581</v>
      </c>
      <c r="B94" s="1519" t="s">
        <v>185</v>
      </c>
      <c r="C94" s="703">
        <v>333</v>
      </c>
      <c r="D94" s="703" t="s">
        <v>172</v>
      </c>
      <c r="E94" s="787">
        <v>10549389.26</v>
      </c>
      <c r="F94" s="787">
        <v>4017063.2600000002</v>
      </c>
      <c r="G94" s="787">
        <v>6532326</v>
      </c>
      <c r="H94" s="787">
        <v>180948</v>
      </c>
      <c r="I94" s="787">
        <v>10549389.26</v>
      </c>
      <c r="J94" s="787">
        <v>3836115.2600000002</v>
      </c>
      <c r="K94" s="787">
        <v>6713274</v>
      </c>
      <c r="L94" s="787">
        <v>180948</v>
      </c>
      <c r="M94" s="1479">
        <f t="shared" si="4"/>
        <v>0</v>
      </c>
      <c r="O94" s="1500">
        <v>0</v>
      </c>
    </row>
    <row r="95" spans="1:15" s="295" customFormat="1" ht="15.75" customHeight="1" outlineLevel="1">
      <c r="A95" s="703" t="s">
        <v>581</v>
      </c>
      <c r="B95" s="1519" t="s">
        <v>185</v>
      </c>
      <c r="C95" s="703">
        <v>334</v>
      </c>
      <c r="D95" s="703" t="s">
        <v>75</v>
      </c>
      <c r="E95" s="787">
        <v>8277356.05</v>
      </c>
      <c r="F95" s="787">
        <v>2910606.05</v>
      </c>
      <c r="G95" s="787">
        <v>5366750</v>
      </c>
      <c r="H95" s="787">
        <v>137311.05</v>
      </c>
      <c r="I95" s="787">
        <v>6967510</v>
      </c>
      <c r="J95" s="787">
        <v>2773295</v>
      </c>
      <c r="K95" s="787">
        <v>4194215</v>
      </c>
      <c r="L95" s="787">
        <v>119846</v>
      </c>
      <c r="M95" s="1479">
        <f t="shared" si="4"/>
        <v>0</v>
      </c>
      <c r="O95" s="1500">
        <v>0</v>
      </c>
    </row>
    <row r="96" spans="1:15" s="295" customFormat="1" ht="15.75" customHeight="1" outlineLevel="1">
      <c r="A96" s="703" t="s">
        <v>581</v>
      </c>
      <c r="B96" s="1519" t="s">
        <v>185</v>
      </c>
      <c r="C96" s="703">
        <v>335</v>
      </c>
      <c r="D96" s="703" t="s">
        <v>168</v>
      </c>
      <c r="E96" s="787">
        <v>910962.8899999999</v>
      </c>
      <c r="F96" s="787">
        <v>195388.87</v>
      </c>
      <c r="G96" s="787">
        <v>715574.0199999999</v>
      </c>
      <c r="H96" s="787">
        <v>18153</v>
      </c>
      <c r="I96" s="787">
        <v>910962.8899999999</v>
      </c>
      <c r="J96" s="787">
        <v>177235.87</v>
      </c>
      <c r="K96" s="787">
        <v>733727.0199999999</v>
      </c>
      <c r="L96" s="787">
        <v>18153</v>
      </c>
      <c r="M96" s="1479">
        <f t="shared" si="4"/>
        <v>0</v>
      </c>
      <c r="O96" s="1500">
        <v>0</v>
      </c>
    </row>
    <row r="97" spans="1:15" s="295" customFormat="1" ht="15.75" customHeight="1" outlineLevel="1" thickBot="1">
      <c r="A97" s="383"/>
      <c r="B97" s="1518" t="s">
        <v>211</v>
      </c>
      <c r="C97" s="383"/>
      <c r="D97" s="382" t="s">
        <v>583</v>
      </c>
      <c r="E97" s="787"/>
      <c r="F97" s="787">
        <v>-160519715</v>
      </c>
      <c r="G97" s="787">
        <v>160519715</v>
      </c>
      <c r="H97" s="787"/>
      <c r="I97" s="787"/>
      <c r="J97" s="787">
        <v>-154413971</v>
      </c>
      <c r="K97" s="787">
        <v>154413971</v>
      </c>
      <c r="L97" s="787"/>
      <c r="M97" s="1479"/>
      <c r="O97" s="1500">
        <v>0</v>
      </c>
    </row>
    <row r="98" spans="1:15" s="273" customFormat="1" ht="16.5" customHeight="1" thickBot="1">
      <c r="A98" s="400"/>
      <c r="B98" s="401"/>
      <c r="C98" s="400"/>
      <c r="D98" s="402" t="s">
        <v>764</v>
      </c>
      <c r="E98" s="403">
        <f aca="true" t="shared" si="5" ref="E98:K98">SUBTOTAL(9,E65:E97)</f>
        <v>1999903271.98</v>
      </c>
      <c r="F98" s="403">
        <f t="shared" si="5"/>
        <v>769574686.97</v>
      </c>
      <c r="G98" s="403">
        <f t="shared" si="5"/>
        <v>1230328585.0099998</v>
      </c>
      <c r="H98" s="403">
        <f>SUBTOTAL(9,H65:H97)</f>
        <v>39112123.36</v>
      </c>
      <c r="I98" s="403">
        <f t="shared" si="5"/>
        <v>1963361852.9999998</v>
      </c>
      <c r="J98" s="403">
        <f t="shared" si="5"/>
        <v>739532762.6100001</v>
      </c>
      <c r="K98" s="403">
        <f t="shared" si="5"/>
        <v>1223829090.3899999</v>
      </c>
      <c r="L98" s="403">
        <f>SUBTOTAL(9,L65:L97)</f>
        <v>37891393.31</v>
      </c>
      <c r="M98" s="1479"/>
      <c r="O98" s="1501">
        <v>0</v>
      </c>
    </row>
    <row r="99" spans="1:15" s="295" customFormat="1" ht="15.75" customHeight="1" outlineLevel="1">
      <c r="A99" s="372"/>
      <c r="B99" s="399"/>
      <c r="C99" s="372"/>
      <c r="D99" s="371"/>
      <c r="E99" s="377"/>
      <c r="F99" s="377"/>
      <c r="G99" s="377"/>
      <c r="H99" s="377"/>
      <c r="I99" s="377"/>
      <c r="J99" s="377"/>
      <c r="K99" s="377"/>
      <c r="L99" s="377"/>
      <c r="M99" s="1479">
        <f t="shared" si="4"/>
        <v>0</v>
      </c>
      <c r="O99" s="1500">
        <v>0</v>
      </c>
    </row>
    <row r="100" spans="1:15" s="295" customFormat="1" ht="15.75" customHeight="1" outlineLevel="1">
      <c r="A100" s="372"/>
      <c r="B100" s="399"/>
      <c r="C100" s="372"/>
      <c r="D100" s="371"/>
      <c r="E100" s="377"/>
      <c r="F100" s="377"/>
      <c r="G100" s="377"/>
      <c r="H100" s="377"/>
      <c r="I100" s="377"/>
      <c r="J100" s="377"/>
      <c r="K100" s="377"/>
      <c r="L100" s="377"/>
      <c r="M100" s="1479">
        <f t="shared" si="4"/>
        <v>0</v>
      </c>
      <c r="O100" s="1500">
        <v>0</v>
      </c>
    </row>
    <row r="101" spans="1:15" s="275" customFormat="1" ht="16.5" customHeight="1" outlineLevel="1" thickBot="1">
      <c r="A101" s="374"/>
      <c r="B101" s="1517"/>
      <c r="C101" s="374"/>
      <c r="D101" s="398" t="s">
        <v>761</v>
      </c>
      <c r="E101" s="376"/>
      <c r="F101" s="376"/>
      <c r="G101" s="376"/>
      <c r="H101" s="376"/>
      <c r="I101" s="376"/>
      <c r="J101" s="376"/>
      <c r="K101" s="376"/>
      <c r="L101" s="376"/>
      <c r="M101" s="1479">
        <f t="shared" si="4"/>
        <v>0</v>
      </c>
      <c r="O101" s="1502">
        <v>0</v>
      </c>
    </row>
    <row r="102" spans="1:15" s="295" customFormat="1" ht="15.75" customHeight="1" outlineLevel="1">
      <c r="A102" s="703" t="s">
        <v>581</v>
      </c>
      <c r="B102" s="1519" t="s">
        <v>166</v>
      </c>
      <c r="C102" s="703">
        <v>312</v>
      </c>
      <c r="D102" s="703" t="s">
        <v>167</v>
      </c>
      <c r="E102" s="787">
        <v>111095656.88</v>
      </c>
      <c r="F102" s="787">
        <v>37016277.88</v>
      </c>
      <c r="G102" s="787">
        <v>74079379</v>
      </c>
      <c r="H102" s="787">
        <v>3704358.85</v>
      </c>
      <c r="I102" s="787">
        <v>111205747.75</v>
      </c>
      <c r="J102" s="787">
        <v>25292667.05</v>
      </c>
      <c r="K102" s="787">
        <v>85913080.7</v>
      </c>
      <c r="L102" s="787">
        <v>3705990.28</v>
      </c>
      <c r="M102" s="1479">
        <f t="shared" si="4"/>
        <v>-8019251.98</v>
      </c>
      <c r="O102" s="1500">
        <v>0</v>
      </c>
    </row>
    <row r="103" spans="1:15" s="295" customFormat="1" ht="15.75" customHeight="1" outlineLevel="1">
      <c r="A103" s="703" t="s">
        <v>581</v>
      </c>
      <c r="B103" s="1519" t="s">
        <v>166</v>
      </c>
      <c r="C103" s="703">
        <v>314</v>
      </c>
      <c r="D103" s="703" t="s">
        <v>74</v>
      </c>
      <c r="E103" s="787">
        <v>120835082.48000002</v>
      </c>
      <c r="F103" s="787">
        <v>40440876.48</v>
      </c>
      <c r="G103" s="787">
        <v>80394206.00000003</v>
      </c>
      <c r="H103" s="787">
        <v>4064831.85</v>
      </c>
      <c r="I103" s="787">
        <v>123243305.46000002</v>
      </c>
      <c r="J103" s="787">
        <v>35694990.629999995</v>
      </c>
      <c r="K103" s="787">
        <v>87548314.83000003</v>
      </c>
      <c r="L103" s="787">
        <v>4066462.12</v>
      </c>
      <c r="M103" s="1479">
        <f t="shared" si="4"/>
        <v>-681054</v>
      </c>
      <c r="O103" s="1500">
        <v>0</v>
      </c>
    </row>
    <row r="104" spans="1:15" s="295" customFormat="1" ht="15.75" customHeight="1" outlineLevel="1">
      <c r="A104" s="703" t="s">
        <v>581</v>
      </c>
      <c r="B104" s="1519" t="s">
        <v>166</v>
      </c>
      <c r="C104" s="703">
        <v>316</v>
      </c>
      <c r="D104" s="703" t="s">
        <v>168</v>
      </c>
      <c r="E104" s="787">
        <v>25467670.480000004</v>
      </c>
      <c r="F104" s="787">
        <v>9830431.48</v>
      </c>
      <c r="G104" s="787">
        <v>15637239.000000004</v>
      </c>
      <c r="H104" s="787">
        <v>1037998.21</v>
      </c>
      <c r="I104" s="787">
        <v>22717074.960000005</v>
      </c>
      <c r="J104" s="787">
        <v>8567725.51</v>
      </c>
      <c r="K104" s="787">
        <v>14149349.450000005</v>
      </c>
      <c r="L104" s="787">
        <v>1032883.55</v>
      </c>
      <c r="M104" s="1479">
        <f t="shared" si="4"/>
        <v>-224707.76000000164</v>
      </c>
      <c r="O104" s="1500">
        <v>0</v>
      </c>
    </row>
    <row r="105" spans="1:15" s="295" customFormat="1" ht="15.75" customHeight="1" outlineLevel="1">
      <c r="A105" s="703" t="s">
        <v>581</v>
      </c>
      <c r="B105" s="1519" t="s">
        <v>166</v>
      </c>
      <c r="C105" s="703">
        <v>341</v>
      </c>
      <c r="D105" s="703" t="s">
        <v>73</v>
      </c>
      <c r="E105" s="787">
        <v>91264614.49000002</v>
      </c>
      <c r="F105" s="787">
        <v>36556559.489999995</v>
      </c>
      <c r="G105" s="787">
        <v>54708055.00000003</v>
      </c>
      <c r="H105" s="787">
        <v>3894429.01</v>
      </c>
      <c r="I105" s="787">
        <v>87307692.65000002</v>
      </c>
      <c r="J105" s="787">
        <v>31114899.37</v>
      </c>
      <c r="K105" s="787">
        <v>56192793.280000016</v>
      </c>
      <c r="L105" s="787">
        <v>3852940.95</v>
      </c>
      <c r="M105" s="1479">
        <f t="shared" si="4"/>
        <v>-1547231.109999992</v>
      </c>
      <c r="O105" s="1500">
        <v>-1149385</v>
      </c>
    </row>
    <row r="106" spans="1:15" s="295" customFormat="1" ht="15.75" customHeight="1" outlineLevel="1">
      <c r="A106" s="703" t="s">
        <v>581</v>
      </c>
      <c r="B106" s="1519" t="s">
        <v>166</v>
      </c>
      <c r="C106" s="703">
        <v>342</v>
      </c>
      <c r="D106" s="703" t="s">
        <v>178</v>
      </c>
      <c r="E106" s="787">
        <v>63183832.43</v>
      </c>
      <c r="F106" s="787">
        <v>20906292.21</v>
      </c>
      <c r="G106" s="787">
        <v>42277540.22</v>
      </c>
      <c r="H106" s="787">
        <v>2163390.83</v>
      </c>
      <c r="I106" s="787">
        <v>66576926.24</v>
      </c>
      <c r="J106" s="787">
        <v>24462085.56</v>
      </c>
      <c r="K106" s="787">
        <v>42114840.68000001</v>
      </c>
      <c r="L106" s="787">
        <v>2160442</v>
      </c>
      <c r="M106" s="1479">
        <f t="shared" si="4"/>
        <v>5719184.18</v>
      </c>
      <c r="O106" s="1500">
        <v>0</v>
      </c>
    </row>
    <row r="107" spans="1:15" s="295" customFormat="1" ht="15.75" customHeight="1" outlineLevel="1">
      <c r="A107" s="703" t="s">
        <v>581</v>
      </c>
      <c r="B107" s="1519" t="s">
        <v>166</v>
      </c>
      <c r="C107" s="703">
        <v>344</v>
      </c>
      <c r="D107" s="703" t="s">
        <v>77</v>
      </c>
      <c r="E107" s="787">
        <v>297048432.1599999</v>
      </c>
      <c r="F107" s="787">
        <v>107038375.16000001</v>
      </c>
      <c r="G107" s="787">
        <v>190010056.99999988</v>
      </c>
      <c r="H107" s="787">
        <v>11226127.7</v>
      </c>
      <c r="I107" s="787">
        <v>296834658.79999995</v>
      </c>
      <c r="J107" s="787">
        <v>68720420.12</v>
      </c>
      <c r="K107" s="787">
        <v>228114238.67999995</v>
      </c>
      <c r="L107" s="787">
        <v>11229387.32</v>
      </c>
      <c r="M107" s="1479">
        <f t="shared" si="4"/>
        <v>-27091827.340000004</v>
      </c>
      <c r="O107" s="1500">
        <v>0</v>
      </c>
    </row>
    <row r="108" spans="1:15" s="295" customFormat="1" ht="15.75" customHeight="1" outlineLevel="1">
      <c r="A108" s="703" t="s">
        <v>581</v>
      </c>
      <c r="B108" s="1519" t="s">
        <v>166</v>
      </c>
      <c r="C108" s="703">
        <v>345</v>
      </c>
      <c r="D108" s="703" t="s">
        <v>75</v>
      </c>
      <c r="E108" s="787">
        <v>29359886.810000002</v>
      </c>
      <c r="F108" s="787">
        <v>9586947.81</v>
      </c>
      <c r="G108" s="787">
        <v>19772939</v>
      </c>
      <c r="H108" s="787">
        <v>972704.55</v>
      </c>
      <c r="I108" s="787">
        <v>28865246.59</v>
      </c>
      <c r="J108" s="787">
        <v>39309746.269999996</v>
      </c>
      <c r="K108" s="787">
        <v>-10444499.679999996</v>
      </c>
      <c r="L108" s="787">
        <v>969314</v>
      </c>
      <c r="M108" s="1479">
        <f t="shared" si="4"/>
        <v>30695503.00999999</v>
      </c>
      <c r="O108" s="1500">
        <v>0</v>
      </c>
    </row>
    <row r="109" spans="1:15" s="295" customFormat="1" ht="15.75" customHeight="1" outlineLevel="1">
      <c r="A109" s="703" t="s">
        <v>581</v>
      </c>
      <c r="B109" s="1519" t="s">
        <v>166</v>
      </c>
      <c r="C109" s="703">
        <v>346</v>
      </c>
      <c r="D109" s="703" t="s">
        <v>168</v>
      </c>
      <c r="E109" s="787">
        <v>79438</v>
      </c>
      <c r="F109" s="787">
        <v>24870.07</v>
      </c>
      <c r="G109" s="787">
        <v>54567.93</v>
      </c>
      <c r="H109" s="787">
        <v>2649</v>
      </c>
      <c r="I109" s="787">
        <v>79438</v>
      </c>
      <c r="J109" s="787">
        <v>22221.07</v>
      </c>
      <c r="K109" s="787">
        <v>57216.93</v>
      </c>
      <c r="L109" s="787">
        <v>2649</v>
      </c>
      <c r="M109" s="1479">
        <f t="shared" si="4"/>
        <v>0</v>
      </c>
      <c r="O109" s="1500">
        <v>0</v>
      </c>
    </row>
    <row r="110" spans="1:15" s="295" customFormat="1" ht="15.75" customHeight="1" outlineLevel="1">
      <c r="A110" s="703" t="s">
        <v>581</v>
      </c>
      <c r="B110" s="1519" t="s">
        <v>177</v>
      </c>
      <c r="C110" s="703">
        <v>341</v>
      </c>
      <c r="D110" s="703" t="s">
        <v>73</v>
      </c>
      <c r="E110" s="787">
        <v>1113986.5</v>
      </c>
      <c r="F110" s="787">
        <v>663364.20332</v>
      </c>
      <c r="G110" s="787">
        <v>450622.29668</v>
      </c>
      <c r="H110" s="787">
        <v>31385.713319999995</v>
      </c>
      <c r="I110" s="787">
        <v>1113986.5</v>
      </c>
      <c r="J110" s="787">
        <v>631978.49</v>
      </c>
      <c r="K110" s="787">
        <v>482008.01</v>
      </c>
      <c r="L110" s="787">
        <v>31680</v>
      </c>
      <c r="M110" s="1479">
        <f t="shared" si="4"/>
        <v>0</v>
      </c>
      <c r="O110" s="1500">
        <v>0</v>
      </c>
    </row>
    <row r="111" spans="1:15" s="295" customFormat="1" ht="15.75" customHeight="1" outlineLevel="1">
      <c r="A111" s="703" t="s">
        <v>581</v>
      </c>
      <c r="B111" s="1519" t="s">
        <v>177</v>
      </c>
      <c r="C111" s="703">
        <v>342</v>
      </c>
      <c r="D111" s="703" t="s">
        <v>178</v>
      </c>
      <c r="E111" s="787">
        <v>3325504</v>
      </c>
      <c r="F111" s="787">
        <v>2241585.16522</v>
      </c>
      <c r="G111" s="787">
        <v>1083918.8347800002</v>
      </c>
      <c r="H111" s="787">
        <v>76633.16522</v>
      </c>
      <c r="I111" s="787">
        <v>3325504</v>
      </c>
      <c r="J111" s="787">
        <v>2164952</v>
      </c>
      <c r="K111" s="787">
        <v>1160552</v>
      </c>
      <c r="L111" s="787">
        <v>77425</v>
      </c>
      <c r="M111" s="1479">
        <f t="shared" si="4"/>
        <v>0</v>
      </c>
      <c r="O111" s="1500">
        <v>0</v>
      </c>
    </row>
    <row r="112" spans="1:15" s="295" customFormat="1" ht="15.75" customHeight="1" outlineLevel="1">
      <c r="A112" s="703" t="s">
        <v>581</v>
      </c>
      <c r="B112" s="1519" t="s">
        <v>177</v>
      </c>
      <c r="C112" s="703">
        <v>344</v>
      </c>
      <c r="D112" s="703" t="s">
        <v>77</v>
      </c>
      <c r="E112" s="787">
        <v>41318967.910000004</v>
      </c>
      <c r="F112" s="787">
        <v>25435316.6646</v>
      </c>
      <c r="G112" s="787">
        <v>15883651.245400004</v>
      </c>
      <c r="H112" s="787">
        <v>627711.2946000001</v>
      </c>
      <c r="I112" s="787">
        <v>41420340.64</v>
      </c>
      <c r="J112" s="787">
        <v>24807605.37</v>
      </c>
      <c r="K112" s="787">
        <v>16612735.27</v>
      </c>
      <c r="L112" s="787">
        <v>638679</v>
      </c>
      <c r="M112" s="1479">
        <f t="shared" si="4"/>
        <v>0</v>
      </c>
      <c r="O112" s="1500">
        <v>0</v>
      </c>
    </row>
    <row r="113" spans="1:15" s="295" customFormat="1" ht="15.75" customHeight="1" outlineLevel="1">
      <c r="A113" s="703" t="s">
        <v>581</v>
      </c>
      <c r="B113" s="1519" t="s">
        <v>177</v>
      </c>
      <c r="C113" s="703">
        <v>345</v>
      </c>
      <c r="D113" s="703" t="s">
        <v>75</v>
      </c>
      <c r="E113" s="787">
        <v>1838521</v>
      </c>
      <c r="F113" s="787">
        <v>1230386.09686</v>
      </c>
      <c r="G113" s="787">
        <v>608134.9031400001</v>
      </c>
      <c r="H113" s="787">
        <v>42343.09685999999</v>
      </c>
      <c r="I113" s="787">
        <v>1838521</v>
      </c>
      <c r="J113" s="787">
        <v>1188043</v>
      </c>
      <c r="K113" s="787">
        <v>650478</v>
      </c>
      <c r="L113" s="787">
        <v>42781</v>
      </c>
      <c r="M113" s="1479">
        <f t="shared" si="4"/>
        <v>0</v>
      </c>
      <c r="O113" s="1500">
        <v>0</v>
      </c>
    </row>
    <row r="114" spans="1:15" s="295" customFormat="1" ht="15.75" customHeight="1" outlineLevel="1">
      <c r="A114" s="703" t="s">
        <v>581</v>
      </c>
      <c r="B114" s="1519" t="s">
        <v>177</v>
      </c>
      <c r="C114" s="703">
        <v>346</v>
      </c>
      <c r="D114" s="703" t="s">
        <v>168</v>
      </c>
      <c r="E114" s="787">
        <v>0</v>
      </c>
      <c r="F114" s="787">
        <v>0</v>
      </c>
      <c r="G114" s="787">
        <v>0</v>
      </c>
      <c r="H114" s="787">
        <v>0</v>
      </c>
      <c r="I114" s="787">
        <v>0</v>
      </c>
      <c r="J114" s="787">
        <v>0</v>
      </c>
      <c r="K114" s="787">
        <v>0</v>
      </c>
      <c r="L114" s="787">
        <v>0</v>
      </c>
      <c r="M114" s="1479">
        <f t="shared" si="4"/>
        <v>0</v>
      </c>
      <c r="O114" s="1500">
        <v>0</v>
      </c>
    </row>
    <row r="115" spans="1:15" s="295" customFormat="1" ht="15.75" customHeight="1" outlineLevel="1">
      <c r="A115" s="703" t="s">
        <v>581</v>
      </c>
      <c r="B115" s="1519" t="s">
        <v>173</v>
      </c>
      <c r="C115" s="703">
        <v>341</v>
      </c>
      <c r="D115" s="703" t="s">
        <v>73</v>
      </c>
      <c r="E115" s="787">
        <v>9096883.889999999</v>
      </c>
      <c r="F115" s="787">
        <v>4079312.8900000006</v>
      </c>
      <c r="G115" s="787">
        <v>5017570.999999998</v>
      </c>
      <c r="H115" s="787">
        <v>235916.44</v>
      </c>
      <c r="I115" s="787">
        <v>8842636.45</v>
      </c>
      <c r="J115" s="787">
        <v>3843396.4500000007</v>
      </c>
      <c r="K115" s="787">
        <v>4999239.999999998</v>
      </c>
      <c r="L115" s="787">
        <v>227718.62</v>
      </c>
      <c r="M115" s="1479">
        <f t="shared" si="4"/>
        <v>0</v>
      </c>
      <c r="O115" s="1500">
        <v>0</v>
      </c>
    </row>
    <row r="116" spans="1:15" s="295" customFormat="1" ht="15.75" customHeight="1" outlineLevel="1">
      <c r="A116" s="703" t="s">
        <v>581</v>
      </c>
      <c r="B116" s="1519" t="s">
        <v>173</v>
      </c>
      <c r="C116" s="703">
        <v>342</v>
      </c>
      <c r="D116" s="703" t="s">
        <v>178</v>
      </c>
      <c r="E116" s="787">
        <v>10711452.37</v>
      </c>
      <c r="F116" s="787">
        <v>5838783.510000001</v>
      </c>
      <c r="G116" s="787">
        <v>4872668.8599999985</v>
      </c>
      <c r="H116" s="787">
        <v>268865</v>
      </c>
      <c r="I116" s="787">
        <v>10718362.37</v>
      </c>
      <c r="J116" s="787">
        <v>5569918.510000001</v>
      </c>
      <c r="K116" s="787">
        <v>5148443.8599999985</v>
      </c>
      <c r="L116" s="787">
        <v>268865</v>
      </c>
      <c r="M116" s="1479">
        <f t="shared" si="4"/>
        <v>0</v>
      </c>
      <c r="O116" s="1500">
        <v>0</v>
      </c>
    </row>
    <row r="117" spans="1:15" s="295" customFormat="1" ht="15.75" customHeight="1" outlineLevel="1">
      <c r="A117" s="703" t="s">
        <v>581</v>
      </c>
      <c r="B117" s="1519" t="s">
        <v>173</v>
      </c>
      <c r="C117" s="703">
        <v>344</v>
      </c>
      <c r="D117" s="703" t="s">
        <v>77</v>
      </c>
      <c r="E117" s="787">
        <v>133638978.39</v>
      </c>
      <c r="F117" s="787">
        <v>69212250.25</v>
      </c>
      <c r="G117" s="787">
        <v>64426728.14</v>
      </c>
      <c r="H117" s="787">
        <v>3715161.74</v>
      </c>
      <c r="I117" s="787">
        <v>130541934.65</v>
      </c>
      <c r="J117" s="787">
        <v>65497088.51</v>
      </c>
      <c r="K117" s="787">
        <v>65044846.14000001</v>
      </c>
      <c r="L117" s="787">
        <v>4182005.75</v>
      </c>
      <c r="M117" s="1479">
        <f t="shared" si="4"/>
        <v>0</v>
      </c>
      <c r="O117" s="1500">
        <v>0</v>
      </c>
    </row>
    <row r="118" spans="1:15" s="295" customFormat="1" ht="15.75" customHeight="1" outlineLevel="1">
      <c r="A118" s="703" t="s">
        <v>581</v>
      </c>
      <c r="B118" s="1519" t="s">
        <v>173</v>
      </c>
      <c r="C118" s="703">
        <v>345</v>
      </c>
      <c r="D118" s="703" t="s">
        <v>75</v>
      </c>
      <c r="E118" s="787">
        <v>2620457.8000000003</v>
      </c>
      <c r="F118" s="787">
        <v>1231038.1099999999</v>
      </c>
      <c r="G118" s="787">
        <v>1389419.6900000004</v>
      </c>
      <c r="H118" s="787">
        <v>188799</v>
      </c>
      <c r="I118" s="787">
        <v>2616351.8000000003</v>
      </c>
      <c r="J118" s="787">
        <v>1042239.11</v>
      </c>
      <c r="K118" s="787">
        <v>1574112.6900000004</v>
      </c>
      <c r="L118" s="787">
        <v>188799</v>
      </c>
      <c r="M118" s="1479">
        <f t="shared" si="4"/>
        <v>0</v>
      </c>
      <c r="O118" s="1500">
        <v>0</v>
      </c>
    </row>
    <row r="119" spans="1:15" s="295" customFormat="1" ht="15.75" customHeight="1" outlineLevel="1">
      <c r="A119" s="703" t="s">
        <v>581</v>
      </c>
      <c r="B119" s="1519" t="s">
        <v>173</v>
      </c>
      <c r="C119" s="703">
        <v>346</v>
      </c>
      <c r="D119" s="703" t="s">
        <v>168</v>
      </c>
      <c r="E119" s="787">
        <v>3736375.42</v>
      </c>
      <c r="F119" s="787">
        <v>1812759.44</v>
      </c>
      <c r="G119" s="787">
        <v>1923615.98</v>
      </c>
      <c r="H119" s="787">
        <v>118124</v>
      </c>
      <c r="I119" s="787">
        <v>3736375.42</v>
      </c>
      <c r="J119" s="787">
        <v>1694635.44</v>
      </c>
      <c r="K119" s="787">
        <v>2041739.98</v>
      </c>
      <c r="L119" s="787">
        <v>130309</v>
      </c>
      <c r="M119" s="1479">
        <f t="shared" si="4"/>
        <v>0</v>
      </c>
      <c r="O119" s="1500">
        <v>0</v>
      </c>
    </row>
    <row r="120" spans="1:15" s="295" customFormat="1" ht="15.75" customHeight="1" outlineLevel="1">
      <c r="A120" s="703" t="s">
        <v>581</v>
      </c>
      <c r="B120" s="1519" t="s">
        <v>174</v>
      </c>
      <c r="C120" s="703">
        <v>341</v>
      </c>
      <c r="D120" s="703" t="s">
        <v>73</v>
      </c>
      <c r="E120" s="787">
        <v>4436305.609999999</v>
      </c>
      <c r="F120" s="787">
        <v>1960675.4793620256</v>
      </c>
      <c r="G120" s="787">
        <v>2475630.1306379735</v>
      </c>
      <c r="H120" s="787">
        <v>-95876.23063797434</v>
      </c>
      <c r="I120" s="787">
        <v>3426003.61</v>
      </c>
      <c r="J120" s="787">
        <v>2056551.71</v>
      </c>
      <c r="K120" s="787">
        <v>1369451.9</v>
      </c>
      <c r="L120" s="787">
        <v>-38583</v>
      </c>
      <c r="M120" s="1479">
        <f t="shared" si="4"/>
        <v>0</v>
      </c>
      <c r="O120" s="1500">
        <v>0</v>
      </c>
    </row>
    <row r="121" spans="1:15" s="295" customFormat="1" ht="15.75" customHeight="1" outlineLevel="1">
      <c r="A121" s="703" t="s">
        <v>581</v>
      </c>
      <c r="B121" s="1519" t="s">
        <v>174</v>
      </c>
      <c r="C121" s="703">
        <v>342</v>
      </c>
      <c r="D121" s="703" t="s">
        <v>178</v>
      </c>
      <c r="E121" s="787">
        <v>5203737</v>
      </c>
      <c r="F121" s="787">
        <v>3437618.4216378983</v>
      </c>
      <c r="G121" s="787">
        <v>1766118.5783621017</v>
      </c>
      <c r="H121" s="787">
        <v>155422.42163789825</v>
      </c>
      <c r="I121" s="787">
        <v>5203737</v>
      </c>
      <c r="J121" s="787">
        <v>3282196</v>
      </c>
      <c r="K121" s="787">
        <v>1921541</v>
      </c>
      <c r="L121" s="787">
        <v>158674</v>
      </c>
      <c r="M121" s="1479">
        <f t="shared" si="4"/>
        <v>0</v>
      </c>
      <c r="O121" s="1500">
        <v>0</v>
      </c>
    </row>
    <row r="122" spans="1:15" s="295" customFormat="1" ht="15.75" customHeight="1" outlineLevel="1">
      <c r="A122" s="703" t="s">
        <v>581</v>
      </c>
      <c r="B122" s="1519" t="s">
        <v>174</v>
      </c>
      <c r="C122" s="703">
        <v>344</v>
      </c>
      <c r="D122" s="703" t="s">
        <v>77</v>
      </c>
      <c r="E122" s="787">
        <v>83235074.05000001</v>
      </c>
      <c r="F122" s="787">
        <v>52068980.98870808</v>
      </c>
      <c r="G122" s="787">
        <v>31166093.061291933</v>
      </c>
      <c r="H122" s="787">
        <v>2127900.0687080827</v>
      </c>
      <c r="I122" s="787">
        <v>82942916.87</v>
      </c>
      <c r="J122" s="787">
        <v>49941080.919999994</v>
      </c>
      <c r="K122" s="787">
        <v>33001835.95000001</v>
      </c>
      <c r="L122" s="787">
        <v>2180873</v>
      </c>
      <c r="M122" s="1479">
        <f t="shared" si="4"/>
        <v>0</v>
      </c>
      <c r="O122" s="1500">
        <v>0</v>
      </c>
    </row>
    <row r="123" spans="1:15" s="295" customFormat="1" ht="15.75" customHeight="1" outlineLevel="1">
      <c r="A123" s="703" t="s">
        <v>581</v>
      </c>
      <c r="B123" s="1519" t="s">
        <v>174</v>
      </c>
      <c r="C123" s="703">
        <v>345</v>
      </c>
      <c r="D123" s="703" t="s">
        <v>75</v>
      </c>
      <c r="E123" s="787">
        <v>3722340</v>
      </c>
      <c r="F123" s="787">
        <v>2460096.920291993</v>
      </c>
      <c r="G123" s="787">
        <v>1262243.0797080072</v>
      </c>
      <c r="H123" s="787">
        <v>111167.92029199301</v>
      </c>
      <c r="I123" s="787">
        <v>3722340</v>
      </c>
      <c r="J123" s="787">
        <v>2348929</v>
      </c>
      <c r="K123" s="787">
        <v>1373411</v>
      </c>
      <c r="L123" s="787">
        <v>113494</v>
      </c>
      <c r="M123" s="1479">
        <f t="shared" si="4"/>
        <v>0</v>
      </c>
      <c r="O123" s="1500">
        <v>0</v>
      </c>
    </row>
    <row r="124" spans="1:15" s="295" customFormat="1" ht="15.75" customHeight="1" outlineLevel="1">
      <c r="A124" s="703" t="s">
        <v>581</v>
      </c>
      <c r="B124" s="1519" t="s">
        <v>174</v>
      </c>
      <c r="C124" s="703">
        <v>346</v>
      </c>
      <c r="D124" s="703" t="s">
        <v>168</v>
      </c>
      <c r="E124" s="787">
        <v>0</v>
      </c>
      <c r="F124" s="787">
        <v>0</v>
      </c>
      <c r="G124" s="787">
        <v>0</v>
      </c>
      <c r="H124" s="787">
        <v>0</v>
      </c>
      <c r="I124" s="787">
        <v>0</v>
      </c>
      <c r="J124" s="787">
        <v>0</v>
      </c>
      <c r="K124" s="787">
        <v>0</v>
      </c>
      <c r="L124" s="787">
        <v>0</v>
      </c>
      <c r="M124" s="1479">
        <f t="shared" si="4"/>
        <v>0</v>
      </c>
      <c r="O124" s="1500">
        <v>0</v>
      </c>
    </row>
    <row r="125" spans="1:15" s="295" customFormat="1" ht="15.75" customHeight="1" outlineLevel="1">
      <c r="A125" s="703" t="s">
        <v>581</v>
      </c>
      <c r="B125" s="1519" t="s">
        <v>175</v>
      </c>
      <c r="C125" s="703">
        <v>341</v>
      </c>
      <c r="D125" s="703" t="s">
        <v>73</v>
      </c>
      <c r="E125" s="787">
        <v>1614657.33</v>
      </c>
      <c r="F125" s="787">
        <v>1614657.81</v>
      </c>
      <c r="G125" s="787">
        <v>-0.47999999998137355</v>
      </c>
      <c r="H125" s="787">
        <v>111670</v>
      </c>
      <c r="I125" s="787">
        <v>1614657.33</v>
      </c>
      <c r="J125" s="787">
        <v>1715756.81</v>
      </c>
      <c r="K125" s="787">
        <v>-101099.47999999998</v>
      </c>
      <c r="L125" s="787">
        <v>111670</v>
      </c>
      <c r="M125" s="1479">
        <f t="shared" si="4"/>
        <v>212769</v>
      </c>
      <c r="O125" s="1500">
        <v>212769</v>
      </c>
    </row>
    <row r="126" spans="1:15" s="295" customFormat="1" ht="15.75" customHeight="1" outlineLevel="1">
      <c r="A126" s="703" t="s">
        <v>581</v>
      </c>
      <c r="B126" s="1519" t="s">
        <v>175</v>
      </c>
      <c r="C126" s="703">
        <v>342</v>
      </c>
      <c r="D126" s="703" t="s">
        <v>178</v>
      </c>
      <c r="E126" s="787">
        <v>3169205</v>
      </c>
      <c r="F126" s="787">
        <v>3169205</v>
      </c>
      <c r="G126" s="787">
        <v>0</v>
      </c>
      <c r="H126" s="787">
        <v>211283</v>
      </c>
      <c r="I126" s="787">
        <v>3169205</v>
      </c>
      <c r="J126" s="787">
        <v>-5910074</v>
      </c>
      <c r="K126" s="787">
        <v>9079279</v>
      </c>
      <c r="L126" s="787">
        <v>-2138317</v>
      </c>
      <c r="M126" s="1479">
        <f t="shared" si="4"/>
        <v>-8867996</v>
      </c>
      <c r="O126" s="1500">
        <v>530404</v>
      </c>
    </row>
    <row r="127" spans="1:15" s="295" customFormat="1" ht="15.75" customHeight="1" outlineLevel="1">
      <c r="A127" s="703" t="s">
        <v>581</v>
      </c>
      <c r="B127" s="1519" t="s">
        <v>175</v>
      </c>
      <c r="C127" s="703">
        <v>344</v>
      </c>
      <c r="D127" s="703" t="s">
        <v>77</v>
      </c>
      <c r="E127" s="787">
        <v>83273601.32000001</v>
      </c>
      <c r="F127" s="787">
        <v>82726214.99</v>
      </c>
      <c r="G127" s="787">
        <v>547386.3300000131</v>
      </c>
      <c r="H127" s="787">
        <v>3104320.04</v>
      </c>
      <c r="I127" s="787">
        <v>83184373.28</v>
      </c>
      <c r="J127" s="787">
        <v>87730773.94999999</v>
      </c>
      <c r="K127" s="787">
        <v>-4546400.669999987</v>
      </c>
      <c r="L127" s="787">
        <v>5545630</v>
      </c>
      <c r="M127" s="1479">
        <f t="shared" si="4"/>
        <v>8108879</v>
      </c>
      <c r="O127" s="1500">
        <v>-1289521</v>
      </c>
    </row>
    <row r="128" spans="1:15" s="295" customFormat="1" ht="15.75" customHeight="1" outlineLevel="1">
      <c r="A128" s="703" t="s">
        <v>581</v>
      </c>
      <c r="B128" s="1519" t="s">
        <v>175</v>
      </c>
      <c r="C128" s="703">
        <v>345</v>
      </c>
      <c r="D128" s="703" t="s">
        <v>75</v>
      </c>
      <c r="E128" s="787">
        <v>3636503</v>
      </c>
      <c r="F128" s="787">
        <v>3636503</v>
      </c>
      <c r="G128" s="787">
        <v>0</v>
      </c>
      <c r="H128" s="787">
        <v>242436</v>
      </c>
      <c r="I128" s="787">
        <v>3636503</v>
      </c>
      <c r="J128" s="787">
        <v>3940415</v>
      </c>
      <c r="K128" s="787">
        <v>-303912</v>
      </c>
      <c r="L128" s="787">
        <v>242436</v>
      </c>
      <c r="M128" s="1479">
        <f t="shared" si="4"/>
        <v>546348</v>
      </c>
      <c r="O128" s="1500">
        <v>546348</v>
      </c>
    </row>
    <row r="129" spans="1:15" s="295" customFormat="1" ht="15.75" customHeight="1" outlineLevel="1">
      <c r="A129" s="703" t="s">
        <v>581</v>
      </c>
      <c r="B129" s="1519" t="s">
        <v>175</v>
      </c>
      <c r="C129" s="703">
        <v>346</v>
      </c>
      <c r="D129" s="703" t="s">
        <v>168</v>
      </c>
      <c r="E129" s="787">
        <v>0</v>
      </c>
      <c r="F129" s="787">
        <v>0</v>
      </c>
      <c r="G129" s="787">
        <v>0</v>
      </c>
      <c r="H129" s="787">
        <v>0</v>
      </c>
      <c r="I129" s="787">
        <v>0</v>
      </c>
      <c r="J129" s="787">
        <v>0</v>
      </c>
      <c r="K129" s="787">
        <v>0</v>
      </c>
      <c r="L129" s="787">
        <v>0</v>
      </c>
      <c r="M129" s="1479">
        <f t="shared" si="4"/>
        <v>0</v>
      </c>
      <c r="O129" s="1500">
        <v>0</v>
      </c>
    </row>
    <row r="130" spans="1:15" s="295" customFormat="1" ht="15.75" customHeight="1" outlineLevel="1">
      <c r="A130" s="703" t="s">
        <v>581</v>
      </c>
      <c r="B130" s="1519" t="s">
        <v>176</v>
      </c>
      <c r="C130" s="703">
        <v>341</v>
      </c>
      <c r="D130" s="703" t="s">
        <v>73</v>
      </c>
      <c r="E130" s="787">
        <v>1555480.37</v>
      </c>
      <c r="F130" s="787">
        <v>1555480.85</v>
      </c>
      <c r="G130" s="787">
        <v>-0.47999999998137355</v>
      </c>
      <c r="H130" s="787">
        <v>107725</v>
      </c>
      <c r="I130" s="787">
        <v>1555480.37</v>
      </c>
      <c r="J130" s="787">
        <v>1640342.85</v>
      </c>
      <c r="K130" s="787">
        <v>-84862.47999999998</v>
      </c>
      <c r="L130" s="787">
        <v>107725</v>
      </c>
      <c r="M130" s="1479">
        <f t="shared" si="4"/>
        <v>192587</v>
      </c>
      <c r="O130" s="1500">
        <v>192587</v>
      </c>
    </row>
    <row r="131" spans="1:15" s="295" customFormat="1" ht="15.75" customHeight="1" outlineLevel="1">
      <c r="A131" s="703" t="s">
        <v>581</v>
      </c>
      <c r="B131" s="1519" t="s">
        <v>176</v>
      </c>
      <c r="C131" s="703">
        <v>342</v>
      </c>
      <c r="D131" s="703" t="s">
        <v>178</v>
      </c>
      <c r="E131" s="787">
        <v>6968039</v>
      </c>
      <c r="F131" s="787">
        <v>6968039</v>
      </c>
      <c r="G131" s="787">
        <v>0</v>
      </c>
      <c r="H131" s="787">
        <v>464539</v>
      </c>
      <c r="I131" s="787">
        <v>6968039</v>
      </c>
      <c r="J131" s="787">
        <v>7639329</v>
      </c>
      <c r="K131" s="787">
        <v>-671290</v>
      </c>
      <c r="L131" s="787">
        <v>464539</v>
      </c>
      <c r="M131" s="1479">
        <f t="shared" si="4"/>
        <v>1135829</v>
      </c>
      <c r="O131" s="1500">
        <v>1135829</v>
      </c>
    </row>
    <row r="132" spans="1:15" s="295" customFormat="1" ht="15.75" customHeight="1" outlineLevel="1">
      <c r="A132" s="703" t="s">
        <v>581</v>
      </c>
      <c r="B132" s="1519" t="s">
        <v>176</v>
      </c>
      <c r="C132" s="703">
        <v>344</v>
      </c>
      <c r="D132" s="703" t="s">
        <v>77</v>
      </c>
      <c r="E132" s="787">
        <v>85378835.88</v>
      </c>
      <c r="F132" s="787">
        <v>85210990.92999999</v>
      </c>
      <c r="G132" s="787">
        <v>167844.95000000298</v>
      </c>
      <c r="H132" s="787">
        <v>3104669.5999999996</v>
      </c>
      <c r="I132" s="787">
        <v>85194848.28</v>
      </c>
      <c r="J132" s="787">
        <v>80257168.33</v>
      </c>
      <c r="K132" s="787">
        <v>4937679.950000003</v>
      </c>
      <c r="L132" s="787">
        <v>3440462</v>
      </c>
      <c r="M132" s="1479">
        <f t="shared" si="4"/>
        <v>-1849153</v>
      </c>
      <c r="O132" s="1500">
        <v>-1849153</v>
      </c>
    </row>
    <row r="133" spans="1:15" s="295" customFormat="1" ht="15.75" customHeight="1" outlineLevel="1">
      <c r="A133" s="703" t="s">
        <v>581</v>
      </c>
      <c r="B133" s="1519" t="s">
        <v>176</v>
      </c>
      <c r="C133" s="703">
        <v>345</v>
      </c>
      <c r="D133" s="703" t="s">
        <v>75</v>
      </c>
      <c r="E133" s="787">
        <v>3530209</v>
      </c>
      <c r="F133" s="787">
        <v>3530209</v>
      </c>
      <c r="G133" s="787">
        <v>0</v>
      </c>
      <c r="H133" s="787">
        <v>235348</v>
      </c>
      <c r="I133" s="787">
        <v>3530209</v>
      </c>
      <c r="J133" s="787">
        <v>3815598</v>
      </c>
      <c r="K133" s="787">
        <v>-285389</v>
      </c>
      <c r="L133" s="787">
        <v>235348</v>
      </c>
      <c r="M133" s="1479">
        <f t="shared" si="4"/>
        <v>520737</v>
      </c>
      <c r="O133" s="1500">
        <v>520737</v>
      </c>
    </row>
    <row r="134" spans="1:15" s="295" customFormat="1" ht="15.75" customHeight="1" outlineLevel="1">
      <c r="A134" s="703" t="s">
        <v>581</v>
      </c>
      <c r="B134" s="1519" t="s">
        <v>176</v>
      </c>
      <c r="C134" s="703">
        <v>346</v>
      </c>
      <c r="D134" s="703" t="s">
        <v>168</v>
      </c>
      <c r="E134" s="787">
        <v>0</v>
      </c>
      <c r="F134" s="787">
        <v>0</v>
      </c>
      <c r="G134" s="787">
        <v>0</v>
      </c>
      <c r="H134" s="787">
        <v>0</v>
      </c>
      <c r="I134" s="787">
        <v>0</v>
      </c>
      <c r="J134" s="787">
        <v>0</v>
      </c>
      <c r="K134" s="787">
        <v>0</v>
      </c>
      <c r="L134" s="787">
        <v>0</v>
      </c>
      <c r="M134" s="1479">
        <f t="shared" si="4"/>
        <v>0</v>
      </c>
      <c r="O134" s="1500">
        <v>0</v>
      </c>
    </row>
    <row r="135" spans="1:15" s="295" customFormat="1" ht="15.75" customHeight="1" outlineLevel="1">
      <c r="A135" s="703" t="s">
        <v>581</v>
      </c>
      <c r="B135" s="1519" t="s">
        <v>187</v>
      </c>
      <c r="C135" s="703">
        <v>341</v>
      </c>
      <c r="D135" s="703" t="s">
        <v>73</v>
      </c>
      <c r="E135" s="787">
        <v>1180758.8199999998</v>
      </c>
      <c r="F135" s="787">
        <v>770237.71</v>
      </c>
      <c r="G135" s="787">
        <v>410521.10999999987</v>
      </c>
      <c r="H135" s="787">
        <v>12273</v>
      </c>
      <c r="I135" s="787">
        <v>2191060.82</v>
      </c>
      <c r="J135" s="787">
        <v>757964.71</v>
      </c>
      <c r="K135" s="787">
        <v>1433096.1099999999</v>
      </c>
      <c r="L135" s="787">
        <v>30426</v>
      </c>
      <c r="M135" s="1479">
        <f t="shared" si="4"/>
        <v>0</v>
      </c>
      <c r="O135" s="1500">
        <v>0</v>
      </c>
    </row>
    <row r="136" spans="1:15" s="295" customFormat="1" ht="15.75" customHeight="1" outlineLevel="1">
      <c r="A136" s="703" t="s">
        <v>581</v>
      </c>
      <c r="B136" s="1519" t="s">
        <v>187</v>
      </c>
      <c r="C136" s="703">
        <v>342</v>
      </c>
      <c r="D136" s="703" t="s">
        <v>178</v>
      </c>
      <c r="E136" s="787">
        <v>5309685</v>
      </c>
      <c r="F136" s="787">
        <v>3870860</v>
      </c>
      <c r="G136" s="787">
        <v>1438825</v>
      </c>
      <c r="H136" s="787">
        <v>111424</v>
      </c>
      <c r="I136" s="787">
        <v>5309685</v>
      </c>
      <c r="J136" s="787">
        <v>3759436</v>
      </c>
      <c r="K136" s="787">
        <v>1550249</v>
      </c>
      <c r="L136" s="787">
        <v>111424</v>
      </c>
      <c r="M136" s="1479">
        <f t="shared" si="4"/>
        <v>0</v>
      </c>
      <c r="O136" s="1500">
        <v>0</v>
      </c>
    </row>
    <row r="137" spans="1:15" s="295" customFormat="1" ht="15.75" customHeight="1" outlineLevel="1">
      <c r="A137" s="703" t="s">
        <v>581</v>
      </c>
      <c r="B137" s="1519" t="s">
        <v>187</v>
      </c>
      <c r="C137" s="703">
        <v>344</v>
      </c>
      <c r="D137" s="703" t="s">
        <v>77</v>
      </c>
      <c r="E137" s="787">
        <v>43403209.67</v>
      </c>
      <c r="F137" s="787">
        <v>29979675.040000003</v>
      </c>
      <c r="G137" s="787">
        <v>13423534.629999999</v>
      </c>
      <c r="H137" s="787">
        <v>746454.5899999999</v>
      </c>
      <c r="I137" s="787">
        <v>43257131.08</v>
      </c>
      <c r="J137" s="787">
        <v>29233220.450000003</v>
      </c>
      <c r="K137" s="787">
        <v>14023910.629999995</v>
      </c>
      <c r="L137" s="787">
        <v>744020</v>
      </c>
      <c r="M137" s="1479">
        <f t="shared" si="4"/>
        <v>0</v>
      </c>
      <c r="O137" s="1500">
        <v>0</v>
      </c>
    </row>
    <row r="138" spans="1:15" s="295" customFormat="1" ht="15.75" customHeight="1" outlineLevel="1">
      <c r="A138" s="703" t="s">
        <v>581</v>
      </c>
      <c r="B138" s="1519" t="s">
        <v>187</v>
      </c>
      <c r="C138" s="703">
        <v>345</v>
      </c>
      <c r="D138" s="703" t="s">
        <v>75</v>
      </c>
      <c r="E138" s="787">
        <v>1987337</v>
      </c>
      <c r="F138" s="787">
        <v>1434200</v>
      </c>
      <c r="G138" s="787">
        <v>553137</v>
      </c>
      <c r="H138" s="787">
        <v>41590</v>
      </c>
      <c r="I138" s="787">
        <v>1987337</v>
      </c>
      <c r="J138" s="787">
        <v>1392610</v>
      </c>
      <c r="K138" s="787">
        <v>594727</v>
      </c>
      <c r="L138" s="787">
        <v>41590</v>
      </c>
      <c r="M138" s="1479">
        <f t="shared" si="4"/>
        <v>0</v>
      </c>
      <c r="O138" s="1500">
        <v>0</v>
      </c>
    </row>
    <row r="139" spans="1:15" s="295" customFormat="1" ht="15.75" customHeight="1" outlineLevel="1">
      <c r="A139" s="703" t="s">
        <v>581</v>
      </c>
      <c r="B139" s="1519" t="s">
        <v>187</v>
      </c>
      <c r="C139" s="703">
        <v>346</v>
      </c>
      <c r="D139" s="703" t="s">
        <v>168</v>
      </c>
      <c r="E139" s="787">
        <v>0</v>
      </c>
      <c r="F139" s="787">
        <v>0</v>
      </c>
      <c r="G139" s="787">
        <v>0</v>
      </c>
      <c r="H139" s="787">
        <v>0</v>
      </c>
      <c r="I139" s="787">
        <v>0</v>
      </c>
      <c r="J139" s="787">
        <v>0</v>
      </c>
      <c r="K139" s="787">
        <v>0</v>
      </c>
      <c r="L139" s="787">
        <v>0</v>
      </c>
      <c r="M139" s="1479">
        <f t="shared" si="4"/>
        <v>0</v>
      </c>
      <c r="O139" s="1500">
        <v>0</v>
      </c>
    </row>
    <row r="140" spans="1:15" s="295" customFormat="1" ht="15.75" customHeight="1" outlineLevel="1">
      <c r="A140" s="703" t="s">
        <v>581</v>
      </c>
      <c r="B140" s="1519" t="s">
        <v>181</v>
      </c>
      <c r="C140" s="703">
        <v>311</v>
      </c>
      <c r="D140" s="703" t="s">
        <v>73</v>
      </c>
      <c r="E140" s="787"/>
      <c r="F140" s="787">
        <v>3.1811182647943497</v>
      </c>
      <c r="G140" s="787">
        <v>-2.7311182618141174</v>
      </c>
      <c r="H140" s="787"/>
      <c r="I140" s="787">
        <v>0.45000000298023224</v>
      </c>
      <c r="J140" s="787">
        <v>3.1811182647943497</v>
      </c>
      <c r="K140" s="787">
        <v>-2.7311182618141174</v>
      </c>
      <c r="L140" s="787">
        <v>0</v>
      </c>
      <c r="M140" s="1479">
        <f>H140+J140-F140</f>
        <v>0</v>
      </c>
      <c r="O140" s="1500">
        <v>0</v>
      </c>
    </row>
    <row r="141" spans="1:15" s="295" customFormat="1" ht="15.75" customHeight="1" outlineLevel="1">
      <c r="A141" s="703" t="s">
        <v>581</v>
      </c>
      <c r="B141" s="1519" t="s">
        <v>181</v>
      </c>
      <c r="C141" s="703">
        <v>312</v>
      </c>
      <c r="D141" s="703" t="s">
        <v>167</v>
      </c>
      <c r="E141" s="787">
        <v>0.03999999165534973</v>
      </c>
      <c r="F141" s="787">
        <v>-0.00044736266136169434</v>
      </c>
      <c r="G141" s="787">
        <v>0.040447354316711426</v>
      </c>
      <c r="H141" s="787">
        <v>0</v>
      </c>
      <c r="I141" s="787">
        <v>0.03999999165534973</v>
      </c>
      <c r="J141" s="787">
        <v>-0.00044736266136169434</v>
      </c>
      <c r="K141" s="787">
        <v>0.040447354316711426</v>
      </c>
      <c r="L141" s="787">
        <v>0</v>
      </c>
      <c r="M141" s="1479">
        <f t="shared" si="4"/>
        <v>0</v>
      </c>
      <c r="O141" s="1500">
        <v>0</v>
      </c>
    </row>
    <row r="142" spans="1:15" s="295" customFormat="1" ht="15.75" customHeight="1" outlineLevel="1">
      <c r="A142" s="703" t="s">
        <v>581</v>
      </c>
      <c r="B142" s="1519" t="s">
        <v>181</v>
      </c>
      <c r="C142" s="703">
        <v>314</v>
      </c>
      <c r="D142" s="703" t="s">
        <v>74</v>
      </c>
      <c r="E142" s="787">
        <v>0.39000000059604645</v>
      </c>
      <c r="F142" s="787">
        <v>-3.2081692963838577</v>
      </c>
      <c r="G142" s="787">
        <v>3.598169296979904</v>
      </c>
      <c r="H142" s="787">
        <v>0</v>
      </c>
      <c r="I142" s="787">
        <v>0.39000000059604645</v>
      </c>
      <c r="J142" s="787">
        <v>-3.2081692963838577</v>
      </c>
      <c r="K142" s="787">
        <v>3.598169296979904</v>
      </c>
      <c r="L142" s="787">
        <v>0</v>
      </c>
      <c r="M142" s="1479">
        <f t="shared" si="4"/>
        <v>0</v>
      </c>
      <c r="O142" s="1500">
        <v>0</v>
      </c>
    </row>
    <row r="143" spans="1:15" s="295" customFormat="1" ht="15.75" customHeight="1" outlineLevel="1">
      <c r="A143" s="703" t="s">
        <v>581</v>
      </c>
      <c r="B143" s="1519" t="s">
        <v>181</v>
      </c>
      <c r="C143" s="703">
        <v>315</v>
      </c>
      <c r="D143" s="703" t="s">
        <v>75</v>
      </c>
      <c r="E143" s="787"/>
      <c r="F143" s="787">
        <v>4.8883825317025185</v>
      </c>
      <c r="G143" s="787">
        <v>-5.178382530808449</v>
      </c>
      <c r="H143" s="787"/>
      <c r="I143" s="787">
        <v>-0.28999999910593033</v>
      </c>
      <c r="J143" s="787">
        <v>4.8883825317025185</v>
      </c>
      <c r="K143" s="787">
        <v>-5.178382530808449</v>
      </c>
      <c r="L143" s="787">
        <v>0</v>
      </c>
      <c r="M143" s="1479">
        <f t="shared" si="4"/>
        <v>0</v>
      </c>
      <c r="O143" s="1500">
        <v>0</v>
      </c>
    </row>
    <row r="144" spans="1:15" s="295" customFormat="1" ht="15.75" customHeight="1" outlineLevel="1">
      <c r="A144" s="703" t="s">
        <v>581</v>
      </c>
      <c r="B144" s="1519" t="s">
        <v>181</v>
      </c>
      <c r="C144" s="703">
        <v>316</v>
      </c>
      <c r="D144" s="703" t="s">
        <v>168</v>
      </c>
      <c r="E144" s="787">
        <v>-0.25</v>
      </c>
      <c r="F144" s="787">
        <v>0.39661968406289816</v>
      </c>
      <c r="G144" s="787">
        <v>-0.6466196840628982</v>
      </c>
      <c r="H144" s="787">
        <v>0</v>
      </c>
      <c r="I144" s="787">
        <v>-0.25</v>
      </c>
      <c r="J144" s="787">
        <v>0.39661968406289816</v>
      </c>
      <c r="K144" s="787">
        <v>-0.6466196840628982</v>
      </c>
      <c r="L144" s="787">
        <v>0</v>
      </c>
      <c r="M144" s="1479">
        <f t="shared" si="4"/>
        <v>0</v>
      </c>
      <c r="O144" s="1500">
        <v>0</v>
      </c>
    </row>
    <row r="145" spans="1:15" s="295" customFormat="1" ht="15.75" customHeight="1" outlineLevel="1">
      <c r="A145" s="703" t="s">
        <v>581</v>
      </c>
      <c r="B145" s="1519" t="s">
        <v>188</v>
      </c>
      <c r="C145" s="703">
        <v>341</v>
      </c>
      <c r="D145" s="703" t="s">
        <v>73</v>
      </c>
      <c r="E145" s="787">
        <v>3276763.23</v>
      </c>
      <c r="F145" s="787">
        <v>1699478.3187018486</v>
      </c>
      <c r="G145" s="787">
        <v>1577284.9112981514</v>
      </c>
      <c r="H145" s="787">
        <v>87338.6087018486</v>
      </c>
      <c r="I145" s="787">
        <v>3276763.23</v>
      </c>
      <c r="J145" s="787">
        <v>1612139.71</v>
      </c>
      <c r="K145" s="787">
        <v>1664623.52</v>
      </c>
      <c r="L145" s="787">
        <v>88617</v>
      </c>
      <c r="M145" s="1479">
        <f aca="true" t="shared" si="6" ref="M145:M208">H145+J145-F145</f>
        <v>0</v>
      </c>
      <c r="O145" s="1500">
        <v>0</v>
      </c>
    </row>
    <row r="146" spans="1:15" s="295" customFormat="1" ht="15.75" customHeight="1" outlineLevel="1">
      <c r="A146" s="703" t="s">
        <v>581</v>
      </c>
      <c r="B146" s="1519" t="s">
        <v>188</v>
      </c>
      <c r="C146" s="703">
        <v>342</v>
      </c>
      <c r="D146" s="703" t="s">
        <v>178</v>
      </c>
      <c r="E146" s="787">
        <v>4329702</v>
      </c>
      <c r="F146" s="787">
        <v>2573342.9785671923</v>
      </c>
      <c r="G146" s="787">
        <v>1756359.0214328077</v>
      </c>
      <c r="H146" s="787">
        <v>110841.97856719245</v>
      </c>
      <c r="I146" s="787">
        <v>4329702</v>
      </c>
      <c r="J146" s="787">
        <v>2462501</v>
      </c>
      <c r="K146" s="787">
        <v>1867201</v>
      </c>
      <c r="L146" s="787">
        <v>112524</v>
      </c>
      <c r="M146" s="1479">
        <f t="shared" si="6"/>
        <v>0</v>
      </c>
      <c r="O146" s="1500">
        <v>0</v>
      </c>
    </row>
    <row r="147" spans="1:15" s="295" customFormat="1" ht="15.75" customHeight="1" outlineLevel="1">
      <c r="A147" s="703" t="s">
        <v>581</v>
      </c>
      <c r="B147" s="1519" t="s">
        <v>188</v>
      </c>
      <c r="C147" s="703">
        <v>344</v>
      </c>
      <c r="D147" s="703" t="s">
        <v>77</v>
      </c>
      <c r="E147" s="787">
        <v>46284431.46</v>
      </c>
      <c r="F147" s="787">
        <v>23626349.777336527</v>
      </c>
      <c r="G147" s="787">
        <v>22658081.682663474</v>
      </c>
      <c r="H147" s="787">
        <v>779608.9073365298</v>
      </c>
      <c r="I147" s="787">
        <v>44715062.1</v>
      </c>
      <c r="J147" s="787">
        <v>22846740.869999997</v>
      </c>
      <c r="K147" s="787">
        <v>21868321.230000004</v>
      </c>
      <c r="L147" s="787">
        <v>774678</v>
      </c>
      <c r="M147" s="1479">
        <f t="shared" si="6"/>
        <v>0</v>
      </c>
      <c r="O147" s="1500">
        <v>0</v>
      </c>
    </row>
    <row r="148" spans="1:15" s="295" customFormat="1" ht="15.75" customHeight="1" outlineLevel="1">
      <c r="A148" s="703" t="s">
        <v>581</v>
      </c>
      <c r="B148" s="1519" t="s">
        <v>188</v>
      </c>
      <c r="C148" s="703">
        <v>345</v>
      </c>
      <c r="D148" s="703" t="s">
        <v>75</v>
      </c>
      <c r="E148" s="787">
        <v>1908050</v>
      </c>
      <c r="F148" s="787">
        <v>1133797.8653944288</v>
      </c>
      <c r="G148" s="787">
        <v>774252.1346055712</v>
      </c>
      <c r="H148" s="787">
        <v>48859.865394428954</v>
      </c>
      <c r="I148" s="787">
        <v>1908050</v>
      </c>
      <c r="J148" s="787">
        <v>1084938</v>
      </c>
      <c r="K148" s="787">
        <v>823112</v>
      </c>
      <c r="L148" s="787">
        <v>49601</v>
      </c>
      <c r="M148" s="1479">
        <f t="shared" si="6"/>
        <v>0</v>
      </c>
      <c r="O148" s="1500">
        <v>0</v>
      </c>
    </row>
    <row r="149" spans="1:15" s="295" customFormat="1" ht="15.75" customHeight="1" outlineLevel="1">
      <c r="A149" s="703" t="s">
        <v>581</v>
      </c>
      <c r="B149" s="1519" t="s">
        <v>188</v>
      </c>
      <c r="C149" s="703">
        <v>346</v>
      </c>
      <c r="D149" s="703" t="s">
        <v>168</v>
      </c>
      <c r="E149" s="787">
        <v>0</v>
      </c>
      <c r="F149" s="787">
        <v>0</v>
      </c>
      <c r="G149" s="787">
        <v>0</v>
      </c>
      <c r="H149" s="787">
        <v>0</v>
      </c>
      <c r="I149" s="787">
        <v>0</v>
      </c>
      <c r="J149" s="787">
        <v>0</v>
      </c>
      <c r="K149" s="787">
        <v>0</v>
      </c>
      <c r="L149" s="787">
        <v>0</v>
      </c>
      <c r="M149" s="1479">
        <f t="shared" si="6"/>
        <v>0</v>
      </c>
      <c r="O149" s="1500">
        <v>0</v>
      </c>
    </row>
    <row r="150" spans="1:15" s="295" customFormat="1" ht="15.75" customHeight="1" outlineLevel="1">
      <c r="A150" s="703" t="s">
        <v>581</v>
      </c>
      <c r="B150" s="1519" t="s">
        <v>189</v>
      </c>
      <c r="C150" s="703">
        <v>341</v>
      </c>
      <c r="D150" s="703" t="s">
        <v>73</v>
      </c>
      <c r="E150" s="787">
        <v>2050481</v>
      </c>
      <c r="F150" s="787">
        <v>861980.92</v>
      </c>
      <c r="G150" s="787">
        <v>1188500.08</v>
      </c>
      <c r="H150" s="787">
        <v>0</v>
      </c>
      <c r="I150" s="787">
        <v>2050481</v>
      </c>
      <c r="J150" s="787">
        <v>861980.92</v>
      </c>
      <c r="K150" s="787">
        <v>1188500.08</v>
      </c>
      <c r="L150" s="787">
        <v>0</v>
      </c>
      <c r="M150" s="1479">
        <f t="shared" si="6"/>
        <v>0</v>
      </c>
      <c r="O150" s="1500">
        <v>0</v>
      </c>
    </row>
    <row r="151" spans="1:15" s="295" customFormat="1" ht="15.75" customHeight="1" outlineLevel="1">
      <c r="A151" s="703" t="s">
        <v>581</v>
      </c>
      <c r="B151" s="1519" t="s">
        <v>189</v>
      </c>
      <c r="C151" s="703">
        <v>342</v>
      </c>
      <c r="D151" s="703" t="s">
        <v>178</v>
      </c>
      <c r="E151" s="787">
        <v>5968898</v>
      </c>
      <c r="F151" s="787">
        <v>2340435</v>
      </c>
      <c r="G151" s="787">
        <v>3628463</v>
      </c>
      <c r="H151" s="787">
        <v>0</v>
      </c>
      <c r="I151" s="787">
        <v>5968898</v>
      </c>
      <c r="J151" s="787">
        <v>2340435</v>
      </c>
      <c r="K151" s="787">
        <v>3628463</v>
      </c>
      <c r="L151" s="787">
        <v>0</v>
      </c>
      <c r="M151" s="1479">
        <f t="shared" si="6"/>
        <v>0</v>
      </c>
      <c r="O151" s="1500">
        <v>0</v>
      </c>
    </row>
    <row r="152" spans="1:15" s="295" customFormat="1" ht="15.75" customHeight="1" outlineLevel="1">
      <c r="A152" s="703" t="s">
        <v>581</v>
      </c>
      <c r="B152" s="1519" t="s">
        <v>189</v>
      </c>
      <c r="C152" s="703">
        <v>344</v>
      </c>
      <c r="D152" s="703" t="s">
        <v>77</v>
      </c>
      <c r="E152" s="787">
        <v>79624201.12</v>
      </c>
      <c r="F152" s="787">
        <v>33562975.78</v>
      </c>
      <c r="G152" s="787">
        <v>46061225.34</v>
      </c>
      <c r="H152" s="787">
        <v>223200</v>
      </c>
      <c r="I152" s="787">
        <v>79624201.12</v>
      </c>
      <c r="J152" s="787">
        <v>33339775.78</v>
      </c>
      <c r="K152" s="787">
        <v>46284425.34</v>
      </c>
      <c r="L152" s="787">
        <v>243136</v>
      </c>
      <c r="M152" s="1479">
        <f t="shared" si="6"/>
        <v>0</v>
      </c>
      <c r="O152" s="1500">
        <v>0</v>
      </c>
    </row>
    <row r="153" spans="1:15" s="295" customFormat="1" ht="15.75" customHeight="1" outlineLevel="1">
      <c r="A153" s="703" t="s">
        <v>581</v>
      </c>
      <c r="B153" s="1519" t="s">
        <v>189</v>
      </c>
      <c r="C153" s="703">
        <v>345</v>
      </c>
      <c r="D153" s="703" t="s">
        <v>75</v>
      </c>
      <c r="E153" s="787">
        <v>3560059</v>
      </c>
      <c r="F153" s="787">
        <v>1508537</v>
      </c>
      <c r="G153" s="787">
        <v>2051522</v>
      </c>
      <c r="H153" s="787">
        <v>0</v>
      </c>
      <c r="I153" s="787">
        <v>3560059</v>
      </c>
      <c r="J153" s="787">
        <v>1508537</v>
      </c>
      <c r="K153" s="787">
        <v>2051522</v>
      </c>
      <c r="L153" s="787">
        <v>0</v>
      </c>
      <c r="M153" s="1479">
        <f t="shared" si="6"/>
        <v>0</v>
      </c>
      <c r="O153" s="1500">
        <v>0</v>
      </c>
    </row>
    <row r="154" spans="1:15" s="295" customFormat="1" ht="15.75" customHeight="1" outlineLevel="1">
      <c r="A154" s="703" t="s">
        <v>581</v>
      </c>
      <c r="B154" s="1519" t="s">
        <v>189</v>
      </c>
      <c r="C154" s="703">
        <v>346</v>
      </c>
      <c r="D154" s="703" t="s">
        <v>168</v>
      </c>
      <c r="E154" s="787">
        <v>14816000</v>
      </c>
      <c r="F154" s="787">
        <v>0</v>
      </c>
      <c r="G154" s="787">
        <v>14816000</v>
      </c>
      <c r="H154" s="787">
        <v>0</v>
      </c>
      <c r="I154" s="787">
        <v>14816000</v>
      </c>
      <c r="J154" s="787">
        <v>0</v>
      </c>
      <c r="K154" s="787">
        <v>14816000</v>
      </c>
      <c r="L154" s="787">
        <v>0</v>
      </c>
      <c r="M154" s="1479">
        <f t="shared" si="6"/>
        <v>0</v>
      </c>
      <c r="O154" s="1500">
        <v>0</v>
      </c>
    </row>
    <row r="155" spans="1:15" s="295" customFormat="1" ht="15.75" customHeight="1" outlineLevel="1">
      <c r="A155" s="704"/>
      <c r="B155" s="1519" t="s">
        <v>577</v>
      </c>
      <c r="C155" s="703"/>
      <c r="D155" s="705" t="s">
        <v>210</v>
      </c>
      <c r="E155" s="787">
        <v>1155449919</v>
      </c>
      <c r="F155" s="787">
        <v>259976618</v>
      </c>
      <c r="G155" s="787">
        <v>895473301</v>
      </c>
      <c r="H155" s="787">
        <v>57772692</v>
      </c>
      <c r="I155" s="787">
        <v>1155449919</v>
      </c>
      <c r="J155" s="787">
        <v>202203926</v>
      </c>
      <c r="K155" s="787">
        <v>953245993</v>
      </c>
      <c r="L155" s="787">
        <v>57772692</v>
      </c>
      <c r="M155" s="1479">
        <f t="shared" si="6"/>
        <v>0</v>
      </c>
      <c r="O155" s="1500">
        <v>0</v>
      </c>
    </row>
    <row r="156" spans="1:15" s="295" customFormat="1" ht="15.75" customHeight="1" outlineLevel="1" thickBot="1">
      <c r="A156" s="706"/>
      <c r="B156" s="1520" t="s">
        <v>211</v>
      </c>
      <c r="C156" s="706"/>
      <c r="D156" s="707" t="s">
        <v>347</v>
      </c>
      <c r="E156" s="787">
        <v>-173816000</v>
      </c>
      <c r="F156" s="787"/>
      <c r="G156" s="787">
        <v>-173816000</v>
      </c>
      <c r="H156" s="787"/>
      <c r="I156" s="787">
        <v>-173816000</v>
      </c>
      <c r="J156" s="787"/>
      <c r="K156" s="787">
        <v>-173816000</v>
      </c>
      <c r="L156" s="787"/>
      <c r="M156" s="1479">
        <f t="shared" si="6"/>
        <v>0</v>
      </c>
      <c r="O156" s="1500">
        <v>0</v>
      </c>
    </row>
    <row r="157" spans="1:15" s="273" customFormat="1" ht="34.5" customHeight="1" thickBot="1">
      <c r="A157" s="400"/>
      <c r="B157" s="401"/>
      <c r="C157" s="400"/>
      <c r="D157" s="708" t="s">
        <v>765</v>
      </c>
      <c r="E157" s="403">
        <f aca="true" t="shared" si="7" ref="E157:K157">SUBTOTAL(9,E102:E156)</f>
        <v>2426793224.0499997</v>
      </c>
      <c r="F157" s="403">
        <f t="shared" si="7"/>
        <v>984822592.9475037</v>
      </c>
      <c r="G157" s="403">
        <f t="shared" si="7"/>
        <v>1441970631.2624962</v>
      </c>
      <c r="H157" s="403">
        <f>SUBTOTAL(9,H102:H156)</f>
        <v>102186317.21999998</v>
      </c>
      <c r="I157" s="403">
        <f t="shared" si="7"/>
        <v>2419760765.71</v>
      </c>
      <c r="J157" s="403">
        <f t="shared" si="7"/>
        <v>881486890.7275038</v>
      </c>
      <c r="K157" s="403">
        <f t="shared" si="7"/>
        <v>1538273874.9824963</v>
      </c>
      <c r="L157" s="403">
        <f>SUBTOTAL(9,L102:L156)</f>
        <v>103200990.59</v>
      </c>
      <c r="M157" s="1479"/>
      <c r="O157" s="1501">
        <v>0</v>
      </c>
    </row>
    <row r="158" spans="1:15" s="295" customFormat="1" ht="15.75" customHeight="1" outlineLevel="1">
      <c r="A158" s="372"/>
      <c r="B158" s="399"/>
      <c r="C158" s="372"/>
      <c r="D158" s="371"/>
      <c r="E158" s="377"/>
      <c r="F158" s="377"/>
      <c r="G158" s="377"/>
      <c r="H158" s="377"/>
      <c r="I158" s="377"/>
      <c r="J158" s="377"/>
      <c r="K158" s="377"/>
      <c r="L158" s="377"/>
      <c r="M158" s="1479">
        <f t="shared" si="6"/>
        <v>0</v>
      </c>
      <c r="O158" s="1500">
        <v>0</v>
      </c>
    </row>
    <row r="159" spans="1:15" s="295" customFormat="1" ht="15.75" customHeight="1" outlineLevel="1">
      <c r="A159" s="372"/>
      <c r="B159" s="399"/>
      <c r="C159" s="372"/>
      <c r="D159" s="371"/>
      <c r="E159" s="377"/>
      <c r="F159" s="377"/>
      <c r="G159" s="377"/>
      <c r="H159" s="377"/>
      <c r="I159" s="377"/>
      <c r="J159" s="377"/>
      <c r="K159" s="377"/>
      <c r="L159" s="377"/>
      <c r="M159" s="1479">
        <f t="shared" si="6"/>
        <v>0</v>
      </c>
      <c r="O159" s="1500">
        <v>0</v>
      </c>
    </row>
    <row r="160" spans="1:15" s="275" customFormat="1" ht="16.5" customHeight="1" outlineLevel="1" thickBot="1">
      <c r="A160" s="374"/>
      <c r="B160" s="1517"/>
      <c r="C160" s="374"/>
      <c r="D160" s="398" t="s">
        <v>35</v>
      </c>
      <c r="E160" s="376"/>
      <c r="F160" s="376"/>
      <c r="G160" s="376"/>
      <c r="H160" s="376"/>
      <c r="I160" s="376"/>
      <c r="J160" s="376"/>
      <c r="K160" s="376"/>
      <c r="L160" s="376"/>
      <c r="M160" s="1479">
        <f t="shared" si="6"/>
        <v>0</v>
      </c>
      <c r="O160" s="1502">
        <v>0</v>
      </c>
    </row>
    <row r="161" spans="1:15" s="295" customFormat="1" ht="15.75" customHeight="1" outlineLevel="1">
      <c r="A161" s="703" t="s">
        <v>35</v>
      </c>
      <c r="B161" s="1519" t="s">
        <v>186</v>
      </c>
      <c r="C161" s="703">
        <v>352</v>
      </c>
      <c r="D161" s="703" t="s">
        <v>73</v>
      </c>
      <c r="E161" s="787">
        <v>4317717</v>
      </c>
      <c r="F161" s="787">
        <v>3261144</v>
      </c>
      <c r="G161" s="787">
        <v>1056573</v>
      </c>
      <c r="H161" s="787">
        <v>77474</v>
      </c>
      <c r="I161" s="787">
        <v>4317717</v>
      </c>
      <c r="J161" s="787">
        <v>3183670</v>
      </c>
      <c r="K161" s="787">
        <v>1134047</v>
      </c>
      <c r="L161" s="787">
        <v>77474</v>
      </c>
      <c r="M161" s="1479">
        <f t="shared" si="6"/>
        <v>0</v>
      </c>
      <c r="O161" s="1500">
        <v>0</v>
      </c>
    </row>
    <row r="162" spans="1:15" s="295" customFormat="1" ht="15.75" customHeight="1" outlineLevel="1">
      <c r="A162" s="703" t="s">
        <v>35</v>
      </c>
      <c r="B162" s="1519" t="s">
        <v>186</v>
      </c>
      <c r="C162" s="703">
        <v>353</v>
      </c>
      <c r="D162" s="703" t="s">
        <v>20</v>
      </c>
      <c r="E162" s="787">
        <v>51222729.949999996</v>
      </c>
      <c r="F162" s="787">
        <v>12485915.73</v>
      </c>
      <c r="G162" s="787">
        <v>38736814.22</v>
      </c>
      <c r="H162" s="787">
        <v>959627.19</v>
      </c>
      <c r="I162" s="787">
        <v>38347919.76</v>
      </c>
      <c r="J162" s="787">
        <v>11415606.540000001</v>
      </c>
      <c r="K162" s="787">
        <v>26932313.22</v>
      </c>
      <c r="L162" s="787">
        <v>907982.05</v>
      </c>
      <c r="M162" s="1479">
        <f t="shared" si="6"/>
        <v>-110682</v>
      </c>
      <c r="O162" s="1500">
        <v>-110682</v>
      </c>
    </row>
    <row r="163" spans="1:15" s="295" customFormat="1" ht="15.75" customHeight="1" outlineLevel="1">
      <c r="A163" s="703" t="s">
        <v>35</v>
      </c>
      <c r="B163" s="1519" t="s">
        <v>186</v>
      </c>
      <c r="C163" s="703">
        <v>354</v>
      </c>
      <c r="D163" s="703" t="s">
        <v>78</v>
      </c>
      <c r="E163" s="787">
        <v>22612274</v>
      </c>
      <c r="F163" s="787">
        <v>19611752</v>
      </c>
      <c r="G163" s="787">
        <v>3000522</v>
      </c>
      <c r="H163" s="787">
        <v>483926</v>
      </c>
      <c r="I163" s="787">
        <v>22612274</v>
      </c>
      <c r="J163" s="787">
        <v>19127826</v>
      </c>
      <c r="K163" s="787">
        <v>3484448</v>
      </c>
      <c r="L163" s="787">
        <v>483926</v>
      </c>
      <c r="M163" s="1479">
        <f t="shared" si="6"/>
        <v>0</v>
      </c>
      <c r="O163" s="1500">
        <v>0</v>
      </c>
    </row>
    <row r="164" spans="1:15" s="295" customFormat="1" ht="15.75" customHeight="1" outlineLevel="1">
      <c r="A164" s="703" t="s">
        <v>35</v>
      </c>
      <c r="B164" s="1519" t="s">
        <v>186</v>
      </c>
      <c r="C164" s="703">
        <v>355</v>
      </c>
      <c r="D164" s="703" t="s">
        <v>79</v>
      </c>
      <c r="E164" s="787">
        <v>1953118</v>
      </c>
      <c r="F164" s="787">
        <v>1953118</v>
      </c>
      <c r="G164" s="787">
        <v>0</v>
      </c>
      <c r="H164" s="787">
        <v>50180</v>
      </c>
      <c r="I164" s="787">
        <v>1953118</v>
      </c>
      <c r="J164" s="787">
        <v>2013620</v>
      </c>
      <c r="K164" s="787">
        <v>-60502</v>
      </c>
      <c r="L164" s="787">
        <v>50180</v>
      </c>
      <c r="M164" s="1479">
        <f t="shared" si="6"/>
        <v>110682</v>
      </c>
      <c r="O164" s="1500">
        <v>110682</v>
      </c>
    </row>
    <row r="165" spans="1:15" s="295" customFormat="1" ht="15.75" customHeight="1" outlineLevel="1">
      <c r="A165" s="703" t="s">
        <v>35</v>
      </c>
      <c r="B165" s="1519" t="s">
        <v>186</v>
      </c>
      <c r="C165" s="703">
        <v>356</v>
      </c>
      <c r="D165" s="703" t="s">
        <v>80</v>
      </c>
      <c r="E165" s="787">
        <v>9403929</v>
      </c>
      <c r="F165" s="787">
        <v>8268430.5</v>
      </c>
      <c r="G165" s="787">
        <v>1135498.5</v>
      </c>
      <c r="H165" s="787">
        <v>201233</v>
      </c>
      <c r="I165" s="787">
        <v>9403929</v>
      </c>
      <c r="J165" s="787">
        <v>8067197.5</v>
      </c>
      <c r="K165" s="787">
        <v>1336731.5</v>
      </c>
      <c r="L165" s="787">
        <v>201233</v>
      </c>
      <c r="M165" s="1479">
        <f t="shared" si="6"/>
        <v>0</v>
      </c>
      <c r="O165" s="1500">
        <v>0</v>
      </c>
    </row>
    <row r="166" spans="1:15" s="295" customFormat="1" ht="15.75" customHeight="1" outlineLevel="1">
      <c r="A166" s="703" t="s">
        <v>35</v>
      </c>
      <c r="B166" s="1519" t="s">
        <v>186</v>
      </c>
      <c r="C166" s="703">
        <v>359</v>
      </c>
      <c r="D166" s="703" t="s">
        <v>83</v>
      </c>
      <c r="E166" s="787">
        <v>670808</v>
      </c>
      <c r="F166" s="787">
        <v>389416</v>
      </c>
      <c r="G166" s="787">
        <v>281392</v>
      </c>
      <c r="H166" s="787">
        <v>8113</v>
      </c>
      <c r="I166" s="787">
        <v>670808</v>
      </c>
      <c r="J166" s="787">
        <v>381303</v>
      </c>
      <c r="K166" s="787">
        <v>289505</v>
      </c>
      <c r="L166" s="787">
        <v>8113</v>
      </c>
      <c r="M166" s="1479">
        <f t="shared" si="6"/>
        <v>0</v>
      </c>
      <c r="O166" s="1500">
        <v>0</v>
      </c>
    </row>
    <row r="167" spans="1:15" s="295" customFormat="1" ht="15.75" customHeight="1" outlineLevel="1">
      <c r="A167" s="703" t="s">
        <v>35</v>
      </c>
      <c r="B167" s="1519" t="s">
        <v>190</v>
      </c>
      <c r="C167" s="703">
        <v>352</v>
      </c>
      <c r="D167" s="703" t="s">
        <v>73</v>
      </c>
      <c r="E167" s="787">
        <v>0</v>
      </c>
      <c r="F167" s="787">
        <v>0</v>
      </c>
      <c r="G167" s="787">
        <v>0</v>
      </c>
      <c r="H167" s="787">
        <v>0</v>
      </c>
      <c r="I167" s="787">
        <v>0</v>
      </c>
      <c r="J167" s="787">
        <v>0</v>
      </c>
      <c r="K167" s="787">
        <v>0</v>
      </c>
      <c r="L167" s="787">
        <v>0</v>
      </c>
      <c r="M167" s="1479">
        <f t="shared" si="6"/>
        <v>0</v>
      </c>
      <c r="O167" s="1500">
        <v>0</v>
      </c>
    </row>
    <row r="168" spans="1:15" s="295" customFormat="1" ht="15.75" customHeight="1" outlineLevel="1">
      <c r="A168" s="703" t="s">
        <v>35</v>
      </c>
      <c r="B168" s="1519" t="s">
        <v>190</v>
      </c>
      <c r="C168" s="703">
        <v>353</v>
      </c>
      <c r="D168" s="703" t="s">
        <v>20</v>
      </c>
      <c r="E168" s="787">
        <v>0</v>
      </c>
      <c r="F168" s="787">
        <v>0</v>
      </c>
      <c r="G168" s="787">
        <v>0</v>
      </c>
      <c r="H168" s="787">
        <v>0</v>
      </c>
      <c r="I168" s="787">
        <v>0</v>
      </c>
      <c r="J168" s="787">
        <v>0</v>
      </c>
      <c r="K168" s="787">
        <v>0</v>
      </c>
      <c r="L168" s="787">
        <v>0</v>
      </c>
      <c r="M168" s="1479">
        <f t="shared" si="6"/>
        <v>0</v>
      </c>
      <c r="O168" s="1500">
        <v>0</v>
      </c>
    </row>
    <row r="169" spans="1:15" s="295" customFormat="1" ht="15.75" customHeight="1" outlineLevel="1">
      <c r="A169" s="703" t="s">
        <v>35</v>
      </c>
      <c r="B169" s="1519" t="s">
        <v>190</v>
      </c>
      <c r="C169" s="703">
        <v>354</v>
      </c>
      <c r="D169" s="703" t="s">
        <v>78</v>
      </c>
      <c r="E169" s="787">
        <v>10051183</v>
      </c>
      <c r="F169" s="787">
        <v>12375568</v>
      </c>
      <c r="G169" s="787">
        <v>-2324385</v>
      </c>
      <c r="H169" s="787">
        <v>0</v>
      </c>
      <c r="I169" s="787">
        <v>10051183</v>
      </c>
      <c r="J169" s="787">
        <v>12375568</v>
      </c>
      <c r="K169" s="787">
        <v>-2324385</v>
      </c>
      <c r="L169" s="787">
        <v>-1</v>
      </c>
      <c r="M169" s="1479">
        <f t="shared" si="6"/>
        <v>0</v>
      </c>
      <c r="O169" s="1500">
        <v>0</v>
      </c>
    </row>
    <row r="170" spans="1:15" s="295" customFormat="1" ht="15.75" customHeight="1" outlineLevel="1">
      <c r="A170" s="703" t="s">
        <v>35</v>
      </c>
      <c r="B170" s="1519" t="s">
        <v>190</v>
      </c>
      <c r="C170" s="703">
        <v>356</v>
      </c>
      <c r="D170" s="703" t="s">
        <v>80</v>
      </c>
      <c r="E170" s="787">
        <v>5926677</v>
      </c>
      <c r="F170" s="787">
        <v>6627436</v>
      </c>
      <c r="G170" s="787">
        <v>-700759</v>
      </c>
      <c r="H170" s="787">
        <v>-1</v>
      </c>
      <c r="I170" s="787">
        <v>5926677</v>
      </c>
      <c r="J170" s="787">
        <v>6627437</v>
      </c>
      <c r="K170" s="787">
        <v>-700760</v>
      </c>
      <c r="L170" s="787">
        <v>0</v>
      </c>
      <c r="M170" s="1479">
        <f t="shared" si="6"/>
        <v>0</v>
      </c>
      <c r="O170" s="1500">
        <v>0</v>
      </c>
    </row>
    <row r="171" spans="1:15" s="295" customFormat="1" ht="15.75" customHeight="1" outlineLevel="1">
      <c r="A171" s="703" t="s">
        <v>35</v>
      </c>
      <c r="B171" s="1519" t="s">
        <v>190</v>
      </c>
      <c r="C171" s="703">
        <v>359</v>
      </c>
      <c r="D171" s="703" t="s">
        <v>83</v>
      </c>
      <c r="E171" s="787">
        <v>80335</v>
      </c>
      <c r="F171" s="787">
        <v>73914</v>
      </c>
      <c r="G171" s="787">
        <v>6421</v>
      </c>
      <c r="H171" s="787">
        <v>0</v>
      </c>
      <c r="I171" s="787">
        <v>80335</v>
      </c>
      <c r="J171" s="787">
        <v>73914</v>
      </c>
      <c r="K171" s="787">
        <v>6421</v>
      </c>
      <c r="L171" s="787">
        <v>0</v>
      </c>
      <c r="M171" s="1479">
        <f t="shared" si="6"/>
        <v>0</v>
      </c>
      <c r="O171" s="1500">
        <v>0</v>
      </c>
    </row>
    <row r="172" spans="1:15" s="295" customFormat="1" ht="15.75" customHeight="1" outlineLevel="1">
      <c r="A172" s="703" t="s">
        <v>35</v>
      </c>
      <c r="B172" s="1519" t="s">
        <v>71</v>
      </c>
      <c r="C172" s="703">
        <v>352</v>
      </c>
      <c r="D172" s="703" t="s">
        <v>73</v>
      </c>
      <c r="E172" s="787">
        <v>6243128</v>
      </c>
      <c r="F172" s="787">
        <v>4727274</v>
      </c>
      <c r="G172" s="787">
        <v>1515854</v>
      </c>
      <c r="H172" s="787">
        <v>208106</v>
      </c>
      <c r="I172" s="787">
        <v>6243128</v>
      </c>
      <c r="J172" s="787">
        <v>4519168</v>
      </c>
      <c r="K172" s="787">
        <v>1723960</v>
      </c>
      <c r="L172" s="787">
        <v>208106</v>
      </c>
      <c r="M172" s="1479">
        <f t="shared" si="6"/>
        <v>0</v>
      </c>
      <c r="O172" s="1500">
        <v>0</v>
      </c>
    </row>
    <row r="173" spans="1:15" s="295" customFormat="1" ht="15.75" customHeight="1" outlineLevel="1">
      <c r="A173" s="703" t="s">
        <v>35</v>
      </c>
      <c r="B173" s="1519" t="s">
        <v>71</v>
      </c>
      <c r="C173" s="703">
        <v>353</v>
      </c>
      <c r="D173" s="703" t="s">
        <v>20</v>
      </c>
      <c r="E173" s="787">
        <v>58875694</v>
      </c>
      <c r="F173" s="787">
        <v>47864224</v>
      </c>
      <c r="G173" s="787">
        <v>11011470</v>
      </c>
      <c r="H173" s="787">
        <v>1962524</v>
      </c>
      <c r="I173" s="787">
        <v>58875694</v>
      </c>
      <c r="J173" s="787">
        <v>45901700</v>
      </c>
      <c r="K173" s="787">
        <v>12973994</v>
      </c>
      <c r="L173" s="787">
        <v>1962524</v>
      </c>
      <c r="M173" s="1479">
        <f t="shared" si="6"/>
        <v>0</v>
      </c>
      <c r="O173" s="1500">
        <v>0</v>
      </c>
    </row>
    <row r="174" spans="1:15" s="295" customFormat="1" ht="15.75" customHeight="1" outlineLevel="1">
      <c r="A174" s="703" t="s">
        <v>35</v>
      </c>
      <c r="B174" s="1519" t="s">
        <v>71</v>
      </c>
      <c r="C174" s="703">
        <v>357</v>
      </c>
      <c r="D174" s="703" t="s">
        <v>81</v>
      </c>
      <c r="E174" s="787">
        <v>60722320</v>
      </c>
      <c r="F174" s="787">
        <v>49863579</v>
      </c>
      <c r="G174" s="787">
        <v>10858741</v>
      </c>
      <c r="H174" s="787">
        <v>2024078</v>
      </c>
      <c r="I174" s="787">
        <v>60722320</v>
      </c>
      <c r="J174" s="787">
        <v>47839501</v>
      </c>
      <c r="K174" s="787">
        <v>12882819</v>
      </c>
      <c r="L174" s="787">
        <v>2024078</v>
      </c>
      <c r="M174" s="1479">
        <f t="shared" si="6"/>
        <v>0</v>
      </c>
      <c r="O174" s="1500">
        <v>0</v>
      </c>
    </row>
    <row r="175" spans="1:15" s="295" customFormat="1" ht="15.75" customHeight="1" outlineLevel="1">
      <c r="A175" s="703" t="s">
        <v>35</v>
      </c>
      <c r="B175" s="1519" t="s">
        <v>71</v>
      </c>
      <c r="C175" s="703">
        <v>358</v>
      </c>
      <c r="D175" s="703" t="s">
        <v>82</v>
      </c>
      <c r="E175" s="787">
        <v>162719243</v>
      </c>
      <c r="F175" s="787">
        <v>132709576</v>
      </c>
      <c r="G175" s="787">
        <v>30009667</v>
      </c>
      <c r="H175" s="787">
        <v>5450121</v>
      </c>
      <c r="I175" s="787">
        <v>162719243</v>
      </c>
      <c r="J175" s="787">
        <v>127259455</v>
      </c>
      <c r="K175" s="787">
        <v>35459788</v>
      </c>
      <c r="L175" s="787">
        <v>5450121</v>
      </c>
      <c r="M175" s="1479">
        <f t="shared" si="6"/>
        <v>0</v>
      </c>
      <c r="O175" s="1500">
        <v>0</v>
      </c>
    </row>
    <row r="176" spans="1:15" s="295" customFormat="1" ht="15.75" customHeight="1" outlineLevel="1">
      <c r="A176" s="703" t="s">
        <v>35</v>
      </c>
      <c r="B176" s="1519" t="s">
        <v>30</v>
      </c>
      <c r="C176" s="703">
        <v>352</v>
      </c>
      <c r="D176" s="703" t="s">
        <v>73</v>
      </c>
      <c r="E176" s="787">
        <v>0</v>
      </c>
      <c r="F176" s="787">
        <v>0</v>
      </c>
      <c r="G176" s="787">
        <v>0</v>
      </c>
      <c r="H176" s="787">
        <v>0</v>
      </c>
      <c r="I176" s="787">
        <v>0</v>
      </c>
      <c r="J176" s="787">
        <v>0</v>
      </c>
      <c r="K176" s="787">
        <v>0</v>
      </c>
      <c r="L176" s="787">
        <v>0</v>
      </c>
      <c r="M176" s="1479">
        <f t="shared" si="6"/>
        <v>0</v>
      </c>
      <c r="O176" s="1500">
        <v>0</v>
      </c>
    </row>
    <row r="177" spans="1:15" s="295" customFormat="1" ht="15.75" customHeight="1" outlineLevel="1">
      <c r="A177" s="703" t="s">
        <v>35</v>
      </c>
      <c r="B177" s="1519" t="s">
        <v>30</v>
      </c>
      <c r="C177" s="703">
        <v>353</v>
      </c>
      <c r="D177" s="703" t="s">
        <v>20</v>
      </c>
      <c r="E177" s="787">
        <v>23088722</v>
      </c>
      <c r="F177" s="787">
        <v>13315283.73</v>
      </c>
      <c r="G177" s="787">
        <v>9773438.27</v>
      </c>
      <c r="H177" s="787">
        <v>524109</v>
      </c>
      <c r="I177" s="787">
        <v>23088722</v>
      </c>
      <c r="J177" s="787">
        <v>12791174.73</v>
      </c>
      <c r="K177" s="787">
        <v>10297547.27</v>
      </c>
      <c r="L177" s="787">
        <v>470770</v>
      </c>
      <c r="M177" s="1479">
        <f t="shared" si="6"/>
        <v>0</v>
      </c>
      <c r="O177" s="1500">
        <v>0</v>
      </c>
    </row>
    <row r="178" spans="1:15" s="295" customFormat="1" ht="15.75" customHeight="1" outlineLevel="1">
      <c r="A178" s="703" t="s">
        <v>35</v>
      </c>
      <c r="B178" s="1519" t="s">
        <v>30</v>
      </c>
      <c r="C178" s="703">
        <v>354</v>
      </c>
      <c r="D178" s="703" t="s">
        <v>78</v>
      </c>
      <c r="E178" s="787">
        <v>75439776</v>
      </c>
      <c r="F178" s="787">
        <v>43735773</v>
      </c>
      <c r="G178" s="787">
        <v>31704003</v>
      </c>
      <c r="H178" s="787">
        <v>1621961</v>
      </c>
      <c r="I178" s="787">
        <v>75439776</v>
      </c>
      <c r="J178" s="787">
        <v>42113812</v>
      </c>
      <c r="K178" s="787">
        <v>33325964</v>
      </c>
      <c r="L178" s="787">
        <v>1160612</v>
      </c>
      <c r="M178" s="1479">
        <f t="shared" si="6"/>
        <v>0</v>
      </c>
      <c r="O178" s="1500">
        <v>0</v>
      </c>
    </row>
    <row r="179" spans="1:15" s="295" customFormat="1" ht="15.75" customHeight="1" outlineLevel="1">
      <c r="A179" s="703" t="s">
        <v>35</v>
      </c>
      <c r="B179" s="1519" t="s">
        <v>30</v>
      </c>
      <c r="C179" s="703">
        <v>355</v>
      </c>
      <c r="D179" s="703" t="s">
        <v>79</v>
      </c>
      <c r="E179" s="787">
        <v>210096383</v>
      </c>
      <c r="F179" s="787">
        <v>151634239</v>
      </c>
      <c r="G179" s="787">
        <v>58462144</v>
      </c>
      <c r="H179" s="787">
        <v>5405407</v>
      </c>
      <c r="I179" s="787">
        <v>210096383</v>
      </c>
      <c r="J179" s="787">
        <v>146228832</v>
      </c>
      <c r="K179" s="787">
        <v>63867551</v>
      </c>
      <c r="L179" s="787">
        <v>3819935</v>
      </c>
      <c r="M179" s="1479">
        <f t="shared" si="6"/>
        <v>0</v>
      </c>
      <c r="O179" s="1500">
        <v>0</v>
      </c>
    </row>
    <row r="180" spans="1:15" s="295" customFormat="1" ht="15.75" customHeight="1" outlineLevel="1">
      <c r="A180" s="703" t="s">
        <v>35</v>
      </c>
      <c r="B180" s="1519" t="s">
        <v>30</v>
      </c>
      <c r="C180" s="703">
        <v>356</v>
      </c>
      <c r="D180" s="703" t="s">
        <v>80</v>
      </c>
      <c r="E180" s="787">
        <v>105799660</v>
      </c>
      <c r="F180" s="787">
        <v>62225351</v>
      </c>
      <c r="G180" s="787">
        <v>43574309</v>
      </c>
      <c r="H180" s="787">
        <v>2285265</v>
      </c>
      <c r="I180" s="787">
        <v>105799660</v>
      </c>
      <c r="J180" s="787">
        <v>59940086</v>
      </c>
      <c r="K180" s="787">
        <v>45859574</v>
      </c>
      <c r="L180" s="787">
        <v>1923631</v>
      </c>
      <c r="M180" s="1479">
        <f t="shared" si="6"/>
        <v>0</v>
      </c>
      <c r="O180" s="1500">
        <v>0</v>
      </c>
    </row>
    <row r="181" spans="1:15" s="295" customFormat="1" ht="15.75" customHeight="1" outlineLevel="1">
      <c r="A181" s="703" t="s">
        <v>35</v>
      </c>
      <c r="B181" s="1519" t="s">
        <v>30</v>
      </c>
      <c r="C181" s="703">
        <v>357</v>
      </c>
      <c r="D181" s="703" t="s">
        <v>81</v>
      </c>
      <c r="E181" s="787">
        <v>43951419</v>
      </c>
      <c r="F181" s="787">
        <v>20285420</v>
      </c>
      <c r="G181" s="787">
        <v>23665999</v>
      </c>
      <c r="H181" s="787">
        <v>615321</v>
      </c>
      <c r="I181" s="787">
        <v>43951419</v>
      </c>
      <c r="J181" s="787">
        <v>19670099</v>
      </c>
      <c r="K181" s="787">
        <v>24281320</v>
      </c>
      <c r="L181" s="787">
        <v>586019</v>
      </c>
      <c r="M181" s="1479">
        <f t="shared" si="6"/>
        <v>0</v>
      </c>
      <c r="O181" s="1500">
        <v>0</v>
      </c>
    </row>
    <row r="182" spans="1:15" s="295" customFormat="1" ht="15.75" customHeight="1" outlineLevel="1">
      <c r="A182" s="703" t="s">
        <v>35</v>
      </c>
      <c r="B182" s="1519" t="s">
        <v>30</v>
      </c>
      <c r="C182" s="703">
        <v>358</v>
      </c>
      <c r="D182" s="703" t="s">
        <v>82</v>
      </c>
      <c r="E182" s="787">
        <v>12314493</v>
      </c>
      <c r="F182" s="787">
        <v>7712164</v>
      </c>
      <c r="G182" s="787">
        <v>4602329</v>
      </c>
      <c r="H182" s="787">
        <v>279540</v>
      </c>
      <c r="I182" s="787">
        <v>12314493</v>
      </c>
      <c r="J182" s="787">
        <v>7432624</v>
      </c>
      <c r="K182" s="787">
        <v>4881869</v>
      </c>
      <c r="L182" s="787">
        <v>246290</v>
      </c>
      <c r="M182" s="1479">
        <f t="shared" si="6"/>
        <v>0</v>
      </c>
      <c r="O182" s="1500">
        <v>0</v>
      </c>
    </row>
    <row r="183" spans="1:15" s="295" customFormat="1" ht="15.75" customHeight="1" outlineLevel="1">
      <c r="A183" s="703" t="s">
        <v>35</v>
      </c>
      <c r="B183" s="1519" t="s">
        <v>30</v>
      </c>
      <c r="C183" s="703">
        <v>359</v>
      </c>
      <c r="D183" s="703" t="s">
        <v>83</v>
      </c>
      <c r="E183" s="787">
        <v>22421909</v>
      </c>
      <c r="F183" s="787">
        <v>7659769</v>
      </c>
      <c r="G183" s="787">
        <v>14762140</v>
      </c>
      <c r="H183" s="787">
        <v>224220</v>
      </c>
      <c r="I183" s="787">
        <v>22421909</v>
      </c>
      <c r="J183" s="787">
        <v>7435549</v>
      </c>
      <c r="K183" s="787">
        <v>14986360</v>
      </c>
      <c r="L183" s="787">
        <v>224220</v>
      </c>
      <c r="M183" s="1479">
        <f t="shared" si="6"/>
        <v>0</v>
      </c>
      <c r="O183" s="1500">
        <v>0</v>
      </c>
    </row>
    <row r="184" spans="1:15" s="295" customFormat="1" ht="15.75" customHeight="1" outlineLevel="1">
      <c r="A184" s="703" t="s">
        <v>35</v>
      </c>
      <c r="B184" s="1519" t="s">
        <v>191</v>
      </c>
      <c r="C184" s="703">
        <v>350</v>
      </c>
      <c r="D184" s="703" t="s">
        <v>578</v>
      </c>
      <c r="E184" s="787">
        <v>20962</v>
      </c>
      <c r="F184" s="787">
        <v>0</v>
      </c>
      <c r="G184" s="787">
        <v>20962</v>
      </c>
      <c r="H184" s="787">
        <v>0</v>
      </c>
      <c r="I184" s="787">
        <v>20962</v>
      </c>
      <c r="J184" s="787">
        <v>0</v>
      </c>
      <c r="K184" s="787">
        <v>20962</v>
      </c>
      <c r="L184" s="787">
        <v>0</v>
      </c>
      <c r="M184" s="1479">
        <f t="shared" si="6"/>
        <v>0</v>
      </c>
      <c r="O184" s="1500">
        <v>0</v>
      </c>
    </row>
    <row r="185" spans="1:15" s="295" customFormat="1" ht="15.75" customHeight="1" outlineLevel="1">
      <c r="A185" s="703" t="s">
        <v>35</v>
      </c>
      <c r="B185" s="1519" t="s">
        <v>191</v>
      </c>
      <c r="C185" s="703">
        <v>352</v>
      </c>
      <c r="D185" s="703" t="s">
        <v>73</v>
      </c>
      <c r="E185" s="787">
        <v>40268126.4</v>
      </c>
      <c r="F185" s="787">
        <v>24810486.4</v>
      </c>
      <c r="G185" s="787">
        <v>15457640</v>
      </c>
      <c r="H185" s="787">
        <v>717623</v>
      </c>
      <c r="I185" s="787">
        <v>40268126.4</v>
      </c>
      <c r="J185" s="787">
        <v>24092863.4</v>
      </c>
      <c r="K185" s="787">
        <v>16175263</v>
      </c>
      <c r="L185" s="787">
        <v>717623</v>
      </c>
      <c r="M185" s="1479">
        <f t="shared" si="6"/>
        <v>0</v>
      </c>
      <c r="O185" s="1500">
        <v>0</v>
      </c>
    </row>
    <row r="186" spans="1:15" s="295" customFormat="1" ht="15.75" customHeight="1" outlineLevel="1">
      <c r="A186" s="703" t="s">
        <v>35</v>
      </c>
      <c r="B186" s="1519" t="s">
        <v>191</v>
      </c>
      <c r="C186" s="703">
        <v>353</v>
      </c>
      <c r="D186" s="703" t="s">
        <v>20</v>
      </c>
      <c r="E186" s="787">
        <v>191779560.16000003</v>
      </c>
      <c r="F186" s="787">
        <v>119269498.47000003</v>
      </c>
      <c r="G186" s="787">
        <v>72510061.69</v>
      </c>
      <c r="H186" s="787">
        <v>4408610.57</v>
      </c>
      <c r="I186" s="787">
        <v>191703081.59000003</v>
      </c>
      <c r="J186" s="787">
        <v>114860887.90000002</v>
      </c>
      <c r="K186" s="787">
        <v>76842193.69000001</v>
      </c>
      <c r="L186" s="787">
        <v>4077292.87</v>
      </c>
      <c r="M186" s="1479">
        <f t="shared" si="6"/>
        <v>0</v>
      </c>
      <c r="O186" s="1500">
        <v>0</v>
      </c>
    </row>
    <row r="187" spans="1:15" s="295" customFormat="1" ht="15.75" customHeight="1" outlineLevel="1">
      <c r="A187" s="703" t="s">
        <v>35</v>
      </c>
      <c r="B187" s="1519" t="s">
        <v>191</v>
      </c>
      <c r="C187" s="703">
        <v>353</v>
      </c>
      <c r="D187" s="703" t="s">
        <v>207</v>
      </c>
      <c r="E187" s="787">
        <v>79805091</v>
      </c>
      <c r="F187" s="787">
        <v>5654299</v>
      </c>
      <c r="G187" s="787">
        <v>74150792</v>
      </c>
      <c r="H187" s="787">
        <v>1608459</v>
      </c>
      <c r="I187" s="787">
        <v>79805091</v>
      </c>
      <c r="J187" s="787">
        <v>4045840</v>
      </c>
      <c r="K187" s="787">
        <v>75759251</v>
      </c>
      <c r="L187" s="787">
        <v>1608459</v>
      </c>
      <c r="M187" s="1479">
        <f t="shared" si="6"/>
        <v>0</v>
      </c>
      <c r="O187" s="1500">
        <v>0</v>
      </c>
    </row>
    <row r="188" spans="1:15" s="295" customFormat="1" ht="15.75" customHeight="1" outlineLevel="1">
      <c r="A188" s="703" t="s">
        <v>35</v>
      </c>
      <c r="B188" s="1519" t="s">
        <v>191</v>
      </c>
      <c r="C188" s="703">
        <v>354</v>
      </c>
      <c r="D188" s="703" t="s">
        <v>78</v>
      </c>
      <c r="E188" s="787">
        <v>64465654</v>
      </c>
      <c r="F188" s="787">
        <v>50833017</v>
      </c>
      <c r="G188" s="787">
        <v>13632637</v>
      </c>
      <c r="H188" s="787">
        <v>1373119</v>
      </c>
      <c r="I188" s="787">
        <v>64465654</v>
      </c>
      <c r="J188" s="787">
        <v>49459898</v>
      </c>
      <c r="K188" s="787">
        <v>15005756</v>
      </c>
      <c r="L188" s="787">
        <v>991780</v>
      </c>
      <c r="M188" s="1479">
        <f t="shared" si="6"/>
        <v>0</v>
      </c>
      <c r="O188" s="1500">
        <v>0</v>
      </c>
    </row>
    <row r="189" spans="1:15" s="295" customFormat="1" ht="15.75" customHeight="1" outlineLevel="1">
      <c r="A189" s="703" t="s">
        <v>35</v>
      </c>
      <c r="B189" s="1519" t="s">
        <v>191</v>
      </c>
      <c r="C189" s="703">
        <v>355</v>
      </c>
      <c r="D189" s="703" t="s">
        <v>79</v>
      </c>
      <c r="E189" s="787">
        <v>19615058</v>
      </c>
      <c r="F189" s="787">
        <v>19408429</v>
      </c>
      <c r="G189" s="787">
        <v>206629</v>
      </c>
      <c r="H189" s="787">
        <v>504107</v>
      </c>
      <c r="I189" s="787">
        <v>19615058</v>
      </c>
      <c r="J189" s="787">
        <v>18904322</v>
      </c>
      <c r="K189" s="787">
        <v>710736</v>
      </c>
      <c r="L189" s="787">
        <v>356638</v>
      </c>
      <c r="M189" s="1479">
        <f t="shared" si="6"/>
        <v>0</v>
      </c>
      <c r="O189" s="1500">
        <v>0</v>
      </c>
    </row>
    <row r="190" spans="1:15" s="295" customFormat="1" ht="15.75" customHeight="1" outlineLevel="1">
      <c r="A190" s="703" t="s">
        <v>35</v>
      </c>
      <c r="B190" s="1519" t="s">
        <v>191</v>
      </c>
      <c r="C190" s="703">
        <v>356</v>
      </c>
      <c r="D190" s="703" t="s">
        <v>80</v>
      </c>
      <c r="E190" s="787">
        <v>42480939.78</v>
      </c>
      <c r="F190" s="787">
        <v>22408370.78</v>
      </c>
      <c r="G190" s="787">
        <v>20072569</v>
      </c>
      <c r="H190" s="787">
        <v>904835</v>
      </c>
      <c r="I190" s="787">
        <v>42480939.78</v>
      </c>
      <c r="J190" s="787">
        <v>21503535.78</v>
      </c>
      <c r="K190" s="787">
        <v>20977404</v>
      </c>
      <c r="L190" s="787">
        <v>778128</v>
      </c>
      <c r="M190" s="1479">
        <f t="shared" si="6"/>
        <v>0</v>
      </c>
      <c r="O190" s="1500">
        <v>0</v>
      </c>
    </row>
    <row r="191" spans="1:15" s="295" customFormat="1" ht="15.75" customHeight="1" outlineLevel="1">
      <c r="A191" s="703" t="s">
        <v>35</v>
      </c>
      <c r="B191" s="1519" t="s">
        <v>191</v>
      </c>
      <c r="C191" s="703">
        <v>359</v>
      </c>
      <c r="D191" s="703" t="s">
        <v>83</v>
      </c>
      <c r="E191" s="787">
        <v>5105433</v>
      </c>
      <c r="F191" s="787">
        <v>2656781</v>
      </c>
      <c r="G191" s="787">
        <v>2448652</v>
      </c>
      <c r="H191" s="787">
        <v>51055</v>
      </c>
      <c r="I191" s="787">
        <v>5105433</v>
      </c>
      <c r="J191" s="787">
        <v>2605726</v>
      </c>
      <c r="K191" s="787">
        <v>2499707</v>
      </c>
      <c r="L191" s="787">
        <v>51055</v>
      </c>
      <c r="M191" s="1479">
        <f t="shared" si="6"/>
        <v>0</v>
      </c>
      <c r="O191" s="1500">
        <v>0</v>
      </c>
    </row>
    <row r="192" spans="1:15" s="295" customFormat="1" ht="15.75" customHeight="1" outlineLevel="1">
      <c r="A192" s="703" t="s">
        <v>35</v>
      </c>
      <c r="B192" s="1519" t="s">
        <v>29</v>
      </c>
      <c r="C192" s="703">
        <v>352</v>
      </c>
      <c r="D192" s="703" t="s">
        <v>73</v>
      </c>
      <c r="E192" s="787">
        <v>24449344</v>
      </c>
      <c r="F192" s="787">
        <v>18996925</v>
      </c>
      <c r="G192" s="787">
        <v>5452419</v>
      </c>
      <c r="H192" s="787">
        <v>422977</v>
      </c>
      <c r="I192" s="787">
        <v>24449344</v>
      </c>
      <c r="J192" s="787">
        <v>18573948</v>
      </c>
      <c r="K192" s="787">
        <v>5875396</v>
      </c>
      <c r="L192" s="787">
        <v>325992</v>
      </c>
      <c r="M192" s="1479">
        <f t="shared" si="6"/>
        <v>0</v>
      </c>
      <c r="O192" s="1500">
        <v>0</v>
      </c>
    </row>
    <row r="193" spans="1:15" s="295" customFormat="1" ht="15" customHeight="1" outlineLevel="1">
      <c r="A193" s="703" t="s">
        <v>35</v>
      </c>
      <c r="B193" s="1519" t="s">
        <v>29</v>
      </c>
      <c r="C193" s="703">
        <v>353</v>
      </c>
      <c r="D193" s="703" t="s">
        <v>20</v>
      </c>
      <c r="E193" s="787">
        <v>93379947.89000002</v>
      </c>
      <c r="F193" s="787">
        <v>60115164.73</v>
      </c>
      <c r="G193" s="787">
        <v>33264783.16000002</v>
      </c>
      <c r="H193" s="787">
        <v>2038576.72</v>
      </c>
      <c r="I193" s="787">
        <v>92227462.37000002</v>
      </c>
      <c r="J193" s="787">
        <v>57206077.21</v>
      </c>
      <c r="K193" s="787">
        <v>35021385.16000002</v>
      </c>
      <c r="L193" s="787">
        <v>1898398.26</v>
      </c>
      <c r="M193" s="1479">
        <f t="shared" si="6"/>
        <v>-870510.799999997</v>
      </c>
      <c r="O193" s="1500">
        <v>-870510.799999997</v>
      </c>
    </row>
    <row r="194" spans="1:15" s="295" customFormat="1" ht="15.75" customHeight="1" outlineLevel="1">
      <c r="A194" s="703" t="s">
        <v>35</v>
      </c>
      <c r="B194" s="1519" t="s">
        <v>29</v>
      </c>
      <c r="C194" s="703">
        <v>354</v>
      </c>
      <c r="D194" s="703" t="s">
        <v>78</v>
      </c>
      <c r="E194" s="787">
        <v>18743984</v>
      </c>
      <c r="F194" s="787">
        <v>18743984</v>
      </c>
      <c r="G194" s="787">
        <v>0</v>
      </c>
      <c r="H194" s="787">
        <v>188081</v>
      </c>
      <c r="I194" s="787">
        <v>18743984</v>
      </c>
      <c r="J194" s="787">
        <v>20201219</v>
      </c>
      <c r="K194" s="787">
        <v>-1457235</v>
      </c>
      <c r="L194" s="787">
        <v>288369</v>
      </c>
      <c r="M194" s="1479">
        <f t="shared" si="6"/>
        <v>1645316</v>
      </c>
      <c r="O194" s="1500">
        <v>1645316</v>
      </c>
    </row>
    <row r="195" spans="1:15" s="295" customFormat="1" ht="15.75" customHeight="1" outlineLevel="1">
      <c r="A195" s="703" t="s">
        <v>35</v>
      </c>
      <c r="B195" s="1519" t="s">
        <v>29</v>
      </c>
      <c r="C195" s="703">
        <v>355</v>
      </c>
      <c r="D195" s="703" t="s">
        <v>79</v>
      </c>
      <c r="E195" s="787">
        <v>19726</v>
      </c>
      <c r="F195" s="787">
        <v>19726</v>
      </c>
      <c r="G195" s="787">
        <v>0</v>
      </c>
      <c r="H195" s="787">
        <v>224</v>
      </c>
      <c r="I195" s="787">
        <v>19726</v>
      </c>
      <c r="J195" s="787">
        <v>21596</v>
      </c>
      <c r="K195" s="787">
        <v>-1870</v>
      </c>
      <c r="L195" s="787">
        <v>0</v>
      </c>
      <c r="M195" s="1479">
        <f t="shared" si="6"/>
        <v>2094</v>
      </c>
      <c r="O195" s="1500">
        <v>2094</v>
      </c>
    </row>
    <row r="196" spans="1:15" s="295" customFormat="1" ht="15.75" customHeight="1" outlineLevel="1">
      <c r="A196" s="703" t="s">
        <v>35</v>
      </c>
      <c r="B196" s="1519" t="s">
        <v>29</v>
      </c>
      <c r="C196" s="703">
        <v>356</v>
      </c>
      <c r="D196" s="703" t="s">
        <v>80</v>
      </c>
      <c r="E196" s="787">
        <v>28672315</v>
      </c>
      <c r="F196" s="787">
        <v>27651335</v>
      </c>
      <c r="G196" s="787">
        <v>1020980</v>
      </c>
      <c r="H196" s="787">
        <v>659740</v>
      </c>
      <c r="I196" s="787">
        <v>28672315</v>
      </c>
      <c r="J196" s="787">
        <v>26991595</v>
      </c>
      <c r="K196" s="787">
        <v>1680720</v>
      </c>
      <c r="L196" s="787">
        <v>521315</v>
      </c>
      <c r="M196" s="1479">
        <f t="shared" si="6"/>
        <v>0</v>
      </c>
      <c r="O196" s="1500">
        <v>0</v>
      </c>
    </row>
    <row r="197" spans="1:15" s="295" customFormat="1" ht="15.75" customHeight="1" outlineLevel="1">
      <c r="A197" s="703" t="s">
        <v>35</v>
      </c>
      <c r="B197" s="1519" t="s">
        <v>29</v>
      </c>
      <c r="C197" s="703">
        <v>359</v>
      </c>
      <c r="D197" s="703" t="s">
        <v>83</v>
      </c>
      <c r="E197" s="787">
        <v>42797</v>
      </c>
      <c r="F197" s="787">
        <v>37021</v>
      </c>
      <c r="G197" s="787">
        <v>5776</v>
      </c>
      <c r="H197" s="787">
        <v>533</v>
      </c>
      <c r="I197" s="787">
        <v>42797</v>
      </c>
      <c r="J197" s="787">
        <v>36488</v>
      </c>
      <c r="K197" s="787">
        <v>6309</v>
      </c>
      <c r="L197" s="787">
        <v>428</v>
      </c>
      <c r="M197" s="1479">
        <f t="shared" si="6"/>
        <v>0</v>
      </c>
      <c r="O197" s="1500">
        <v>0</v>
      </c>
    </row>
    <row r="198" spans="1:15" s="295" customFormat="1" ht="15.75" customHeight="1" outlineLevel="1">
      <c r="A198" s="703" t="s">
        <v>35</v>
      </c>
      <c r="B198" s="1519" t="s">
        <v>184</v>
      </c>
      <c r="C198" s="703">
        <v>352</v>
      </c>
      <c r="D198" s="703" t="s">
        <v>73</v>
      </c>
      <c r="E198" s="787">
        <v>12343417.09</v>
      </c>
      <c r="F198" s="787">
        <v>7375543.488275954</v>
      </c>
      <c r="G198" s="787">
        <v>4967873.601724046</v>
      </c>
      <c r="H198" s="787">
        <v>233976.9282759541</v>
      </c>
      <c r="I198" s="787">
        <v>13452394.09</v>
      </c>
      <c r="J198" s="787">
        <v>7141566.56</v>
      </c>
      <c r="K198" s="787">
        <v>6310827.53</v>
      </c>
      <c r="L198" s="787">
        <v>195277</v>
      </c>
      <c r="M198" s="1479">
        <f t="shared" si="6"/>
        <v>0</v>
      </c>
      <c r="O198" s="1500">
        <v>0</v>
      </c>
    </row>
    <row r="199" spans="1:15" s="295" customFormat="1" ht="15.75" customHeight="1" outlineLevel="1">
      <c r="A199" s="703" t="s">
        <v>35</v>
      </c>
      <c r="B199" s="1519" t="s">
        <v>184</v>
      </c>
      <c r="C199" s="703">
        <v>353</v>
      </c>
      <c r="D199" s="703" t="s">
        <v>20</v>
      </c>
      <c r="E199" s="787">
        <v>137716425.04</v>
      </c>
      <c r="F199" s="787">
        <v>76849627.71452275</v>
      </c>
      <c r="G199" s="787">
        <v>60866797.32547724</v>
      </c>
      <c r="H199" s="787">
        <v>3586876.9945227294</v>
      </c>
      <c r="I199" s="787">
        <v>134885128.56</v>
      </c>
      <c r="J199" s="787">
        <v>72550200.72000001</v>
      </c>
      <c r="K199" s="787">
        <v>62334927.83999999</v>
      </c>
      <c r="L199" s="787">
        <v>3128598.01</v>
      </c>
      <c r="M199" s="1479">
        <f t="shared" si="6"/>
        <v>-712550</v>
      </c>
      <c r="O199" s="1500">
        <v>-712550</v>
      </c>
    </row>
    <row r="200" spans="1:15" s="295" customFormat="1" ht="15.75" customHeight="1" outlineLevel="1">
      <c r="A200" s="703" t="s">
        <v>35</v>
      </c>
      <c r="B200" s="1519" t="s">
        <v>184</v>
      </c>
      <c r="C200" s="703">
        <v>354</v>
      </c>
      <c r="D200" s="703" t="s">
        <v>78</v>
      </c>
      <c r="E200" s="787">
        <v>15185237</v>
      </c>
      <c r="F200" s="787">
        <v>13176150.782848502</v>
      </c>
      <c r="G200" s="787">
        <v>2009086.2171514984</v>
      </c>
      <c r="H200" s="787">
        <v>350787.78284850105</v>
      </c>
      <c r="I200" s="787">
        <v>15185237</v>
      </c>
      <c r="J200" s="787">
        <v>12825363</v>
      </c>
      <c r="K200" s="787">
        <v>2359874</v>
      </c>
      <c r="L200" s="787">
        <v>233620</v>
      </c>
      <c r="M200" s="1479">
        <f t="shared" si="6"/>
        <v>0</v>
      </c>
      <c r="O200" s="1500">
        <v>0</v>
      </c>
    </row>
    <row r="201" spans="1:15" s="295" customFormat="1" ht="15.75" customHeight="1" outlineLevel="1">
      <c r="A201" s="703" t="s">
        <v>35</v>
      </c>
      <c r="B201" s="1519" t="s">
        <v>184</v>
      </c>
      <c r="C201" s="703">
        <v>355</v>
      </c>
      <c r="D201" s="703" t="s">
        <v>79</v>
      </c>
      <c r="E201" s="787">
        <v>6427665</v>
      </c>
      <c r="F201" s="787">
        <v>6427664.902099458</v>
      </c>
      <c r="G201" s="787">
        <v>0</v>
      </c>
      <c r="H201" s="787">
        <v>52823.902099457344</v>
      </c>
      <c r="I201" s="787">
        <v>6427665</v>
      </c>
      <c r="J201" s="787">
        <v>7061552</v>
      </c>
      <c r="K201" s="787">
        <v>-633887</v>
      </c>
      <c r="L201" s="787">
        <v>0</v>
      </c>
      <c r="M201" s="1479">
        <f t="shared" si="6"/>
        <v>686711</v>
      </c>
      <c r="O201" s="1500">
        <v>686711</v>
      </c>
    </row>
    <row r="202" spans="1:15" s="295" customFormat="1" ht="15.75" customHeight="1" outlineLevel="1">
      <c r="A202" s="703" t="s">
        <v>35</v>
      </c>
      <c r="B202" s="1519" t="s">
        <v>184</v>
      </c>
      <c r="C202" s="703">
        <v>356</v>
      </c>
      <c r="D202" s="703" t="s">
        <v>80</v>
      </c>
      <c r="E202" s="787">
        <v>15472585</v>
      </c>
      <c r="F202" s="787">
        <v>13746684.881905524</v>
      </c>
      <c r="G202" s="787">
        <v>1725900.118094476</v>
      </c>
      <c r="H202" s="787">
        <v>345039.8819055244</v>
      </c>
      <c r="I202" s="787">
        <v>15472585</v>
      </c>
      <c r="J202" s="787">
        <v>13401645</v>
      </c>
      <c r="K202" s="787">
        <v>2070940</v>
      </c>
      <c r="L202" s="787">
        <v>281320</v>
      </c>
      <c r="M202" s="1479">
        <f t="shared" si="6"/>
        <v>0</v>
      </c>
      <c r="O202" s="1500">
        <v>0</v>
      </c>
    </row>
    <row r="203" spans="1:15" s="295" customFormat="1" ht="15.75" customHeight="1" outlineLevel="1">
      <c r="A203" s="703" t="s">
        <v>35</v>
      </c>
      <c r="B203" s="1519" t="s">
        <v>184</v>
      </c>
      <c r="C203" s="703">
        <v>357</v>
      </c>
      <c r="D203" s="703" t="s">
        <v>81</v>
      </c>
      <c r="E203" s="787">
        <v>61047</v>
      </c>
      <c r="F203" s="787">
        <v>61047</v>
      </c>
      <c r="G203" s="787">
        <v>0</v>
      </c>
      <c r="H203" s="787">
        <v>59.999888799928826</v>
      </c>
      <c r="I203" s="787">
        <v>61047</v>
      </c>
      <c r="J203" s="787">
        <v>61769</v>
      </c>
      <c r="K203" s="787">
        <v>-722</v>
      </c>
      <c r="L203" s="787">
        <v>0</v>
      </c>
      <c r="M203" s="1479">
        <f t="shared" si="6"/>
        <v>781.9998887999318</v>
      </c>
      <c r="O203" s="1500">
        <v>782</v>
      </c>
    </row>
    <row r="204" spans="1:15" s="295" customFormat="1" ht="15.75" customHeight="1" outlineLevel="1">
      <c r="A204" s="703" t="s">
        <v>35</v>
      </c>
      <c r="B204" s="1519" t="s">
        <v>184</v>
      </c>
      <c r="C204" s="703">
        <v>358</v>
      </c>
      <c r="D204" s="703" t="s">
        <v>82</v>
      </c>
      <c r="E204" s="787">
        <v>1186661</v>
      </c>
      <c r="F204" s="787">
        <v>1186661</v>
      </c>
      <c r="G204" s="787">
        <v>0</v>
      </c>
      <c r="H204" s="787">
        <v>27777.992505115202</v>
      </c>
      <c r="I204" s="787">
        <v>1186661</v>
      </c>
      <c r="J204" s="787">
        <v>1183940</v>
      </c>
      <c r="K204" s="787">
        <v>2721</v>
      </c>
      <c r="L204" s="787">
        <v>23734</v>
      </c>
      <c r="M204" s="1479">
        <f t="shared" si="6"/>
        <v>25056.992505115224</v>
      </c>
      <c r="O204" s="1500">
        <v>25057</v>
      </c>
    </row>
    <row r="205" spans="1:15" s="295" customFormat="1" ht="15.75" customHeight="1" outlineLevel="1">
      <c r="A205" s="703" t="s">
        <v>35</v>
      </c>
      <c r="B205" s="1519" t="s">
        <v>184</v>
      </c>
      <c r="C205" s="703">
        <v>359</v>
      </c>
      <c r="D205" s="703" t="s">
        <v>83</v>
      </c>
      <c r="E205" s="787">
        <v>193299</v>
      </c>
      <c r="F205" s="787">
        <v>125488.99795391869</v>
      </c>
      <c r="G205" s="787">
        <v>67810.00204608131</v>
      </c>
      <c r="H205" s="787">
        <v>3036.9979539186907</v>
      </c>
      <c r="I205" s="787">
        <v>193299</v>
      </c>
      <c r="J205" s="787">
        <v>122452</v>
      </c>
      <c r="K205" s="787">
        <v>70847</v>
      </c>
      <c r="L205" s="787">
        <v>1933</v>
      </c>
      <c r="M205" s="1479">
        <f t="shared" si="6"/>
        <v>0</v>
      </c>
      <c r="O205" s="1500">
        <v>0</v>
      </c>
    </row>
    <row r="206" spans="1:15" s="295" customFormat="1" ht="15.75" customHeight="1" outlineLevel="1">
      <c r="A206" s="703" t="s">
        <v>35</v>
      </c>
      <c r="B206" s="1519" t="s">
        <v>166</v>
      </c>
      <c r="C206" s="703">
        <v>353</v>
      </c>
      <c r="D206" s="703" t="s">
        <v>179</v>
      </c>
      <c r="E206" s="787">
        <v>85139760.3</v>
      </c>
      <c r="F206" s="787">
        <v>25847224.540000003</v>
      </c>
      <c r="G206" s="787">
        <v>59292535.75999999</v>
      </c>
      <c r="H206" s="787">
        <v>2730448.78</v>
      </c>
      <c r="I206" s="787">
        <v>85223562.52</v>
      </c>
      <c r="J206" s="787">
        <v>22412054.76</v>
      </c>
      <c r="K206" s="787">
        <v>62811507.75999999</v>
      </c>
      <c r="L206" s="787">
        <v>2731967.6</v>
      </c>
      <c r="M206" s="1479">
        <f t="shared" si="6"/>
        <v>-704721</v>
      </c>
      <c r="O206" s="1500">
        <v>-704721</v>
      </c>
    </row>
    <row r="207" spans="1:15" s="295" customFormat="1" ht="15.75" customHeight="1" outlineLevel="1">
      <c r="A207" s="703" t="s">
        <v>35</v>
      </c>
      <c r="B207" s="1519" t="s">
        <v>577</v>
      </c>
      <c r="C207" s="703">
        <v>352</v>
      </c>
      <c r="D207" s="703" t="s">
        <v>73</v>
      </c>
      <c r="E207" s="787">
        <v>0</v>
      </c>
      <c r="F207" s="787"/>
      <c r="G207" s="787">
        <v>0</v>
      </c>
      <c r="H207" s="787">
        <v>0</v>
      </c>
      <c r="I207" s="787">
        <v>0</v>
      </c>
      <c r="J207" s="787"/>
      <c r="K207" s="787">
        <v>0</v>
      </c>
      <c r="L207" s="787"/>
      <c r="M207" s="1479">
        <f t="shared" si="6"/>
        <v>0</v>
      </c>
      <c r="O207" s="1500">
        <v>0</v>
      </c>
    </row>
    <row r="208" spans="1:15" s="295" customFormat="1" ht="15.75" customHeight="1" outlineLevel="1">
      <c r="A208" s="703" t="s">
        <v>35</v>
      </c>
      <c r="B208" s="1519" t="s">
        <v>577</v>
      </c>
      <c r="C208" s="703">
        <v>353</v>
      </c>
      <c r="D208" s="703" t="s">
        <v>20</v>
      </c>
      <c r="E208" s="787">
        <v>60481915</v>
      </c>
      <c r="F208" s="787">
        <v>13608463</v>
      </c>
      <c r="G208" s="787">
        <v>46873452</v>
      </c>
      <c r="H208" s="787">
        <v>3024102</v>
      </c>
      <c r="I208" s="787">
        <v>60481915</v>
      </c>
      <c r="J208" s="787">
        <v>10584361</v>
      </c>
      <c r="K208" s="787">
        <v>49897554</v>
      </c>
      <c r="L208" s="787">
        <v>3024102</v>
      </c>
      <c r="M208" s="1479">
        <f t="shared" si="6"/>
        <v>0</v>
      </c>
      <c r="O208" s="1500">
        <v>0</v>
      </c>
    </row>
    <row r="209" spans="1:15" s="295" customFormat="1" ht="15.75" customHeight="1" outlineLevel="1">
      <c r="A209" s="703" t="s">
        <v>35</v>
      </c>
      <c r="B209" s="1519" t="s">
        <v>577</v>
      </c>
      <c r="C209" s="703">
        <v>354</v>
      </c>
      <c r="D209" s="703" t="s">
        <v>78</v>
      </c>
      <c r="E209" s="787">
        <v>0</v>
      </c>
      <c r="F209" s="787">
        <v>0</v>
      </c>
      <c r="G209" s="787">
        <v>0</v>
      </c>
      <c r="H209" s="787">
        <v>0</v>
      </c>
      <c r="I209" s="787">
        <v>0</v>
      </c>
      <c r="J209" s="787">
        <v>0</v>
      </c>
      <c r="K209" s="787">
        <v>0</v>
      </c>
      <c r="L209" s="787">
        <v>0</v>
      </c>
      <c r="M209" s="1479">
        <f aca="true" t="shared" si="8" ref="M209:M272">H209+J209-F209</f>
        <v>0</v>
      </c>
      <c r="O209" s="1500">
        <v>0</v>
      </c>
    </row>
    <row r="210" spans="1:15" s="295" customFormat="1" ht="15.75" customHeight="1" outlineLevel="1">
      <c r="A210" s="703" t="s">
        <v>35</v>
      </c>
      <c r="B210" s="1519" t="s">
        <v>577</v>
      </c>
      <c r="C210" s="703">
        <v>355</v>
      </c>
      <c r="D210" s="703" t="s">
        <v>79</v>
      </c>
      <c r="E210" s="787">
        <v>0</v>
      </c>
      <c r="F210" s="787">
        <v>0</v>
      </c>
      <c r="G210" s="787">
        <v>0</v>
      </c>
      <c r="H210" s="787">
        <v>0</v>
      </c>
      <c r="I210" s="787">
        <v>0</v>
      </c>
      <c r="J210" s="787">
        <v>0</v>
      </c>
      <c r="K210" s="787">
        <v>0</v>
      </c>
      <c r="L210" s="787">
        <v>0</v>
      </c>
      <c r="M210" s="1479">
        <f t="shared" si="8"/>
        <v>0</v>
      </c>
      <c r="O210" s="1500">
        <v>0</v>
      </c>
    </row>
    <row r="211" spans="1:15" s="295" customFormat="1" ht="15.75" customHeight="1" outlineLevel="1">
      <c r="A211" s="703" t="s">
        <v>35</v>
      </c>
      <c r="B211" s="1519" t="s">
        <v>577</v>
      </c>
      <c r="C211" s="703">
        <v>356</v>
      </c>
      <c r="D211" s="703" t="s">
        <v>80</v>
      </c>
      <c r="E211" s="787">
        <v>0</v>
      </c>
      <c r="F211" s="787">
        <v>0</v>
      </c>
      <c r="G211" s="787">
        <v>0</v>
      </c>
      <c r="H211" s="787"/>
      <c r="I211" s="787">
        <v>0</v>
      </c>
      <c r="J211" s="787">
        <v>0</v>
      </c>
      <c r="K211" s="787">
        <v>0</v>
      </c>
      <c r="L211" s="787"/>
      <c r="M211" s="1479">
        <f t="shared" si="8"/>
        <v>0</v>
      </c>
      <c r="O211" s="1500">
        <v>0</v>
      </c>
    </row>
    <row r="212" spans="1:15" s="295" customFormat="1" ht="15.75" customHeight="1" outlineLevel="1">
      <c r="A212" s="703" t="s">
        <v>35</v>
      </c>
      <c r="B212" s="1519" t="s">
        <v>577</v>
      </c>
      <c r="C212" s="703">
        <v>357</v>
      </c>
      <c r="D212" s="703" t="s">
        <v>81</v>
      </c>
      <c r="E212" s="787">
        <v>24644166</v>
      </c>
      <c r="F212" s="787">
        <v>5544941</v>
      </c>
      <c r="G212" s="787">
        <v>19099225</v>
      </c>
      <c r="H212" s="787">
        <v>1232209</v>
      </c>
      <c r="I212" s="787">
        <v>24644166</v>
      </c>
      <c r="J212" s="787">
        <v>4312732</v>
      </c>
      <c r="K212" s="787">
        <v>20331434</v>
      </c>
      <c r="L212" s="787">
        <v>1232209</v>
      </c>
      <c r="M212" s="1479">
        <f>H212+J212-F212</f>
        <v>0</v>
      </c>
      <c r="O212" s="1500">
        <v>0</v>
      </c>
    </row>
    <row r="213" spans="1:15" s="295" customFormat="1" ht="15.75" customHeight="1" outlineLevel="1">
      <c r="A213" s="703" t="s">
        <v>35</v>
      </c>
      <c r="B213" s="1519" t="s">
        <v>577</v>
      </c>
      <c r="C213" s="703">
        <v>358</v>
      </c>
      <c r="D213" s="703" t="s">
        <v>82</v>
      </c>
      <c r="E213" s="787">
        <v>0</v>
      </c>
      <c r="F213" s="787">
        <v>0</v>
      </c>
      <c r="G213" s="787">
        <v>0</v>
      </c>
      <c r="H213" s="787">
        <v>0</v>
      </c>
      <c r="I213" s="787">
        <v>0</v>
      </c>
      <c r="J213" s="787">
        <v>0</v>
      </c>
      <c r="K213" s="787">
        <v>0</v>
      </c>
      <c r="L213" s="787">
        <v>0</v>
      </c>
      <c r="M213" s="1479">
        <f t="shared" si="8"/>
        <v>0</v>
      </c>
      <c r="O213" s="1500">
        <v>0</v>
      </c>
    </row>
    <row r="214" spans="1:15" s="295" customFormat="1" ht="15.75" customHeight="1" outlineLevel="1">
      <c r="A214" s="703" t="s">
        <v>35</v>
      </c>
      <c r="B214" s="1519" t="s">
        <v>577</v>
      </c>
      <c r="C214" s="703">
        <v>359</v>
      </c>
      <c r="D214" s="703" t="s">
        <v>83</v>
      </c>
      <c r="E214" s="787">
        <v>0</v>
      </c>
      <c r="F214" s="787">
        <v>0</v>
      </c>
      <c r="G214" s="787">
        <v>0</v>
      </c>
      <c r="H214" s="787">
        <v>0</v>
      </c>
      <c r="I214" s="787">
        <v>0</v>
      </c>
      <c r="J214" s="787">
        <v>0</v>
      </c>
      <c r="K214" s="787">
        <v>0</v>
      </c>
      <c r="L214" s="787">
        <v>0</v>
      </c>
      <c r="M214" s="1479">
        <f t="shared" si="8"/>
        <v>0</v>
      </c>
      <c r="O214" s="1500">
        <v>0</v>
      </c>
    </row>
    <row r="215" spans="1:15" s="295" customFormat="1" ht="15.75" customHeight="1" outlineLevel="1">
      <c r="A215" s="703" t="s">
        <v>35</v>
      </c>
      <c r="B215" s="1519" t="s">
        <v>177</v>
      </c>
      <c r="C215" s="703">
        <v>353</v>
      </c>
      <c r="D215" s="703" t="s">
        <v>179</v>
      </c>
      <c r="E215" s="787">
        <v>6324138</v>
      </c>
      <c r="F215" s="787">
        <v>5472804.23</v>
      </c>
      <c r="G215" s="787">
        <v>851333.7699999996</v>
      </c>
      <c r="H215" s="787">
        <v>262877</v>
      </c>
      <c r="I215" s="787">
        <v>6324138</v>
      </c>
      <c r="J215" s="787">
        <v>5209927.23</v>
      </c>
      <c r="K215" s="787">
        <v>1114210.7699999996</v>
      </c>
      <c r="L215" s="787">
        <v>262877</v>
      </c>
      <c r="M215" s="1479">
        <f t="shared" si="8"/>
        <v>0</v>
      </c>
      <c r="O215" s="1500">
        <v>0</v>
      </c>
    </row>
    <row r="216" spans="1:15" s="295" customFormat="1" ht="15.75" customHeight="1" outlineLevel="1">
      <c r="A216" s="703" t="s">
        <v>35</v>
      </c>
      <c r="B216" s="1519" t="s">
        <v>170</v>
      </c>
      <c r="C216" s="703">
        <v>353</v>
      </c>
      <c r="D216" s="703" t="s">
        <v>179</v>
      </c>
      <c r="E216" s="787">
        <v>2395536</v>
      </c>
      <c r="F216" s="787">
        <v>983045</v>
      </c>
      <c r="G216" s="787">
        <v>1412491</v>
      </c>
      <c r="H216" s="787">
        <v>39926</v>
      </c>
      <c r="I216" s="787">
        <v>2395536</v>
      </c>
      <c r="J216" s="787">
        <v>943119</v>
      </c>
      <c r="K216" s="787">
        <v>1452417</v>
      </c>
      <c r="L216" s="787">
        <v>39926</v>
      </c>
      <c r="M216" s="1479">
        <f t="shared" si="8"/>
        <v>0</v>
      </c>
      <c r="O216" s="1500">
        <v>0</v>
      </c>
    </row>
    <row r="217" spans="1:15" s="295" customFormat="1" ht="15" customHeight="1" outlineLevel="1">
      <c r="A217" s="703" t="s">
        <v>35</v>
      </c>
      <c r="B217" s="1519" t="s">
        <v>173</v>
      </c>
      <c r="C217" s="703">
        <v>353</v>
      </c>
      <c r="D217" s="703" t="s">
        <v>179</v>
      </c>
      <c r="E217" s="787">
        <v>11387084.28</v>
      </c>
      <c r="F217" s="787">
        <v>4614239.28</v>
      </c>
      <c r="G217" s="787">
        <v>6772844.999999999</v>
      </c>
      <c r="H217" s="787">
        <v>314064.65</v>
      </c>
      <c r="I217" s="787">
        <v>11141011.629999999</v>
      </c>
      <c r="J217" s="787">
        <v>4300174.63</v>
      </c>
      <c r="K217" s="787">
        <v>6840836.999999999</v>
      </c>
      <c r="L217" s="787">
        <v>308044.76</v>
      </c>
      <c r="M217" s="1479">
        <f t="shared" si="8"/>
        <v>0</v>
      </c>
      <c r="O217" s="1500">
        <v>0</v>
      </c>
    </row>
    <row r="218" spans="1:15" s="295" customFormat="1" ht="15.75" customHeight="1" outlineLevel="1">
      <c r="A218" s="703" t="s">
        <v>35</v>
      </c>
      <c r="B218" s="1519" t="s">
        <v>174</v>
      </c>
      <c r="C218" s="703">
        <v>353</v>
      </c>
      <c r="D218" s="703" t="s">
        <v>179</v>
      </c>
      <c r="E218" s="787">
        <v>28715227.16</v>
      </c>
      <c r="F218" s="787">
        <v>25744037.33</v>
      </c>
      <c r="G218" s="787">
        <v>2971189.830000002</v>
      </c>
      <c r="H218" s="787">
        <v>2396123</v>
      </c>
      <c r="I218" s="787">
        <v>28715227.16</v>
      </c>
      <c r="J218" s="787">
        <v>23347914.33</v>
      </c>
      <c r="K218" s="787">
        <v>5367312.830000002</v>
      </c>
      <c r="L218" s="787">
        <v>2396825</v>
      </c>
      <c r="M218" s="1479">
        <f t="shared" si="8"/>
        <v>0</v>
      </c>
      <c r="O218" s="1500">
        <v>0</v>
      </c>
    </row>
    <row r="219" spans="1:15" s="295" customFormat="1" ht="15.75" customHeight="1" outlineLevel="1">
      <c r="A219" s="703" t="s">
        <v>35</v>
      </c>
      <c r="B219" s="1519" t="s">
        <v>175</v>
      </c>
      <c r="C219" s="703">
        <v>353</v>
      </c>
      <c r="D219" s="703" t="s">
        <v>179</v>
      </c>
      <c r="E219" s="787">
        <v>19713612.19</v>
      </c>
      <c r="F219" s="787">
        <v>18235629.19</v>
      </c>
      <c r="G219" s="787">
        <v>1477983</v>
      </c>
      <c r="H219" s="787">
        <v>994166.3500000001</v>
      </c>
      <c r="I219" s="787">
        <v>20017963.84</v>
      </c>
      <c r="J219" s="787">
        <v>17241462.84</v>
      </c>
      <c r="K219" s="787">
        <v>2776501</v>
      </c>
      <c r="L219" s="787">
        <v>994857.5700000001</v>
      </c>
      <c r="M219" s="1479">
        <f t="shared" si="8"/>
        <v>0</v>
      </c>
      <c r="O219" s="1500">
        <v>0</v>
      </c>
    </row>
    <row r="220" spans="1:15" s="295" customFormat="1" ht="15.75" customHeight="1" outlineLevel="1">
      <c r="A220" s="703" t="s">
        <v>35</v>
      </c>
      <c r="B220" s="1519" t="s">
        <v>176</v>
      </c>
      <c r="C220" s="703">
        <v>353</v>
      </c>
      <c r="D220" s="703" t="s">
        <v>179</v>
      </c>
      <c r="E220" s="787">
        <v>18598055.07</v>
      </c>
      <c r="F220" s="787">
        <v>15210791.069999998</v>
      </c>
      <c r="G220" s="787">
        <v>3387264.000000002</v>
      </c>
      <c r="H220" s="787">
        <v>943977.45</v>
      </c>
      <c r="I220" s="787">
        <v>16769258.62</v>
      </c>
      <c r="J220" s="787">
        <v>14266813.62</v>
      </c>
      <c r="K220" s="787">
        <v>2502445</v>
      </c>
      <c r="L220" s="787">
        <v>843079</v>
      </c>
      <c r="M220" s="1479">
        <f t="shared" si="8"/>
        <v>0</v>
      </c>
      <c r="O220" s="1500">
        <v>0</v>
      </c>
    </row>
    <row r="221" spans="1:15" s="295" customFormat="1" ht="15.75" customHeight="1" outlineLevel="1">
      <c r="A221" s="703" t="s">
        <v>35</v>
      </c>
      <c r="B221" s="1519" t="s">
        <v>182</v>
      </c>
      <c r="C221" s="703">
        <v>353</v>
      </c>
      <c r="D221" s="703" t="s">
        <v>179</v>
      </c>
      <c r="E221" s="787">
        <v>4302254</v>
      </c>
      <c r="F221" s="787">
        <v>1765498</v>
      </c>
      <c r="G221" s="787">
        <v>2536756</v>
      </c>
      <c r="H221" s="787">
        <v>71705</v>
      </c>
      <c r="I221" s="787">
        <v>4302254</v>
      </c>
      <c r="J221" s="787">
        <v>1693793</v>
      </c>
      <c r="K221" s="787">
        <v>2608461</v>
      </c>
      <c r="L221" s="787">
        <v>71705</v>
      </c>
      <c r="M221" s="1479">
        <f t="shared" si="8"/>
        <v>0</v>
      </c>
      <c r="O221" s="1500">
        <v>0</v>
      </c>
    </row>
    <row r="222" spans="1:15" s="295" customFormat="1" ht="15.75" customHeight="1" outlineLevel="1">
      <c r="A222" s="703" t="s">
        <v>35</v>
      </c>
      <c r="B222" s="1519" t="s">
        <v>187</v>
      </c>
      <c r="C222" s="703">
        <v>353</v>
      </c>
      <c r="D222" s="703" t="s">
        <v>179</v>
      </c>
      <c r="E222" s="787">
        <v>10365797</v>
      </c>
      <c r="F222" s="787">
        <v>9337363.280000001</v>
      </c>
      <c r="G222" s="787">
        <v>1028433.7199999988</v>
      </c>
      <c r="H222" s="787">
        <v>469983</v>
      </c>
      <c r="I222" s="787">
        <v>10365797</v>
      </c>
      <c r="J222" s="787">
        <v>8867380.280000001</v>
      </c>
      <c r="K222" s="787">
        <v>1498416.7199999988</v>
      </c>
      <c r="L222" s="787">
        <v>470339</v>
      </c>
      <c r="M222" s="1479">
        <f t="shared" si="8"/>
        <v>0</v>
      </c>
      <c r="O222" s="1500">
        <v>0</v>
      </c>
    </row>
    <row r="223" spans="1:15" s="295" customFormat="1" ht="15.75" customHeight="1" outlineLevel="1">
      <c r="A223" s="703" t="s">
        <v>35</v>
      </c>
      <c r="B223" s="1519" t="s">
        <v>181</v>
      </c>
      <c r="C223" s="703">
        <v>352</v>
      </c>
      <c r="D223" s="703" t="s">
        <v>73</v>
      </c>
      <c r="E223" s="787">
        <v>69748</v>
      </c>
      <c r="F223" s="787">
        <v>57196.64</v>
      </c>
      <c r="G223" s="787">
        <v>12551.36</v>
      </c>
      <c r="H223" s="787">
        <v>-472.3600000000001</v>
      </c>
      <c r="I223" s="787">
        <v>69748</v>
      </c>
      <c r="J223" s="787">
        <v>57669</v>
      </c>
      <c r="K223" s="787">
        <v>12079</v>
      </c>
      <c r="L223" s="787">
        <v>1744</v>
      </c>
      <c r="M223" s="1479">
        <f t="shared" si="8"/>
        <v>0</v>
      </c>
      <c r="O223" s="1500">
        <v>0</v>
      </c>
    </row>
    <row r="224" spans="1:15" s="295" customFormat="1" ht="15.75" customHeight="1" outlineLevel="1">
      <c r="A224" s="703" t="s">
        <v>35</v>
      </c>
      <c r="B224" s="1519" t="s">
        <v>181</v>
      </c>
      <c r="C224" s="703">
        <v>353</v>
      </c>
      <c r="D224" s="703" t="s">
        <v>20</v>
      </c>
      <c r="E224" s="787">
        <v>14716023</v>
      </c>
      <c r="F224" s="787">
        <v>14716022.59</v>
      </c>
      <c r="G224" s="787">
        <v>0</v>
      </c>
      <c r="H224" s="787">
        <v>-100511.41000000003</v>
      </c>
      <c r="I224" s="787">
        <v>14716023</v>
      </c>
      <c r="J224" s="787">
        <v>15125821</v>
      </c>
      <c r="K224" s="787">
        <v>-409798</v>
      </c>
      <c r="L224" s="787">
        <v>367901</v>
      </c>
      <c r="M224" s="1479">
        <f t="shared" si="8"/>
        <v>309287</v>
      </c>
      <c r="O224" s="1500">
        <v>309287</v>
      </c>
    </row>
    <row r="225" spans="1:15" s="295" customFormat="1" ht="15.75" customHeight="1" outlineLevel="1">
      <c r="A225" s="703" t="s">
        <v>35</v>
      </c>
      <c r="B225" s="1521" t="s">
        <v>181</v>
      </c>
      <c r="C225" s="703">
        <v>357</v>
      </c>
      <c r="D225" s="703" t="s">
        <v>81</v>
      </c>
      <c r="E225" s="787">
        <v>16192845</v>
      </c>
      <c r="F225" s="787">
        <v>16192845.03</v>
      </c>
      <c r="G225" s="787">
        <v>0</v>
      </c>
      <c r="H225" s="787">
        <v>-110593.96999999997</v>
      </c>
      <c r="I225" s="787">
        <v>16192845</v>
      </c>
      <c r="J225" s="787">
        <v>16698873</v>
      </c>
      <c r="K225" s="787">
        <v>-506028</v>
      </c>
      <c r="L225" s="787">
        <v>404822</v>
      </c>
      <c r="M225" s="1479">
        <f t="shared" si="8"/>
        <v>395434</v>
      </c>
      <c r="O225" s="1500">
        <v>395434</v>
      </c>
    </row>
    <row r="226" spans="1:15" s="293" customFormat="1" ht="15.75" customHeight="1" outlineLevel="1">
      <c r="A226" s="703" t="s">
        <v>35</v>
      </c>
      <c r="B226" s="1519" t="s">
        <v>181</v>
      </c>
      <c r="C226" s="703">
        <v>358</v>
      </c>
      <c r="D226" s="703" t="s">
        <v>82</v>
      </c>
      <c r="E226" s="787">
        <v>14726135</v>
      </c>
      <c r="F226" s="787">
        <v>14033965.74</v>
      </c>
      <c r="G226" s="787">
        <v>692169.2599999998</v>
      </c>
      <c r="H226" s="787">
        <v>-100580.26000000001</v>
      </c>
      <c r="I226" s="787">
        <v>14726135</v>
      </c>
      <c r="J226" s="787">
        <v>14134546</v>
      </c>
      <c r="K226" s="787">
        <v>591589</v>
      </c>
      <c r="L226" s="787">
        <v>368154</v>
      </c>
      <c r="M226" s="1479">
        <f t="shared" si="8"/>
        <v>0</v>
      </c>
      <c r="O226" s="1497">
        <v>0</v>
      </c>
    </row>
    <row r="227" spans="1:15" s="293" customFormat="1" ht="15.75" customHeight="1" outlineLevel="1">
      <c r="A227" s="703" t="s">
        <v>35</v>
      </c>
      <c r="B227" s="1519" t="s">
        <v>188</v>
      </c>
      <c r="C227" s="703">
        <v>353</v>
      </c>
      <c r="D227" s="703" t="s">
        <v>179</v>
      </c>
      <c r="E227" s="787">
        <v>11520027</v>
      </c>
      <c r="F227" s="787">
        <v>10158982.05</v>
      </c>
      <c r="G227" s="787">
        <v>1361044.9499999993</v>
      </c>
      <c r="H227" s="787">
        <v>693368</v>
      </c>
      <c r="I227" s="787">
        <v>11520027</v>
      </c>
      <c r="J227" s="787">
        <v>9465614.05</v>
      </c>
      <c r="K227" s="787">
        <v>2054412.9499999993</v>
      </c>
      <c r="L227" s="787">
        <v>693724</v>
      </c>
      <c r="M227" s="1479">
        <f t="shared" si="8"/>
        <v>0</v>
      </c>
      <c r="O227" s="1497">
        <v>0</v>
      </c>
    </row>
    <row r="228" spans="1:15" s="293" customFormat="1" ht="15.75" customHeight="1" outlineLevel="1">
      <c r="A228" s="703" t="s">
        <v>35</v>
      </c>
      <c r="B228" s="1519" t="s">
        <v>189</v>
      </c>
      <c r="C228" s="703">
        <v>353</v>
      </c>
      <c r="D228" s="703" t="s">
        <v>179</v>
      </c>
      <c r="E228" s="787">
        <v>16526683</v>
      </c>
      <c r="F228" s="787">
        <v>6636442.85</v>
      </c>
      <c r="G228" s="787">
        <v>9890240.15</v>
      </c>
      <c r="H228" s="787">
        <v>0</v>
      </c>
      <c r="I228" s="787">
        <v>16526683</v>
      </c>
      <c r="J228" s="787">
        <v>6636442.85</v>
      </c>
      <c r="K228" s="787">
        <v>9890240.15</v>
      </c>
      <c r="L228" s="787">
        <v>0</v>
      </c>
      <c r="M228" s="1479">
        <f t="shared" si="8"/>
        <v>0</v>
      </c>
      <c r="O228" s="1497">
        <v>0</v>
      </c>
    </row>
    <row r="229" spans="1:15" s="293" customFormat="1" ht="15.75" customHeight="1" outlineLevel="1">
      <c r="A229" s="703" t="s">
        <v>35</v>
      </c>
      <c r="B229" s="1519" t="s">
        <v>185</v>
      </c>
      <c r="C229" s="703">
        <v>353</v>
      </c>
      <c r="D229" s="703" t="s">
        <v>179</v>
      </c>
      <c r="E229" s="787">
        <v>663158</v>
      </c>
      <c r="F229" s="787">
        <v>272142</v>
      </c>
      <c r="G229" s="787">
        <v>391016</v>
      </c>
      <c r="H229" s="787">
        <v>11053</v>
      </c>
      <c r="I229" s="787">
        <v>663158</v>
      </c>
      <c r="J229" s="787">
        <v>261089</v>
      </c>
      <c r="K229" s="787">
        <v>402069</v>
      </c>
      <c r="L229" s="787">
        <v>11053</v>
      </c>
      <c r="M229" s="1479">
        <f t="shared" si="8"/>
        <v>0</v>
      </c>
      <c r="O229" s="1497">
        <v>0</v>
      </c>
    </row>
    <row r="230" spans="1:15" s="293" customFormat="1" ht="15.75" customHeight="1" outlineLevel="1">
      <c r="A230" s="706"/>
      <c r="B230" s="1520" t="s">
        <v>1027</v>
      </c>
      <c r="C230" s="706"/>
      <c r="D230" s="707" t="s">
        <v>348</v>
      </c>
      <c r="E230" s="787">
        <v>-30000000</v>
      </c>
      <c r="F230" s="787"/>
      <c r="G230" s="787">
        <v>-30000000</v>
      </c>
      <c r="H230" s="787"/>
      <c r="I230" s="787">
        <v>-30000000</v>
      </c>
      <c r="J230" s="787"/>
      <c r="K230" s="787">
        <v>-30000000</v>
      </c>
      <c r="L230" s="787"/>
      <c r="M230" s="1479">
        <f t="shared" si="8"/>
        <v>0</v>
      </c>
      <c r="O230" s="1497">
        <v>0</v>
      </c>
    </row>
    <row r="231" spans="1:15" s="293" customFormat="1" ht="33" customHeight="1" outlineLevel="1" thickBot="1">
      <c r="A231" s="706"/>
      <c r="B231" s="1520" t="s">
        <v>1026</v>
      </c>
      <c r="C231" s="706"/>
      <c r="D231" s="709" t="s">
        <v>585</v>
      </c>
      <c r="E231" s="787"/>
      <c r="F231" s="787">
        <v>-98124203</v>
      </c>
      <c r="G231" s="787">
        <v>98124203</v>
      </c>
      <c r="H231" s="787"/>
      <c r="I231" s="787"/>
      <c r="J231" s="787">
        <v>-93786811</v>
      </c>
      <c r="K231" s="787">
        <v>93786811</v>
      </c>
      <c r="L231" s="787"/>
      <c r="M231" s="1479"/>
      <c r="O231" s="1497">
        <v>0</v>
      </c>
    </row>
    <row r="232" spans="1:15" s="273" customFormat="1" ht="16.5" customHeight="1" thickBot="1">
      <c r="A232" s="400"/>
      <c r="B232" s="401"/>
      <c r="C232" s="400"/>
      <c r="D232" s="402" t="s">
        <v>763</v>
      </c>
      <c r="E232" s="403">
        <f>SUBTOTAL(9,E161:E231)</f>
        <v>2001828956.31</v>
      </c>
      <c r="F232" s="403">
        <f aca="true" t="shared" si="9" ref="F232:K232">SUBTOTAL(9,F161:F231)</f>
        <v>1186640682.9276059</v>
      </c>
      <c r="G232" s="403">
        <f t="shared" si="9"/>
        <v>815188272.9044935</v>
      </c>
      <c r="H232" s="403">
        <f>SUBTOTAL(9,H161:H231)</f>
        <v>52731370.19000002</v>
      </c>
      <c r="I232" s="403">
        <f t="shared" si="9"/>
        <v>1984316147.32</v>
      </c>
      <c r="J232" s="403">
        <f t="shared" si="9"/>
        <v>1139023603.9299996</v>
      </c>
      <c r="K232" s="403">
        <f t="shared" si="9"/>
        <v>845292543.3900001</v>
      </c>
      <c r="L232" s="403">
        <f>SUBTOTAL(9,L161:L231)</f>
        <v>49508503.120000005</v>
      </c>
      <c r="M232" s="1479"/>
      <c r="O232" s="1501">
        <v>0</v>
      </c>
    </row>
    <row r="233" spans="1:15" s="295" customFormat="1" ht="15.75" customHeight="1" outlineLevel="1">
      <c r="A233" s="372"/>
      <c r="B233" s="399"/>
      <c r="C233" s="372"/>
      <c r="D233" s="371"/>
      <c r="E233" s="377"/>
      <c r="F233" s="377"/>
      <c r="G233" s="377"/>
      <c r="H233" s="377"/>
      <c r="I233" s="377"/>
      <c r="J233" s="377"/>
      <c r="K233" s="377"/>
      <c r="L233" s="377">
        <f>H232-L232</f>
        <v>3222867.070000015</v>
      </c>
      <c r="M233" s="1479">
        <f t="shared" si="8"/>
        <v>0</v>
      </c>
      <c r="O233" s="1500">
        <v>0</v>
      </c>
    </row>
    <row r="234" spans="1:15" s="295" customFormat="1" ht="15.75" customHeight="1" outlineLevel="1">
      <c r="A234" s="372"/>
      <c r="B234" s="399"/>
      <c r="C234" s="372"/>
      <c r="D234" s="371"/>
      <c r="E234" s="377"/>
      <c r="F234" s="377"/>
      <c r="G234" s="377"/>
      <c r="H234" s="377"/>
      <c r="I234" s="377"/>
      <c r="J234" s="377"/>
      <c r="K234" s="377"/>
      <c r="L234" s="377"/>
      <c r="M234" s="1479">
        <f t="shared" si="8"/>
        <v>0</v>
      </c>
      <c r="O234" s="1500">
        <v>0</v>
      </c>
    </row>
    <row r="235" spans="1:15" s="275" customFormat="1" ht="16.5" customHeight="1" outlineLevel="1" thickBot="1">
      <c r="A235" s="374"/>
      <c r="B235" s="1517"/>
      <c r="C235" s="374"/>
      <c r="D235" s="398" t="s">
        <v>115</v>
      </c>
      <c r="E235" s="376"/>
      <c r="F235" s="376"/>
      <c r="G235" s="376"/>
      <c r="H235" s="376"/>
      <c r="I235" s="376"/>
      <c r="J235" s="376"/>
      <c r="K235" s="376"/>
      <c r="L235" s="376"/>
      <c r="M235" s="1479">
        <f t="shared" si="8"/>
        <v>0</v>
      </c>
      <c r="O235" s="1502">
        <v>0</v>
      </c>
    </row>
    <row r="236" spans="1:15" s="295" customFormat="1" ht="15.75" customHeight="1" outlineLevel="1">
      <c r="A236" s="703" t="s">
        <v>115</v>
      </c>
      <c r="B236" s="1519" t="s">
        <v>186</v>
      </c>
      <c r="C236" s="703">
        <v>390</v>
      </c>
      <c r="D236" s="703" t="s">
        <v>73</v>
      </c>
      <c r="E236" s="787">
        <v>30224467.78</v>
      </c>
      <c r="F236" s="787">
        <v>6566888.39</v>
      </c>
      <c r="G236" s="787">
        <v>23657579.39</v>
      </c>
      <c r="H236" s="787">
        <v>432007.46</v>
      </c>
      <c r="I236" s="787">
        <v>11577313.32</v>
      </c>
      <c r="J236" s="787">
        <v>6134880.93</v>
      </c>
      <c r="K236" s="787">
        <v>5442432.390000001</v>
      </c>
      <c r="L236" s="787">
        <v>361174.76</v>
      </c>
      <c r="M236" s="1479">
        <f t="shared" si="8"/>
        <v>0</v>
      </c>
      <c r="O236" s="1500">
        <v>0</v>
      </c>
    </row>
    <row r="237" spans="1:15" s="295" customFormat="1" ht="15.75" customHeight="1" outlineLevel="1">
      <c r="A237" s="703" t="s">
        <v>115</v>
      </c>
      <c r="B237" s="1519" t="s">
        <v>186</v>
      </c>
      <c r="C237" s="703">
        <v>391</v>
      </c>
      <c r="D237" s="703" t="s">
        <v>84</v>
      </c>
      <c r="E237" s="787">
        <v>1536724.5000000002</v>
      </c>
      <c r="F237" s="787">
        <v>1411746.5000000002</v>
      </c>
      <c r="G237" s="787">
        <v>124978</v>
      </c>
      <c r="H237" s="787">
        <v>75822.57</v>
      </c>
      <c r="I237" s="787">
        <v>1479470.9300000002</v>
      </c>
      <c r="J237" s="787">
        <v>1335923.9300000002</v>
      </c>
      <c r="K237" s="787">
        <v>143547</v>
      </c>
      <c r="L237" s="787">
        <v>144964.34</v>
      </c>
      <c r="M237" s="1479">
        <f t="shared" si="8"/>
        <v>0</v>
      </c>
      <c r="O237" s="1500">
        <v>0</v>
      </c>
    </row>
    <row r="238" spans="1:15" s="295" customFormat="1" ht="15.75" customHeight="1" outlineLevel="1">
      <c r="A238" s="703" t="s">
        <v>115</v>
      </c>
      <c r="B238" s="1519" t="s">
        <v>186</v>
      </c>
      <c r="C238" s="703">
        <v>392</v>
      </c>
      <c r="D238" s="703" t="s">
        <v>85</v>
      </c>
      <c r="E238" s="787">
        <v>5338747.449999999</v>
      </c>
      <c r="F238" s="787">
        <v>3634388.63</v>
      </c>
      <c r="G238" s="787">
        <v>1704358.8199999994</v>
      </c>
      <c r="H238" s="787">
        <v>483375.11</v>
      </c>
      <c r="I238" s="787">
        <v>4845335.699999999</v>
      </c>
      <c r="J238" s="787">
        <v>3293639.88</v>
      </c>
      <c r="K238" s="787">
        <v>1551695.8199999994</v>
      </c>
      <c r="L238" s="787">
        <v>413990.04</v>
      </c>
      <c r="M238" s="1479">
        <f t="shared" si="8"/>
        <v>142626.35999999987</v>
      </c>
      <c r="O238" s="1500">
        <v>142626.35999999987</v>
      </c>
    </row>
    <row r="239" spans="1:15" s="295" customFormat="1" ht="15.75" customHeight="1" outlineLevel="1">
      <c r="A239" s="703" t="s">
        <v>115</v>
      </c>
      <c r="B239" s="1519" t="s">
        <v>186</v>
      </c>
      <c r="C239" s="703">
        <v>393</v>
      </c>
      <c r="D239" s="703" t="s">
        <v>86</v>
      </c>
      <c r="E239" s="787">
        <v>379493.3</v>
      </c>
      <c r="F239" s="787">
        <v>281474.47</v>
      </c>
      <c r="G239" s="787">
        <v>98018.83000000002</v>
      </c>
      <c r="H239" s="787">
        <v>13412</v>
      </c>
      <c r="I239" s="787">
        <v>379493.3</v>
      </c>
      <c r="J239" s="787">
        <v>268062.47</v>
      </c>
      <c r="K239" s="787">
        <v>111430.83000000002</v>
      </c>
      <c r="L239" s="787">
        <v>13455</v>
      </c>
      <c r="M239" s="1479">
        <f t="shared" si="8"/>
        <v>0</v>
      </c>
      <c r="O239" s="1500">
        <v>0</v>
      </c>
    </row>
    <row r="240" spans="1:15" s="295" customFormat="1" ht="15.75" customHeight="1" outlineLevel="1">
      <c r="A240" s="703" t="s">
        <v>115</v>
      </c>
      <c r="B240" s="1519" t="s">
        <v>186</v>
      </c>
      <c r="C240" s="703">
        <v>394</v>
      </c>
      <c r="D240" s="703" t="s">
        <v>87</v>
      </c>
      <c r="E240" s="787">
        <v>1809968.8900000001</v>
      </c>
      <c r="F240" s="787">
        <v>769136.65</v>
      </c>
      <c r="G240" s="787">
        <v>1040832.2400000001</v>
      </c>
      <c r="H240" s="787">
        <v>63057.84</v>
      </c>
      <c r="I240" s="787">
        <v>1688885.05</v>
      </c>
      <c r="J240" s="787">
        <v>706078.81</v>
      </c>
      <c r="K240" s="787">
        <v>982806.24</v>
      </c>
      <c r="L240" s="788">
        <v>60140.77</v>
      </c>
      <c r="M240" s="1479">
        <f t="shared" si="8"/>
        <v>0</v>
      </c>
      <c r="O240" s="1500">
        <v>0</v>
      </c>
    </row>
    <row r="241" spans="1:15" s="295" customFormat="1" ht="15.75" customHeight="1" outlineLevel="1">
      <c r="A241" s="703" t="s">
        <v>115</v>
      </c>
      <c r="B241" s="1519" t="s">
        <v>186</v>
      </c>
      <c r="C241" s="703">
        <v>395</v>
      </c>
      <c r="D241" s="703" t="s">
        <v>88</v>
      </c>
      <c r="E241" s="787">
        <v>819371.0700000001</v>
      </c>
      <c r="F241" s="787">
        <v>493094.85000000003</v>
      </c>
      <c r="G241" s="787">
        <v>326276.22000000003</v>
      </c>
      <c r="H241" s="787">
        <v>11526.38</v>
      </c>
      <c r="I241" s="787">
        <v>785534.6900000001</v>
      </c>
      <c r="J241" s="787">
        <v>481568.47000000003</v>
      </c>
      <c r="K241" s="787">
        <v>303966.22000000003</v>
      </c>
      <c r="L241" s="788">
        <v>11147.53</v>
      </c>
      <c r="M241" s="1479">
        <f t="shared" si="8"/>
        <v>0</v>
      </c>
      <c r="O241" s="1500">
        <v>0</v>
      </c>
    </row>
    <row r="242" spans="1:15" s="295" customFormat="1" ht="15.75" customHeight="1" outlineLevel="1">
      <c r="A242" s="703" t="s">
        <v>115</v>
      </c>
      <c r="B242" s="1519" t="s">
        <v>186</v>
      </c>
      <c r="C242" s="703">
        <v>396</v>
      </c>
      <c r="D242" s="703" t="s">
        <v>89</v>
      </c>
      <c r="E242" s="787">
        <v>2497643.9599999995</v>
      </c>
      <c r="F242" s="787">
        <v>1654579.96</v>
      </c>
      <c r="G242" s="787">
        <v>843063.9999999995</v>
      </c>
      <c r="H242" s="787">
        <v>187949.36</v>
      </c>
      <c r="I242" s="787">
        <v>2309103.5999999996</v>
      </c>
      <c r="J242" s="787">
        <v>1466630.6</v>
      </c>
      <c r="K242" s="787">
        <v>842472.9999999995</v>
      </c>
      <c r="L242" s="788">
        <v>178806</v>
      </c>
      <c r="M242" s="1479">
        <f t="shared" si="8"/>
        <v>0</v>
      </c>
      <c r="O242" s="1500">
        <v>0</v>
      </c>
    </row>
    <row r="243" spans="1:15" s="295" customFormat="1" ht="15.75" customHeight="1" outlineLevel="1">
      <c r="A243" s="703" t="s">
        <v>115</v>
      </c>
      <c r="B243" s="1519" t="s">
        <v>186</v>
      </c>
      <c r="C243" s="703">
        <v>397</v>
      </c>
      <c r="D243" s="703" t="s">
        <v>90</v>
      </c>
      <c r="E243" s="787">
        <v>1602747.33</v>
      </c>
      <c r="F243" s="787">
        <v>1583899.76</v>
      </c>
      <c r="G243" s="787">
        <v>18847.570000000065</v>
      </c>
      <c r="H243" s="787">
        <v>467</v>
      </c>
      <c r="I243" s="787">
        <v>1602747.33</v>
      </c>
      <c r="J243" s="787">
        <v>1583432.76</v>
      </c>
      <c r="K243" s="787">
        <v>19314.570000000065</v>
      </c>
      <c r="L243" s="788">
        <v>71146</v>
      </c>
      <c r="M243" s="1479">
        <f t="shared" si="8"/>
        <v>0</v>
      </c>
      <c r="O243" s="1500">
        <v>0</v>
      </c>
    </row>
    <row r="244" spans="1:15" s="295" customFormat="1" ht="15.75" customHeight="1" outlineLevel="1">
      <c r="A244" s="703" t="s">
        <v>115</v>
      </c>
      <c r="B244" s="1519" t="s">
        <v>186</v>
      </c>
      <c r="C244" s="703">
        <v>398</v>
      </c>
      <c r="D244" s="703" t="s">
        <v>91</v>
      </c>
      <c r="E244" s="787">
        <v>6698242.739999999</v>
      </c>
      <c r="F244" s="787">
        <v>922339.14</v>
      </c>
      <c r="G244" s="787">
        <v>5775903.6</v>
      </c>
      <c r="H244" s="787">
        <v>97547.28</v>
      </c>
      <c r="I244" s="787">
        <v>1836194.4600000002</v>
      </c>
      <c r="J244" s="787">
        <v>824791.86</v>
      </c>
      <c r="K244" s="787">
        <v>1011402.6000000002</v>
      </c>
      <c r="L244" s="788">
        <v>84187</v>
      </c>
      <c r="M244" s="1479">
        <f t="shared" si="8"/>
        <v>0</v>
      </c>
      <c r="O244" s="1500">
        <v>0</v>
      </c>
    </row>
    <row r="245" spans="1:15" s="295" customFormat="1" ht="15.75" customHeight="1" outlineLevel="1">
      <c r="A245" s="703" t="s">
        <v>115</v>
      </c>
      <c r="B245" s="1519" t="s">
        <v>186</v>
      </c>
      <c r="C245" s="703">
        <v>399</v>
      </c>
      <c r="D245" s="703" t="s">
        <v>92</v>
      </c>
      <c r="E245" s="787">
        <v>1487</v>
      </c>
      <c r="F245" s="787">
        <v>1487</v>
      </c>
      <c r="G245" s="787">
        <v>0</v>
      </c>
      <c r="H245" s="787">
        <v>0</v>
      </c>
      <c r="I245" s="787">
        <v>1487</v>
      </c>
      <c r="J245" s="787">
        <v>1487</v>
      </c>
      <c r="K245" s="787">
        <v>0</v>
      </c>
      <c r="L245" s="788">
        <v>0</v>
      </c>
      <c r="M245" s="1479">
        <f t="shared" si="8"/>
        <v>0</v>
      </c>
      <c r="O245" s="1500">
        <v>0</v>
      </c>
    </row>
    <row r="246" spans="1:15" s="295" customFormat="1" ht="15.75" customHeight="1" outlineLevel="1">
      <c r="A246" s="703" t="s">
        <v>115</v>
      </c>
      <c r="B246" s="1519" t="s">
        <v>31</v>
      </c>
      <c r="C246" s="703">
        <v>390</v>
      </c>
      <c r="D246" s="703" t="s">
        <v>73</v>
      </c>
      <c r="E246" s="787">
        <v>74177492.41000001</v>
      </c>
      <c r="F246" s="787">
        <v>40828462.41</v>
      </c>
      <c r="G246" s="787">
        <v>33349030.000000015</v>
      </c>
      <c r="H246" s="787">
        <v>2118744</v>
      </c>
      <c r="I246" s="787">
        <v>75879633.41000001</v>
      </c>
      <c r="J246" s="787">
        <v>38709718.41</v>
      </c>
      <c r="K246" s="787">
        <v>37169915.000000015</v>
      </c>
      <c r="L246" s="787">
        <v>2200764.37</v>
      </c>
      <c r="M246" s="1479">
        <f t="shared" si="8"/>
        <v>0</v>
      </c>
      <c r="O246" s="1500">
        <v>0</v>
      </c>
    </row>
    <row r="247" spans="1:15" s="295" customFormat="1" ht="15.75" customHeight="1" outlineLevel="1">
      <c r="A247" s="703" t="s">
        <v>115</v>
      </c>
      <c r="B247" s="1519" t="s">
        <v>31</v>
      </c>
      <c r="C247" s="703">
        <v>391</v>
      </c>
      <c r="D247" s="703" t="s">
        <v>84</v>
      </c>
      <c r="E247" s="787">
        <v>206076386.17000002</v>
      </c>
      <c r="F247" s="787">
        <v>170219813.43</v>
      </c>
      <c r="G247" s="787">
        <v>35856572.74000001</v>
      </c>
      <c r="H247" s="787">
        <v>13683654.61</v>
      </c>
      <c r="I247" s="787">
        <v>199940250.56</v>
      </c>
      <c r="J247" s="787">
        <v>156525675.82</v>
      </c>
      <c r="K247" s="787">
        <v>43414574.74000001</v>
      </c>
      <c r="L247" s="787">
        <v>12977078.7</v>
      </c>
      <c r="M247" s="1479">
        <f t="shared" si="8"/>
        <v>-10483</v>
      </c>
      <c r="O247" s="1500">
        <v>-10483</v>
      </c>
    </row>
    <row r="248" spans="1:15" s="295" customFormat="1" ht="15.75" customHeight="1" outlineLevel="1">
      <c r="A248" s="703" t="s">
        <v>115</v>
      </c>
      <c r="B248" s="1519" t="s">
        <v>31</v>
      </c>
      <c r="C248" s="703">
        <v>392</v>
      </c>
      <c r="D248" s="703" t="s">
        <v>85</v>
      </c>
      <c r="E248" s="787">
        <v>11806298.889999995</v>
      </c>
      <c r="F248" s="787">
        <v>11604862.829999996</v>
      </c>
      <c r="G248" s="787">
        <v>201436.05999999866</v>
      </c>
      <c r="H248" s="787">
        <v>902082.28</v>
      </c>
      <c r="I248" s="787">
        <v>11702392.659999996</v>
      </c>
      <c r="J248" s="787">
        <v>10812317.599999998</v>
      </c>
      <c r="K248" s="787">
        <v>890075.0599999987</v>
      </c>
      <c r="L248" s="787">
        <v>924990.86</v>
      </c>
      <c r="M248" s="1479">
        <f t="shared" si="8"/>
        <v>109537.05000000075</v>
      </c>
      <c r="O248" s="1500">
        <v>109537.05000000075</v>
      </c>
    </row>
    <row r="249" spans="1:15" s="295" customFormat="1" ht="15.75" customHeight="1" outlineLevel="1">
      <c r="A249" s="703" t="s">
        <v>115</v>
      </c>
      <c r="B249" s="1519" t="s">
        <v>31</v>
      </c>
      <c r="C249" s="703">
        <v>394</v>
      </c>
      <c r="D249" s="703" t="s">
        <v>87</v>
      </c>
      <c r="E249" s="787">
        <v>766953.27</v>
      </c>
      <c r="F249" s="787">
        <v>386165.91000000003</v>
      </c>
      <c r="G249" s="787">
        <v>380787.36</v>
      </c>
      <c r="H249" s="787">
        <v>43664</v>
      </c>
      <c r="I249" s="787">
        <v>766953.27</v>
      </c>
      <c r="J249" s="787">
        <v>342501.91000000003</v>
      </c>
      <c r="K249" s="787">
        <v>424451.36</v>
      </c>
      <c r="L249" s="787">
        <v>9727.87</v>
      </c>
      <c r="M249" s="1479">
        <f t="shared" si="8"/>
        <v>0</v>
      </c>
      <c r="O249" s="1500">
        <v>0</v>
      </c>
    </row>
    <row r="250" spans="1:15" s="295" customFormat="1" ht="15.75" customHeight="1" outlineLevel="1">
      <c r="A250" s="703" t="s">
        <v>115</v>
      </c>
      <c r="B250" s="1519" t="s">
        <v>31</v>
      </c>
      <c r="C250" s="703">
        <v>395</v>
      </c>
      <c r="D250" s="703" t="s">
        <v>88</v>
      </c>
      <c r="E250" s="787">
        <v>2961576.3199999994</v>
      </c>
      <c r="F250" s="787">
        <v>676331.3200000001</v>
      </c>
      <c r="G250" s="787">
        <v>2285244.999999999</v>
      </c>
      <c r="H250" s="787">
        <v>270672.76</v>
      </c>
      <c r="I250" s="787">
        <v>2925549.5599999996</v>
      </c>
      <c r="J250" s="787">
        <v>405658.56</v>
      </c>
      <c r="K250" s="787">
        <v>2519890.9999999995</v>
      </c>
      <c r="L250" s="787">
        <v>40096.68</v>
      </c>
      <c r="M250" s="1479">
        <f t="shared" si="8"/>
        <v>0</v>
      </c>
      <c r="O250" s="1500">
        <v>0</v>
      </c>
    </row>
    <row r="251" spans="1:15" s="295" customFormat="1" ht="15.75" customHeight="1" outlineLevel="1">
      <c r="A251" s="703" t="s">
        <v>115</v>
      </c>
      <c r="B251" s="1519" t="s">
        <v>31</v>
      </c>
      <c r="C251" s="703">
        <v>397</v>
      </c>
      <c r="D251" s="703" t="s">
        <v>90</v>
      </c>
      <c r="E251" s="787">
        <v>11654476.18</v>
      </c>
      <c r="F251" s="787">
        <v>11275389.18</v>
      </c>
      <c r="G251" s="787">
        <v>379087</v>
      </c>
      <c r="H251" s="787">
        <v>56718</v>
      </c>
      <c r="I251" s="787">
        <v>11654476.18</v>
      </c>
      <c r="J251" s="787">
        <v>11218671.18</v>
      </c>
      <c r="K251" s="787">
        <v>435805</v>
      </c>
      <c r="L251" s="787">
        <v>275331</v>
      </c>
      <c r="M251" s="1479">
        <f t="shared" si="8"/>
        <v>0</v>
      </c>
      <c r="O251" s="1500">
        <v>0</v>
      </c>
    </row>
    <row r="252" spans="1:15" s="295" customFormat="1" ht="15.75" customHeight="1" outlineLevel="1">
      <c r="A252" s="703" t="s">
        <v>115</v>
      </c>
      <c r="B252" s="1519" t="s">
        <v>31</v>
      </c>
      <c r="C252" s="703">
        <v>398</v>
      </c>
      <c r="D252" s="703" t="s">
        <v>91</v>
      </c>
      <c r="E252" s="787">
        <v>22316279.58</v>
      </c>
      <c r="F252" s="787">
        <v>22316280.060000002</v>
      </c>
      <c r="G252" s="787">
        <v>0</v>
      </c>
      <c r="H252" s="787">
        <v>538555.92</v>
      </c>
      <c r="I252" s="787">
        <v>23995134.66</v>
      </c>
      <c r="J252" s="787">
        <v>21787999.54</v>
      </c>
      <c r="K252" s="787">
        <v>2207135.120000001</v>
      </c>
      <c r="L252" s="787">
        <v>967686</v>
      </c>
      <c r="M252" s="1479">
        <f t="shared" si="8"/>
        <v>10275.39999999851</v>
      </c>
      <c r="O252" s="1500">
        <v>10275.39999999851</v>
      </c>
    </row>
    <row r="253" spans="1:15" s="295" customFormat="1" ht="15.75" customHeight="1" outlineLevel="1">
      <c r="A253" s="703" t="s">
        <v>115</v>
      </c>
      <c r="B253" s="1519" t="s">
        <v>71</v>
      </c>
      <c r="C253" s="703">
        <v>397</v>
      </c>
      <c r="D253" s="703" t="s">
        <v>90</v>
      </c>
      <c r="E253" s="787">
        <v>4414029</v>
      </c>
      <c r="F253" s="787">
        <v>4414029</v>
      </c>
      <c r="G253" s="787">
        <v>0</v>
      </c>
      <c r="H253" s="787">
        <v>0</v>
      </c>
      <c r="I253" s="787">
        <v>4414029</v>
      </c>
      <c r="J253" s="787">
        <v>4414029</v>
      </c>
      <c r="K253" s="787">
        <v>0</v>
      </c>
      <c r="L253" s="787">
        <v>0</v>
      </c>
      <c r="M253" s="1479">
        <f t="shared" si="8"/>
        <v>0</v>
      </c>
      <c r="O253" s="1500">
        <v>0</v>
      </c>
    </row>
    <row r="254" spans="1:15" s="295" customFormat="1" ht="15.75" customHeight="1" outlineLevel="1">
      <c r="A254" s="703" t="s">
        <v>115</v>
      </c>
      <c r="B254" s="1519" t="s">
        <v>30</v>
      </c>
      <c r="C254" s="703">
        <v>390</v>
      </c>
      <c r="D254" s="703" t="s">
        <v>73</v>
      </c>
      <c r="E254" s="787">
        <v>0</v>
      </c>
      <c r="F254" s="787">
        <v>0</v>
      </c>
      <c r="G254" s="787">
        <v>0</v>
      </c>
      <c r="H254" s="787">
        <v>0</v>
      </c>
      <c r="I254" s="787">
        <v>0</v>
      </c>
      <c r="J254" s="787">
        <v>0</v>
      </c>
      <c r="K254" s="787">
        <v>0</v>
      </c>
      <c r="L254" s="787">
        <v>0</v>
      </c>
      <c r="M254" s="1479">
        <f t="shared" si="8"/>
        <v>0</v>
      </c>
      <c r="O254" s="1500">
        <v>0</v>
      </c>
    </row>
    <row r="255" spans="1:15" s="295" customFormat="1" ht="15.75" customHeight="1" outlineLevel="1">
      <c r="A255" s="703" t="s">
        <v>115</v>
      </c>
      <c r="B255" s="1519" t="s">
        <v>30</v>
      </c>
      <c r="C255" s="703">
        <v>396</v>
      </c>
      <c r="D255" s="703" t="s">
        <v>89</v>
      </c>
      <c r="E255" s="787">
        <v>763</v>
      </c>
      <c r="F255" s="787">
        <v>-278237</v>
      </c>
      <c r="G255" s="787">
        <v>279000</v>
      </c>
      <c r="H255" s="787">
        <v>0</v>
      </c>
      <c r="I255" s="787">
        <v>-278237</v>
      </c>
      <c r="J255" s="787">
        <v>-278237</v>
      </c>
      <c r="K255" s="787">
        <v>0</v>
      </c>
      <c r="L255" s="787">
        <v>0</v>
      </c>
      <c r="M255" s="1479">
        <f t="shared" si="8"/>
        <v>0</v>
      </c>
      <c r="O255" s="1500">
        <v>0</v>
      </c>
    </row>
    <row r="256" spans="1:15" s="295" customFormat="1" ht="15.75" customHeight="1" outlineLevel="1">
      <c r="A256" s="703" t="s">
        <v>115</v>
      </c>
      <c r="B256" s="1519" t="s">
        <v>30</v>
      </c>
      <c r="C256" s="703">
        <v>397</v>
      </c>
      <c r="D256" s="703" t="s">
        <v>90</v>
      </c>
      <c r="E256" s="787">
        <v>1170741</v>
      </c>
      <c r="F256" s="787">
        <v>1170741</v>
      </c>
      <c r="G256" s="787">
        <v>0</v>
      </c>
      <c r="H256" s="787">
        <v>0</v>
      </c>
      <c r="I256" s="787">
        <v>1170741</v>
      </c>
      <c r="J256" s="787">
        <v>1170741</v>
      </c>
      <c r="K256" s="787">
        <v>0</v>
      </c>
      <c r="L256" s="787">
        <v>0</v>
      </c>
      <c r="M256" s="1479">
        <f t="shared" si="8"/>
        <v>0</v>
      </c>
      <c r="O256" s="1500">
        <v>0</v>
      </c>
    </row>
    <row r="257" spans="1:15" s="295" customFormat="1" ht="15.75" customHeight="1" outlineLevel="1">
      <c r="A257" s="703" t="s">
        <v>115</v>
      </c>
      <c r="B257" s="1519" t="s">
        <v>191</v>
      </c>
      <c r="C257" s="703">
        <v>390</v>
      </c>
      <c r="D257" s="703" t="s">
        <v>73</v>
      </c>
      <c r="E257" s="787">
        <v>2602691.98</v>
      </c>
      <c r="F257" s="787">
        <v>625404.98</v>
      </c>
      <c r="G257" s="787">
        <v>1977287</v>
      </c>
      <c r="H257" s="787">
        <v>207384.23</v>
      </c>
      <c r="I257" s="787">
        <v>2533263.75</v>
      </c>
      <c r="J257" s="787">
        <v>418020.75</v>
      </c>
      <c r="K257" s="787">
        <v>2115243</v>
      </c>
      <c r="L257" s="787">
        <v>188956.6</v>
      </c>
      <c r="M257" s="1479">
        <f t="shared" si="8"/>
        <v>0</v>
      </c>
      <c r="O257" s="1500">
        <v>0</v>
      </c>
    </row>
    <row r="258" spans="1:15" s="295" customFormat="1" ht="15.75" customHeight="1" outlineLevel="1">
      <c r="A258" s="703" t="s">
        <v>115</v>
      </c>
      <c r="B258" s="1519" t="s">
        <v>191</v>
      </c>
      <c r="C258" s="703">
        <v>391</v>
      </c>
      <c r="D258" s="703" t="s">
        <v>84</v>
      </c>
      <c r="E258" s="787">
        <v>12061940.465</v>
      </c>
      <c r="F258" s="787">
        <v>10327583.819999998</v>
      </c>
      <c r="G258" s="787">
        <v>1734356.6450000014</v>
      </c>
      <c r="H258" s="787">
        <v>338756.19</v>
      </c>
      <c r="I258" s="787">
        <v>10277511.275</v>
      </c>
      <c r="J258" s="787">
        <v>9988827.629999999</v>
      </c>
      <c r="K258" s="787">
        <v>288683.6450000014</v>
      </c>
      <c r="L258" s="787">
        <v>128742.64</v>
      </c>
      <c r="M258" s="1479">
        <f t="shared" si="8"/>
        <v>0</v>
      </c>
      <c r="O258" s="1500">
        <v>0</v>
      </c>
    </row>
    <row r="259" spans="1:15" s="295" customFormat="1" ht="15.75" customHeight="1" outlineLevel="1">
      <c r="A259" s="703" t="s">
        <v>115</v>
      </c>
      <c r="B259" s="1519" t="s">
        <v>191</v>
      </c>
      <c r="C259" s="703">
        <v>392</v>
      </c>
      <c r="D259" s="703" t="s">
        <v>85</v>
      </c>
      <c r="E259" s="787">
        <v>6522896.440000001</v>
      </c>
      <c r="F259" s="787">
        <v>5114144.17</v>
      </c>
      <c r="G259" s="787">
        <v>1408752.2700000014</v>
      </c>
      <c r="H259" s="787">
        <v>640161.82</v>
      </c>
      <c r="I259" s="787">
        <v>6350516.890000001</v>
      </c>
      <c r="J259" s="787">
        <v>4673696.619999999</v>
      </c>
      <c r="K259" s="787">
        <v>1676820.2700000014</v>
      </c>
      <c r="L259" s="787">
        <v>614223.95</v>
      </c>
      <c r="M259" s="1479">
        <f t="shared" si="8"/>
        <v>199714.26999999955</v>
      </c>
      <c r="O259" s="1500">
        <v>199714.26999999955</v>
      </c>
    </row>
    <row r="260" spans="1:15" s="295" customFormat="1" ht="15.75" customHeight="1" outlineLevel="1">
      <c r="A260" s="703" t="s">
        <v>115</v>
      </c>
      <c r="B260" s="1519" t="s">
        <v>191</v>
      </c>
      <c r="C260" s="703">
        <v>393</v>
      </c>
      <c r="D260" s="703" t="s">
        <v>86</v>
      </c>
      <c r="E260" s="787">
        <v>129292</v>
      </c>
      <c r="F260" s="787">
        <v>126181.47</v>
      </c>
      <c r="G260" s="787">
        <v>3110.529999999999</v>
      </c>
      <c r="H260" s="787">
        <v>4220</v>
      </c>
      <c r="I260" s="787">
        <v>114993</v>
      </c>
      <c r="J260" s="787">
        <v>121961.47</v>
      </c>
      <c r="K260" s="787">
        <v>-6968.470000000001</v>
      </c>
      <c r="L260" s="787">
        <v>4147</v>
      </c>
      <c r="M260" s="1479">
        <f t="shared" si="8"/>
        <v>0</v>
      </c>
      <c r="O260" s="1500">
        <v>0</v>
      </c>
    </row>
    <row r="261" spans="1:15" s="295" customFormat="1" ht="15.75" customHeight="1" outlineLevel="1">
      <c r="A261" s="703" t="s">
        <v>115</v>
      </c>
      <c r="B261" s="1519" t="s">
        <v>191</v>
      </c>
      <c r="C261" s="703">
        <v>394</v>
      </c>
      <c r="D261" s="703" t="s">
        <v>87</v>
      </c>
      <c r="E261" s="787">
        <v>742376.55</v>
      </c>
      <c r="F261" s="787">
        <v>742376.56</v>
      </c>
      <c r="G261" s="787">
        <v>0</v>
      </c>
      <c r="H261" s="787">
        <v>11924.01</v>
      </c>
      <c r="I261" s="787">
        <v>733613.54</v>
      </c>
      <c r="J261" s="787">
        <v>784631.55</v>
      </c>
      <c r="K261" s="787">
        <v>-51018.01000000001</v>
      </c>
      <c r="L261" s="787">
        <v>12732.52</v>
      </c>
      <c r="M261" s="1479">
        <f t="shared" si="8"/>
        <v>54179</v>
      </c>
      <c r="O261" s="1500">
        <v>54179</v>
      </c>
    </row>
    <row r="262" spans="1:15" s="295" customFormat="1" ht="15.75" customHeight="1" outlineLevel="1">
      <c r="A262" s="703" t="s">
        <v>115</v>
      </c>
      <c r="B262" s="1519" t="s">
        <v>191</v>
      </c>
      <c r="C262" s="703">
        <v>395</v>
      </c>
      <c r="D262" s="703" t="s">
        <v>88</v>
      </c>
      <c r="E262" s="787">
        <v>959056.0900000001</v>
      </c>
      <c r="F262" s="787">
        <v>688758.24</v>
      </c>
      <c r="G262" s="787">
        <v>270297.8500000001</v>
      </c>
      <c r="H262" s="787">
        <v>31501.34</v>
      </c>
      <c r="I262" s="787">
        <v>870978.7500000001</v>
      </c>
      <c r="J262" s="787">
        <v>657256.9</v>
      </c>
      <c r="K262" s="787">
        <v>213721.8500000001</v>
      </c>
      <c r="L262" s="787">
        <v>26601.25</v>
      </c>
      <c r="M262" s="1479">
        <f t="shared" si="8"/>
        <v>0</v>
      </c>
      <c r="O262" s="1500">
        <v>0</v>
      </c>
    </row>
    <row r="263" spans="1:15" s="295" customFormat="1" ht="15.75" customHeight="1" outlineLevel="1">
      <c r="A263" s="703" t="s">
        <v>115</v>
      </c>
      <c r="B263" s="1519" t="s">
        <v>191</v>
      </c>
      <c r="C263" s="703">
        <v>396</v>
      </c>
      <c r="D263" s="703" t="s">
        <v>89</v>
      </c>
      <c r="E263" s="787">
        <v>3739914.2699999996</v>
      </c>
      <c r="F263" s="787">
        <v>3538621.93</v>
      </c>
      <c r="G263" s="787">
        <v>201292.33999999939</v>
      </c>
      <c r="H263" s="787">
        <v>263180</v>
      </c>
      <c r="I263" s="787">
        <v>4111174.2699999996</v>
      </c>
      <c r="J263" s="787">
        <v>3354861.93</v>
      </c>
      <c r="K263" s="787">
        <v>756312.3399999994</v>
      </c>
      <c r="L263" s="787">
        <v>257915.04</v>
      </c>
      <c r="M263" s="1479">
        <f t="shared" si="8"/>
        <v>79420</v>
      </c>
      <c r="O263" s="1500">
        <v>79420</v>
      </c>
    </row>
    <row r="264" spans="1:15" s="295" customFormat="1" ht="15.75" customHeight="1" outlineLevel="1">
      <c r="A264" s="703" t="s">
        <v>115</v>
      </c>
      <c r="B264" s="1519" t="s">
        <v>191</v>
      </c>
      <c r="C264" s="703">
        <v>397</v>
      </c>
      <c r="D264" s="703" t="s">
        <v>90</v>
      </c>
      <c r="E264" s="787">
        <v>2611415.0700000003</v>
      </c>
      <c r="F264" s="787">
        <v>2557413.0700000003</v>
      </c>
      <c r="G264" s="787">
        <v>54002</v>
      </c>
      <c r="H264" s="787">
        <v>12316</v>
      </c>
      <c r="I264" s="787">
        <v>2611415.0700000003</v>
      </c>
      <c r="J264" s="787">
        <v>2545097.0700000003</v>
      </c>
      <c r="K264" s="787">
        <v>66318</v>
      </c>
      <c r="L264" s="787">
        <v>73074</v>
      </c>
      <c r="M264" s="1479">
        <f t="shared" si="8"/>
        <v>0</v>
      </c>
      <c r="O264" s="1500">
        <v>0</v>
      </c>
    </row>
    <row r="265" spans="1:15" s="295" customFormat="1" ht="15.75" customHeight="1" outlineLevel="1">
      <c r="A265" s="703" t="s">
        <v>115</v>
      </c>
      <c r="B265" s="1519" t="s">
        <v>191</v>
      </c>
      <c r="C265" s="703">
        <v>398</v>
      </c>
      <c r="D265" s="703" t="s">
        <v>91</v>
      </c>
      <c r="E265" s="787">
        <v>991161.95</v>
      </c>
      <c r="F265" s="787">
        <v>871554.95</v>
      </c>
      <c r="G265" s="787">
        <v>119607</v>
      </c>
      <c r="H265" s="787">
        <v>991</v>
      </c>
      <c r="I265" s="787">
        <v>991161.95</v>
      </c>
      <c r="J265" s="787">
        <v>870563.95</v>
      </c>
      <c r="K265" s="787">
        <v>120598</v>
      </c>
      <c r="L265" s="787">
        <v>991</v>
      </c>
      <c r="M265" s="1479">
        <f t="shared" si="8"/>
        <v>0</v>
      </c>
      <c r="O265" s="1500">
        <v>0</v>
      </c>
    </row>
    <row r="266" spans="1:15" s="295" customFormat="1" ht="15.75" customHeight="1" outlineLevel="1">
      <c r="A266" s="703" t="s">
        <v>115</v>
      </c>
      <c r="B266" s="1519" t="s">
        <v>29</v>
      </c>
      <c r="C266" s="703">
        <v>390</v>
      </c>
      <c r="D266" s="703" t="s">
        <v>73</v>
      </c>
      <c r="E266" s="787">
        <v>29145370.709999997</v>
      </c>
      <c r="F266" s="787">
        <v>19303846.59</v>
      </c>
      <c r="G266" s="787">
        <v>9841524.119999997</v>
      </c>
      <c r="H266" s="787">
        <v>885930.52</v>
      </c>
      <c r="I266" s="787">
        <v>29120334.189999998</v>
      </c>
      <c r="J266" s="787">
        <v>18417916.07</v>
      </c>
      <c r="K266" s="787">
        <v>10702418.119999997</v>
      </c>
      <c r="L266" s="787">
        <v>850171.34</v>
      </c>
      <c r="M266" s="1479">
        <f t="shared" si="8"/>
        <v>0</v>
      </c>
      <c r="O266" s="1500">
        <v>0</v>
      </c>
    </row>
    <row r="267" spans="1:15" s="295" customFormat="1" ht="15.75" customHeight="1" outlineLevel="1">
      <c r="A267" s="703" t="s">
        <v>115</v>
      </c>
      <c r="B267" s="1519" t="s">
        <v>29</v>
      </c>
      <c r="C267" s="703">
        <v>391</v>
      </c>
      <c r="D267" s="703" t="s">
        <v>84</v>
      </c>
      <c r="E267" s="787">
        <v>3561546.6399999997</v>
      </c>
      <c r="F267" s="787">
        <v>3400343.0199999996</v>
      </c>
      <c r="G267" s="787">
        <v>161203.6200000001</v>
      </c>
      <c r="H267" s="787">
        <v>99991.36</v>
      </c>
      <c r="I267" s="787">
        <v>3519669.59</v>
      </c>
      <c r="J267" s="787">
        <v>3305544.9699999997</v>
      </c>
      <c r="K267" s="787">
        <v>214124.6200000001</v>
      </c>
      <c r="L267" s="787">
        <v>116988.25</v>
      </c>
      <c r="M267" s="1479">
        <f t="shared" si="8"/>
        <v>5193.310000000056</v>
      </c>
      <c r="O267" s="1500">
        <v>5193.310000000056</v>
      </c>
    </row>
    <row r="268" spans="1:15" s="295" customFormat="1" ht="15.75" customHeight="1" outlineLevel="1">
      <c r="A268" s="703" t="s">
        <v>115</v>
      </c>
      <c r="B268" s="1519" t="s">
        <v>29</v>
      </c>
      <c r="C268" s="703">
        <v>392</v>
      </c>
      <c r="D268" s="703" t="s">
        <v>85</v>
      </c>
      <c r="E268" s="787">
        <v>8453942.079999998</v>
      </c>
      <c r="F268" s="787">
        <v>7763555.169999999</v>
      </c>
      <c r="G268" s="787">
        <v>690386.9099999992</v>
      </c>
      <c r="H268" s="787">
        <v>478980.18</v>
      </c>
      <c r="I268" s="787">
        <v>8358848.489999997</v>
      </c>
      <c r="J268" s="787">
        <v>7457861.579999999</v>
      </c>
      <c r="K268" s="787">
        <v>900986.9099999983</v>
      </c>
      <c r="L268" s="787">
        <v>509508.94</v>
      </c>
      <c r="M268" s="1479">
        <f t="shared" si="8"/>
        <v>173286.58999999985</v>
      </c>
      <c r="O268" s="1500">
        <v>173286.58999999985</v>
      </c>
    </row>
    <row r="269" spans="1:15" s="295" customFormat="1" ht="15.75" customHeight="1" outlineLevel="1">
      <c r="A269" s="703" t="s">
        <v>115</v>
      </c>
      <c r="B269" s="1519" t="s">
        <v>29</v>
      </c>
      <c r="C269" s="703">
        <v>393</v>
      </c>
      <c r="D269" s="703" t="s">
        <v>86</v>
      </c>
      <c r="E269" s="787">
        <v>315500</v>
      </c>
      <c r="F269" s="787">
        <v>315500</v>
      </c>
      <c r="G269" s="787">
        <v>0</v>
      </c>
      <c r="H269" s="787">
        <v>2195</v>
      </c>
      <c r="I269" s="787">
        <v>315500</v>
      </c>
      <c r="J269" s="787">
        <v>313305</v>
      </c>
      <c r="K269" s="787">
        <v>2195</v>
      </c>
      <c r="L269" s="787">
        <v>7888</v>
      </c>
      <c r="M269" s="1479">
        <f t="shared" si="8"/>
        <v>0</v>
      </c>
      <c r="O269" s="1500">
        <v>0</v>
      </c>
    </row>
    <row r="270" spans="1:15" s="295" customFormat="1" ht="15.75" customHeight="1" outlineLevel="1">
      <c r="A270" s="703" t="s">
        <v>115</v>
      </c>
      <c r="B270" s="1519" t="s">
        <v>29</v>
      </c>
      <c r="C270" s="703">
        <v>394</v>
      </c>
      <c r="D270" s="703" t="s">
        <v>87</v>
      </c>
      <c r="E270" s="787">
        <v>5171830.2299999995</v>
      </c>
      <c r="F270" s="787">
        <v>4252658.050000001</v>
      </c>
      <c r="G270" s="787">
        <v>919172.1799999988</v>
      </c>
      <c r="H270" s="787">
        <v>175631.91</v>
      </c>
      <c r="I270" s="787">
        <v>4740960.319999999</v>
      </c>
      <c r="J270" s="787">
        <v>4089654.1400000006</v>
      </c>
      <c r="K270" s="787">
        <v>651306.1799999988</v>
      </c>
      <c r="L270" s="787">
        <v>196319.86</v>
      </c>
      <c r="M270" s="1479">
        <f t="shared" si="8"/>
        <v>12628</v>
      </c>
      <c r="O270" s="1500">
        <v>12628</v>
      </c>
    </row>
    <row r="271" spans="1:15" s="295" customFormat="1" ht="15.75" customHeight="1" outlineLevel="1">
      <c r="A271" s="703" t="s">
        <v>115</v>
      </c>
      <c r="B271" s="1519" t="s">
        <v>29</v>
      </c>
      <c r="C271" s="703">
        <v>395</v>
      </c>
      <c r="D271" s="703" t="s">
        <v>88</v>
      </c>
      <c r="E271" s="787">
        <v>1722116.27</v>
      </c>
      <c r="F271" s="787">
        <v>1279879.31</v>
      </c>
      <c r="G271" s="787">
        <v>442236.95999999996</v>
      </c>
      <c r="H271" s="787">
        <v>48455.9</v>
      </c>
      <c r="I271" s="787">
        <v>1608688.37</v>
      </c>
      <c r="J271" s="787">
        <v>1231423.4100000001</v>
      </c>
      <c r="K271" s="787">
        <v>377264.95999999996</v>
      </c>
      <c r="L271" s="787">
        <v>42765.22</v>
      </c>
      <c r="M271" s="1479">
        <f t="shared" si="8"/>
        <v>0</v>
      </c>
      <c r="O271" s="1500">
        <v>0</v>
      </c>
    </row>
    <row r="272" spans="1:15" s="295" customFormat="1" ht="15.75" customHeight="1" outlineLevel="1">
      <c r="A272" s="703" t="s">
        <v>115</v>
      </c>
      <c r="B272" s="1519" t="s">
        <v>29</v>
      </c>
      <c r="C272" s="703">
        <v>396</v>
      </c>
      <c r="D272" s="703" t="s">
        <v>89</v>
      </c>
      <c r="E272" s="787">
        <v>4288696.2</v>
      </c>
      <c r="F272" s="787">
        <v>2756240.42</v>
      </c>
      <c r="G272" s="787">
        <v>1532455.7800000003</v>
      </c>
      <c r="H272" s="787">
        <v>338570.8</v>
      </c>
      <c r="I272" s="787">
        <v>4130776.41</v>
      </c>
      <c r="J272" s="787">
        <v>2417669.62</v>
      </c>
      <c r="K272" s="787">
        <v>1713106.79</v>
      </c>
      <c r="L272" s="787">
        <v>317614.04</v>
      </c>
      <c r="M272" s="1479">
        <f t="shared" si="8"/>
        <v>0</v>
      </c>
      <c r="O272" s="1500">
        <v>0</v>
      </c>
    </row>
    <row r="273" spans="1:15" s="295" customFormat="1" ht="15.75" customHeight="1" outlineLevel="1">
      <c r="A273" s="703" t="s">
        <v>115</v>
      </c>
      <c r="B273" s="1519" t="s">
        <v>29</v>
      </c>
      <c r="C273" s="703">
        <v>397</v>
      </c>
      <c r="D273" s="703" t="s">
        <v>90</v>
      </c>
      <c r="E273" s="787">
        <v>4710306.45</v>
      </c>
      <c r="F273" s="787">
        <v>3848746.4499999993</v>
      </c>
      <c r="G273" s="787">
        <v>861560.0000000009</v>
      </c>
      <c r="H273" s="787">
        <v>91688</v>
      </c>
      <c r="I273" s="787">
        <v>4710306.45</v>
      </c>
      <c r="J273" s="787">
        <v>3757058.4499999993</v>
      </c>
      <c r="K273" s="787">
        <v>953248.0000000009</v>
      </c>
      <c r="L273" s="787">
        <v>116557.78</v>
      </c>
      <c r="M273" s="1479">
        <f aca="true" t="shared" si="10" ref="M273:M324">H273+J273-F273</f>
        <v>0</v>
      </c>
      <c r="O273" s="1500">
        <v>0</v>
      </c>
    </row>
    <row r="274" spans="1:15" s="295" customFormat="1" ht="15.75" customHeight="1" outlineLevel="1">
      <c r="A274" s="703" t="s">
        <v>115</v>
      </c>
      <c r="B274" s="1519" t="s">
        <v>29</v>
      </c>
      <c r="C274" s="703">
        <v>398</v>
      </c>
      <c r="D274" s="703" t="s">
        <v>91</v>
      </c>
      <c r="E274" s="787">
        <v>479196231.21000004</v>
      </c>
      <c r="F274" s="787">
        <v>93684421.78999999</v>
      </c>
      <c r="G274" s="787">
        <v>385511809.4200001</v>
      </c>
      <c r="H274" s="787">
        <v>10098460.13</v>
      </c>
      <c r="I274" s="787">
        <v>474020976.08000004</v>
      </c>
      <c r="J274" s="787">
        <v>83579836.66</v>
      </c>
      <c r="K274" s="787">
        <v>390441139.4200001</v>
      </c>
      <c r="L274" s="787">
        <v>10226229.06</v>
      </c>
      <c r="M274" s="1479">
        <f t="shared" si="10"/>
        <v>-6125</v>
      </c>
      <c r="O274" s="1500">
        <v>-6125</v>
      </c>
    </row>
    <row r="275" spans="1:15" s="295" customFormat="1" ht="15.75" customHeight="1" outlineLevel="1">
      <c r="A275" s="703" t="s">
        <v>115</v>
      </c>
      <c r="B275" s="1519" t="s">
        <v>29</v>
      </c>
      <c r="C275" s="703">
        <v>399</v>
      </c>
      <c r="D275" s="703" t="s">
        <v>92</v>
      </c>
      <c r="E275" s="787">
        <v>3201209</v>
      </c>
      <c r="F275" s="787">
        <v>1736416</v>
      </c>
      <c r="G275" s="787">
        <v>1464793</v>
      </c>
      <c r="H275" s="787">
        <v>42683</v>
      </c>
      <c r="I275" s="787">
        <v>3201209</v>
      </c>
      <c r="J275" s="787">
        <v>1693733</v>
      </c>
      <c r="K275" s="787">
        <v>1507476</v>
      </c>
      <c r="L275" s="787">
        <v>42683</v>
      </c>
      <c r="M275" s="1479">
        <f t="shared" si="10"/>
        <v>0</v>
      </c>
      <c r="O275" s="1500">
        <v>0</v>
      </c>
    </row>
    <row r="276" spans="1:15" s="295" customFormat="1" ht="15.75" customHeight="1" outlineLevel="1">
      <c r="A276" s="703" t="s">
        <v>115</v>
      </c>
      <c r="B276" s="1519" t="s">
        <v>184</v>
      </c>
      <c r="C276" s="703">
        <v>390</v>
      </c>
      <c r="D276" s="703" t="s">
        <v>73</v>
      </c>
      <c r="E276" s="787">
        <v>20710197.020000003</v>
      </c>
      <c r="F276" s="787">
        <v>6033208.690000001</v>
      </c>
      <c r="G276" s="787">
        <v>14676988.330000002</v>
      </c>
      <c r="H276" s="787">
        <v>632194.32</v>
      </c>
      <c r="I276" s="787">
        <v>19826831.700000003</v>
      </c>
      <c r="J276" s="787">
        <v>5401014.370000001</v>
      </c>
      <c r="K276" s="787">
        <v>14425817.330000002</v>
      </c>
      <c r="L276" s="787">
        <v>580363.44</v>
      </c>
      <c r="M276" s="1479">
        <f t="shared" si="10"/>
        <v>0</v>
      </c>
      <c r="O276" s="1500">
        <v>0</v>
      </c>
    </row>
    <row r="277" spans="1:15" s="295" customFormat="1" ht="15.75" customHeight="1" outlineLevel="1">
      <c r="A277" s="703" t="s">
        <v>115</v>
      </c>
      <c r="B277" s="1519" t="s">
        <v>184</v>
      </c>
      <c r="C277" s="703">
        <v>391</v>
      </c>
      <c r="D277" s="703" t="s">
        <v>84</v>
      </c>
      <c r="E277" s="787">
        <v>9616433.559999999</v>
      </c>
      <c r="F277" s="787">
        <v>3806304.44</v>
      </c>
      <c r="G277" s="787">
        <v>5810129.119999999</v>
      </c>
      <c r="H277" s="787">
        <v>1403797.35</v>
      </c>
      <c r="I277" s="787">
        <v>8799254.209999999</v>
      </c>
      <c r="J277" s="787">
        <v>2402507.09</v>
      </c>
      <c r="K277" s="787">
        <v>6396747.119999999</v>
      </c>
      <c r="L277" s="787">
        <v>127001.88</v>
      </c>
      <c r="M277" s="1479">
        <f t="shared" si="10"/>
        <v>0</v>
      </c>
      <c r="O277" s="1500">
        <v>0</v>
      </c>
    </row>
    <row r="278" spans="1:15" s="295" customFormat="1" ht="15.75" customHeight="1" outlineLevel="1">
      <c r="A278" s="703" t="s">
        <v>115</v>
      </c>
      <c r="B278" s="1519" t="s">
        <v>184</v>
      </c>
      <c r="C278" s="703">
        <v>392</v>
      </c>
      <c r="D278" s="703" t="s">
        <v>85</v>
      </c>
      <c r="E278" s="787">
        <v>12984612.620000001</v>
      </c>
      <c r="F278" s="787">
        <v>10409175.85</v>
      </c>
      <c r="G278" s="787">
        <v>2575436.7700000014</v>
      </c>
      <c r="H278" s="787">
        <v>857667.86</v>
      </c>
      <c r="I278" s="787">
        <v>12043188.390000002</v>
      </c>
      <c r="J278" s="787">
        <v>9844008.620000001</v>
      </c>
      <c r="K278" s="787">
        <v>2199179.7700000014</v>
      </c>
      <c r="L278" s="787">
        <v>788058.88</v>
      </c>
      <c r="M278" s="1479">
        <f t="shared" si="10"/>
        <v>292500.6300000008</v>
      </c>
      <c r="O278" s="1500">
        <v>292500.6300000008</v>
      </c>
    </row>
    <row r="279" spans="1:15" s="295" customFormat="1" ht="15.75" customHeight="1" outlineLevel="1">
      <c r="A279" s="703" t="s">
        <v>115</v>
      </c>
      <c r="B279" s="1519" t="s">
        <v>184</v>
      </c>
      <c r="C279" s="703">
        <v>393</v>
      </c>
      <c r="D279" s="703" t="s">
        <v>86</v>
      </c>
      <c r="E279" s="787">
        <v>317287.5</v>
      </c>
      <c r="F279" s="787">
        <v>201984</v>
      </c>
      <c r="G279" s="787">
        <v>115303.5</v>
      </c>
      <c r="H279" s="787">
        <v>7332</v>
      </c>
      <c r="I279" s="787">
        <v>412275.5</v>
      </c>
      <c r="J279" s="787">
        <v>194652</v>
      </c>
      <c r="K279" s="787">
        <v>217623.5</v>
      </c>
      <c r="L279" s="787">
        <v>7133</v>
      </c>
      <c r="M279" s="1479">
        <f t="shared" si="10"/>
        <v>0</v>
      </c>
      <c r="O279" s="1500">
        <v>0</v>
      </c>
    </row>
    <row r="280" spans="1:15" s="295" customFormat="1" ht="15.75" customHeight="1" outlineLevel="1">
      <c r="A280" s="703" t="s">
        <v>115</v>
      </c>
      <c r="B280" s="1519" t="s">
        <v>184</v>
      </c>
      <c r="C280" s="703">
        <v>394</v>
      </c>
      <c r="D280" s="703" t="s">
        <v>87</v>
      </c>
      <c r="E280" s="787">
        <v>6073187.890000001</v>
      </c>
      <c r="F280" s="787">
        <v>3455743.6399999997</v>
      </c>
      <c r="G280" s="787">
        <v>2617444.250000001</v>
      </c>
      <c r="H280" s="787">
        <v>221237.36</v>
      </c>
      <c r="I280" s="787">
        <v>5833022.54</v>
      </c>
      <c r="J280" s="787">
        <v>3234506.2899999996</v>
      </c>
      <c r="K280" s="787">
        <v>2598516.2500000005</v>
      </c>
      <c r="L280" s="787">
        <v>210608.15</v>
      </c>
      <c r="M280" s="1479">
        <f t="shared" si="10"/>
        <v>0.009999999776482582</v>
      </c>
      <c r="O280" s="1500">
        <v>0.009999999776482582</v>
      </c>
    </row>
    <row r="281" spans="1:15" s="295" customFormat="1" ht="15.75" customHeight="1" outlineLevel="1">
      <c r="A281" s="703" t="s">
        <v>115</v>
      </c>
      <c r="B281" s="1519" t="s">
        <v>184</v>
      </c>
      <c r="C281" s="703">
        <v>395</v>
      </c>
      <c r="D281" s="703" t="s">
        <v>88</v>
      </c>
      <c r="E281" s="787">
        <v>2119585.21</v>
      </c>
      <c r="F281" s="787">
        <v>969138.06</v>
      </c>
      <c r="G281" s="787">
        <v>1150447.15</v>
      </c>
      <c r="H281" s="787">
        <v>67180.86</v>
      </c>
      <c r="I281" s="787">
        <v>2043203.3499999999</v>
      </c>
      <c r="J281" s="787">
        <v>921450.2000000001</v>
      </c>
      <c r="K281" s="787">
        <v>1121753.15</v>
      </c>
      <c r="L281" s="787">
        <v>67002.13</v>
      </c>
      <c r="M281" s="1479">
        <f t="shared" si="10"/>
        <v>19493</v>
      </c>
      <c r="O281" s="1500">
        <v>19493</v>
      </c>
    </row>
    <row r="282" spans="1:15" s="295" customFormat="1" ht="15.75" customHeight="1" outlineLevel="1">
      <c r="A282" s="703" t="s">
        <v>115</v>
      </c>
      <c r="B282" s="1519" t="s">
        <v>184</v>
      </c>
      <c r="C282" s="703">
        <v>396</v>
      </c>
      <c r="D282" s="703" t="s">
        <v>89</v>
      </c>
      <c r="E282" s="787">
        <v>5159241.09</v>
      </c>
      <c r="F282" s="787">
        <v>3968962.26</v>
      </c>
      <c r="G282" s="787">
        <v>1190278.83</v>
      </c>
      <c r="H282" s="787">
        <v>402714.33</v>
      </c>
      <c r="I282" s="787">
        <v>4810104.76</v>
      </c>
      <c r="J282" s="787">
        <v>3673501.9299999997</v>
      </c>
      <c r="K282" s="787">
        <v>1136602.83</v>
      </c>
      <c r="L282" s="787">
        <v>400998.33</v>
      </c>
      <c r="M282" s="1479">
        <f t="shared" si="10"/>
        <v>107254</v>
      </c>
      <c r="O282" s="1500">
        <v>107254</v>
      </c>
    </row>
    <row r="283" spans="1:15" s="295" customFormat="1" ht="15.75" customHeight="1" outlineLevel="1">
      <c r="A283" s="703" t="s">
        <v>115</v>
      </c>
      <c r="B283" s="1519" t="s">
        <v>184</v>
      </c>
      <c r="C283" s="703">
        <v>397</v>
      </c>
      <c r="D283" s="703" t="s">
        <v>90</v>
      </c>
      <c r="E283" s="787">
        <v>6407339.250000001</v>
      </c>
      <c r="F283" s="787">
        <v>3878996.13</v>
      </c>
      <c r="G283" s="787">
        <v>2528343.120000001</v>
      </c>
      <c r="H283" s="787">
        <v>273668</v>
      </c>
      <c r="I283" s="787">
        <v>6407339.250000001</v>
      </c>
      <c r="J283" s="787">
        <v>3605328.13</v>
      </c>
      <c r="K283" s="787">
        <v>2802011.120000001</v>
      </c>
      <c r="L283" s="787">
        <v>343797.94</v>
      </c>
      <c r="M283" s="1479">
        <f t="shared" si="10"/>
        <v>0</v>
      </c>
      <c r="O283" s="1500">
        <v>0</v>
      </c>
    </row>
    <row r="284" spans="1:15" s="295" customFormat="1" ht="15.75" customHeight="1" outlineLevel="1">
      <c r="A284" s="703" t="s">
        <v>115</v>
      </c>
      <c r="B284" s="1519" t="s">
        <v>184</v>
      </c>
      <c r="C284" s="703">
        <v>398</v>
      </c>
      <c r="D284" s="703" t="s">
        <v>91</v>
      </c>
      <c r="E284" s="787">
        <v>208757920.23999998</v>
      </c>
      <c r="F284" s="787">
        <v>58255984.260000005</v>
      </c>
      <c r="G284" s="787">
        <v>150501935.97999996</v>
      </c>
      <c r="H284" s="787">
        <v>5806632.74</v>
      </c>
      <c r="I284" s="787">
        <v>206852852.49999997</v>
      </c>
      <c r="J284" s="787">
        <v>52444851.52</v>
      </c>
      <c r="K284" s="787">
        <v>154408000.97999996</v>
      </c>
      <c r="L284" s="787">
        <v>5763136.4</v>
      </c>
      <c r="M284" s="1479">
        <f t="shared" si="10"/>
        <v>-4500</v>
      </c>
      <c r="O284" s="1500">
        <v>-4500</v>
      </c>
    </row>
    <row r="285" spans="1:15" s="295" customFormat="1" ht="15.75" customHeight="1" outlineLevel="1">
      <c r="A285" s="703" t="s">
        <v>115</v>
      </c>
      <c r="B285" s="1519" t="s">
        <v>184</v>
      </c>
      <c r="C285" s="703">
        <v>399</v>
      </c>
      <c r="D285" s="703" t="s">
        <v>92</v>
      </c>
      <c r="E285" s="787">
        <v>1126419</v>
      </c>
      <c r="F285" s="787">
        <v>264997</v>
      </c>
      <c r="G285" s="787">
        <v>861422</v>
      </c>
      <c r="H285" s="787">
        <v>15019</v>
      </c>
      <c r="I285" s="787">
        <v>1126419</v>
      </c>
      <c r="J285" s="787">
        <v>249978</v>
      </c>
      <c r="K285" s="787">
        <v>876441</v>
      </c>
      <c r="L285" s="787">
        <v>15019</v>
      </c>
      <c r="M285" s="1479">
        <f t="shared" si="10"/>
        <v>0</v>
      </c>
      <c r="O285" s="1500">
        <v>0</v>
      </c>
    </row>
    <row r="286" spans="1:15" s="295" customFormat="1" ht="15.75" customHeight="1" outlineLevel="1">
      <c r="A286" s="703" t="s">
        <v>115</v>
      </c>
      <c r="B286" s="1519" t="s">
        <v>166</v>
      </c>
      <c r="C286" s="703">
        <v>391</v>
      </c>
      <c r="D286" s="703" t="s">
        <v>84</v>
      </c>
      <c r="E286" s="787">
        <v>67869.31</v>
      </c>
      <c r="F286" s="787">
        <v>28339.309999999998</v>
      </c>
      <c r="G286" s="787">
        <v>39530</v>
      </c>
      <c r="H286" s="787">
        <v>6829.1</v>
      </c>
      <c r="I286" s="787">
        <v>54355.21</v>
      </c>
      <c r="J286" s="787">
        <v>21510.21</v>
      </c>
      <c r="K286" s="787">
        <v>32845</v>
      </c>
      <c r="L286" s="787">
        <v>6444.21</v>
      </c>
      <c r="M286" s="1479">
        <f t="shared" si="10"/>
        <v>0</v>
      </c>
      <c r="O286" s="1500">
        <v>0</v>
      </c>
    </row>
    <row r="287" spans="1:15" s="295" customFormat="1" ht="15.75" customHeight="1" outlineLevel="1">
      <c r="A287" s="703" t="s">
        <v>115</v>
      </c>
      <c r="B287" s="1519" t="s">
        <v>166</v>
      </c>
      <c r="C287" s="703">
        <v>392</v>
      </c>
      <c r="D287" s="703" t="s">
        <v>565</v>
      </c>
      <c r="E287" s="787">
        <v>517792.69</v>
      </c>
      <c r="F287" s="787">
        <v>263930.69</v>
      </c>
      <c r="G287" s="787">
        <v>253862</v>
      </c>
      <c r="H287" s="787">
        <v>86984</v>
      </c>
      <c r="I287" s="787">
        <v>470801.69</v>
      </c>
      <c r="J287" s="787">
        <v>173836.69</v>
      </c>
      <c r="K287" s="787">
        <v>296965</v>
      </c>
      <c r="L287" s="787">
        <v>81603.8</v>
      </c>
      <c r="M287" s="1479">
        <f t="shared" si="10"/>
        <v>-3110</v>
      </c>
      <c r="O287" s="1500">
        <v>-3110</v>
      </c>
    </row>
    <row r="288" spans="1:15" s="295" customFormat="1" ht="15.75" customHeight="1" outlineLevel="1">
      <c r="A288" s="703" t="s">
        <v>115</v>
      </c>
      <c r="B288" s="1519" t="s">
        <v>166</v>
      </c>
      <c r="C288" s="703">
        <v>394</v>
      </c>
      <c r="D288" s="703" t="s">
        <v>87</v>
      </c>
      <c r="E288" s="787">
        <v>68609.17</v>
      </c>
      <c r="F288" s="787">
        <v>39777.17</v>
      </c>
      <c r="G288" s="787">
        <v>28832</v>
      </c>
      <c r="H288" s="787">
        <v>6501</v>
      </c>
      <c r="I288" s="787">
        <v>68609.17</v>
      </c>
      <c r="J288" s="787">
        <v>33276.17</v>
      </c>
      <c r="K288" s="787">
        <v>35333</v>
      </c>
      <c r="L288" s="787">
        <v>6501</v>
      </c>
      <c r="M288" s="1479">
        <f t="shared" si="10"/>
        <v>0</v>
      </c>
      <c r="O288" s="1500">
        <v>0</v>
      </c>
    </row>
    <row r="289" spans="1:15" s="295" customFormat="1" ht="15.75" customHeight="1" outlineLevel="1">
      <c r="A289" s="703" t="s">
        <v>115</v>
      </c>
      <c r="B289" s="1519" t="s">
        <v>166</v>
      </c>
      <c r="C289" s="703">
        <v>395</v>
      </c>
      <c r="D289" s="703" t="s">
        <v>88</v>
      </c>
      <c r="E289" s="787">
        <v>85676.84</v>
      </c>
      <c r="F289" s="787">
        <v>26169.84</v>
      </c>
      <c r="G289" s="787">
        <v>59507</v>
      </c>
      <c r="H289" s="787">
        <v>5254</v>
      </c>
      <c r="I289" s="787">
        <v>85676.84</v>
      </c>
      <c r="J289" s="787">
        <v>20915.84</v>
      </c>
      <c r="K289" s="787">
        <v>64761</v>
      </c>
      <c r="L289" s="787">
        <v>5254</v>
      </c>
      <c r="M289" s="1479">
        <f t="shared" si="10"/>
        <v>0</v>
      </c>
      <c r="O289" s="1500">
        <v>0</v>
      </c>
    </row>
    <row r="290" spans="1:15" s="295" customFormat="1" ht="15.75" customHeight="1" outlineLevel="1">
      <c r="A290" s="703" t="s">
        <v>115</v>
      </c>
      <c r="B290" s="1519" t="s">
        <v>166</v>
      </c>
      <c r="C290" s="703">
        <v>396</v>
      </c>
      <c r="D290" s="703" t="s">
        <v>209</v>
      </c>
      <c r="E290" s="787">
        <v>513489.67</v>
      </c>
      <c r="F290" s="787">
        <v>221084.65999999997</v>
      </c>
      <c r="G290" s="787">
        <v>292405.01</v>
      </c>
      <c r="H290" s="787">
        <v>51161.92</v>
      </c>
      <c r="I290" s="787">
        <v>510190.75</v>
      </c>
      <c r="J290" s="787">
        <v>169922.74</v>
      </c>
      <c r="K290" s="787">
        <v>340268.01</v>
      </c>
      <c r="L290" s="787">
        <v>46383.01</v>
      </c>
      <c r="M290" s="1479">
        <f t="shared" si="10"/>
        <v>0</v>
      </c>
      <c r="O290" s="1500">
        <v>0</v>
      </c>
    </row>
    <row r="291" spans="1:15" s="295" customFormat="1" ht="15.75" customHeight="1" outlineLevel="1">
      <c r="A291" s="703" t="s">
        <v>115</v>
      </c>
      <c r="B291" s="1519" t="s">
        <v>166</v>
      </c>
      <c r="C291" s="703">
        <v>398</v>
      </c>
      <c r="D291" s="703" t="s">
        <v>91</v>
      </c>
      <c r="E291" s="787">
        <v>625239.67</v>
      </c>
      <c r="F291" s="787">
        <v>286838.16000000003</v>
      </c>
      <c r="G291" s="787">
        <v>338401.51</v>
      </c>
      <c r="H291" s="787">
        <v>109691.38</v>
      </c>
      <c r="I291" s="787">
        <v>562680.29</v>
      </c>
      <c r="J291" s="787">
        <v>177146.78</v>
      </c>
      <c r="K291" s="787">
        <v>385533.51</v>
      </c>
      <c r="L291" s="787">
        <v>84250.52</v>
      </c>
      <c r="M291" s="1479">
        <f t="shared" si="10"/>
        <v>0</v>
      </c>
      <c r="O291" s="1500">
        <v>0</v>
      </c>
    </row>
    <row r="292" spans="1:15" s="295" customFormat="1" ht="15.75" customHeight="1" outlineLevel="1">
      <c r="A292" s="703" t="s">
        <v>115</v>
      </c>
      <c r="B292" s="1519" t="s">
        <v>177</v>
      </c>
      <c r="C292" s="703">
        <v>398</v>
      </c>
      <c r="D292" s="703" t="s">
        <v>91</v>
      </c>
      <c r="E292" s="787">
        <v>181336.84</v>
      </c>
      <c r="F292" s="787">
        <v>180976.84</v>
      </c>
      <c r="G292" s="787">
        <v>360</v>
      </c>
      <c r="H292" s="787">
        <v>437</v>
      </c>
      <c r="I292" s="787">
        <v>181336.84</v>
      </c>
      <c r="J292" s="787">
        <v>180539.84</v>
      </c>
      <c r="K292" s="787">
        <v>797</v>
      </c>
      <c r="L292" s="788">
        <v>3300</v>
      </c>
      <c r="M292" s="1479">
        <f t="shared" si="10"/>
        <v>0</v>
      </c>
      <c r="O292" s="1500">
        <v>0</v>
      </c>
    </row>
    <row r="293" spans="1:15" s="295" customFormat="1" ht="15.75" customHeight="1" outlineLevel="1">
      <c r="A293" s="703" t="s">
        <v>115</v>
      </c>
      <c r="B293" s="1519" t="s">
        <v>173</v>
      </c>
      <c r="C293" s="703">
        <v>391</v>
      </c>
      <c r="D293" s="703" t="s">
        <v>84</v>
      </c>
      <c r="E293" s="787">
        <v>177276.41999999998</v>
      </c>
      <c r="F293" s="787">
        <v>166785.41999999998</v>
      </c>
      <c r="G293" s="787">
        <v>10491</v>
      </c>
      <c r="H293" s="787">
        <v>2709.27</v>
      </c>
      <c r="I293" s="787">
        <v>168044.15</v>
      </c>
      <c r="J293" s="787">
        <v>164076.15</v>
      </c>
      <c r="K293" s="787">
        <v>3968</v>
      </c>
      <c r="L293" s="787">
        <v>1324</v>
      </c>
      <c r="M293" s="1479">
        <f t="shared" si="10"/>
        <v>0</v>
      </c>
      <c r="O293" s="1500">
        <v>0</v>
      </c>
    </row>
    <row r="294" spans="1:15" s="295" customFormat="1" ht="15.75" customHeight="1" outlineLevel="1">
      <c r="A294" s="703" t="s">
        <v>115</v>
      </c>
      <c r="B294" s="1519" t="s">
        <v>173</v>
      </c>
      <c r="C294" s="703">
        <v>392</v>
      </c>
      <c r="D294" s="703" t="s">
        <v>85</v>
      </c>
      <c r="E294" s="787">
        <v>137355.73</v>
      </c>
      <c r="F294" s="787">
        <v>113607.62999999999</v>
      </c>
      <c r="G294" s="787">
        <v>23748.10000000002</v>
      </c>
      <c r="H294" s="787">
        <v>4131.51</v>
      </c>
      <c r="I294" s="787">
        <v>111454.22</v>
      </c>
      <c r="J294" s="787">
        <v>109476.12</v>
      </c>
      <c r="K294" s="787">
        <v>1978.1000000000058</v>
      </c>
      <c r="L294" s="787">
        <v>4936</v>
      </c>
      <c r="M294" s="1479">
        <f t="shared" si="10"/>
        <v>0</v>
      </c>
      <c r="O294" s="1500">
        <v>0</v>
      </c>
    </row>
    <row r="295" spans="1:15" s="295" customFormat="1" ht="15.75" customHeight="1" outlineLevel="1">
      <c r="A295" s="703" t="s">
        <v>115</v>
      </c>
      <c r="B295" s="1519" t="s">
        <v>173</v>
      </c>
      <c r="C295" s="703">
        <v>393</v>
      </c>
      <c r="D295" s="703" t="s">
        <v>86</v>
      </c>
      <c r="E295" s="787">
        <v>0</v>
      </c>
      <c r="F295" s="787">
        <v>0</v>
      </c>
      <c r="G295" s="787">
        <v>0</v>
      </c>
      <c r="H295" s="787">
        <v>0</v>
      </c>
      <c r="I295" s="787">
        <v>0</v>
      </c>
      <c r="J295" s="787">
        <v>0</v>
      </c>
      <c r="K295" s="787">
        <v>0</v>
      </c>
      <c r="L295" s="787">
        <v>0</v>
      </c>
      <c r="M295" s="1479">
        <f t="shared" si="10"/>
        <v>0</v>
      </c>
      <c r="O295" s="1500">
        <v>0</v>
      </c>
    </row>
    <row r="296" spans="1:15" s="295" customFormat="1" ht="15.75" customHeight="1" outlineLevel="1">
      <c r="A296" s="703" t="s">
        <v>115</v>
      </c>
      <c r="B296" s="1519" t="s">
        <v>173</v>
      </c>
      <c r="C296" s="703">
        <v>394</v>
      </c>
      <c r="D296" s="703" t="s">
        <v>87</v>
      </c>
      <c r="E296" s="787">
        <v>143571</v>
      </c>
      <c r="F296" s="787">
        <v>135046</v>
      </c>
      <c r="G296" s="787">
        <v>8525</v>
      </c>
      <c r="H296" s="787">
        <v>653</v>
      </c>
      <c r="I296" s="787">
        <v>143571</v>
      </c>
      <c r="J296" s="787">
        <v>134393</v>
      </c>
      <c r="K296" s="787">
        <v>9178</v>
      </c>
      <c r="L296" s="787">
        <v>3513</v>
      </c>
      <c r="M296" s="1479">
        <f t="shared" si="10"/>
        <v>0</v>
      </c>
      <c r="O296" s="1500">
        <v>0</v>
      </c>
    </row>
    <row r="297" spans="1:15" s="295" customFormat="1" ht="15.75" customHeight="1" outlineLevel="1">
      <c r="A297" s="703" t="s">
        <v>115</v>
      </c>
      <c r="B297" s="1519" t="s">
        <v>173</v>
      </c>
      <c r="C297" s="703">
        <v>395</v>
      </c>
      <c r="D297" s="703" t="s">
        <v>88</v>
      </c>
      <c r="E297" s="787">
        <v>49048.73</v>
      </c>
      <c r="F297" s="787">
        <v>39338.729999999996</v>
      </c>
      <c r="G297" s="787">
        <v>9710.000000000007</v>
      </c>
      <c r="H297" s="787">
        <v>3218</v>
      </c>
      <c r="I297" s="787">
        <v>49048.73</v>
      </c>
      <c r="J297" s="787">
        <v>36120.729999999996</v>
      </c>
      <c r="K297" s="787">
        <v>12928.000000000007</v>
      </c>
      <c r="L297" s="787">
        <v>3218</v>
      </c>
      <c r="M297" s="1479">
        <f t="shared" si="10"/>
        <v>0</v>
      </c>
      <c r="O297" s="1500">
        <v>0</v>
      </c>
    </row>
    <row r="298" spans="1:15" s="295" customFormat="1" ht="12.75" customHeight="1" outlineLevel="1">
      <c r="A298" s="703" t="s">
        <v>115</v>
      </c>
      <c r="B298" s="1519" t="s">
        <v>173</v>
      </c>
      <c r="C298" s="703">
        <v>396</v>
      </c>
      <c r="D298" s="703" t="s">
        <v>89</v>
      </c>
      <c r="E298" s="787">
        <v>12250.01</v>
      </c>
      <c r="F298" s="787">
        <v>5513.01</v>
      </c>
      <c r="G298" s="787">
        <v>6737</v>
      </c>
      <c r="H298" s="787">
        <v>1225</v>
      </c>
      <c r="I298" s="787">
        <v>12250.01</v>
      </c>
      <c r="J298" s="787">
        <v>4288.01</v>
      </c>
      <c r="K298" s="787">
        <v>7962</v>
      </c>
      <c r="L298" s="787">
        <v>1225</v>
      </c>
      <c r="M298" s="1479">
        <f t="shared" si="10"/>
        <v>0</v>
      </c>
      <c r="O298" s="1500">
        <v>0</v>
      </c>
    </row>
    <row r="299" spans="1:15" s="295" customFormat="1" ht="15.75" customHeight="1" outlineLevel="1">
      <c r="A299" s="703" t="s">
        <v>115</v>
      </c>
      <c r="B299" s="1519" t="s">
        <v>173</v>
      </c>
      <c r="C299" s="703">
        <v>397</v>
      </c>
      <c r="D299" s="703" t="s">
        <v>90</v>
      </c>
      <c r="E299" s="787">
        <v>349918</v>
      </c>
      <c r="F299" s="787">
        <v>349917</v>
      </c>
      <c r="G299" s="787">
        <v>1</v>
      </c>
      <c r="H299" s="787">
        <v>0</v>
      </c>
      <c r="I299" s="787">
        <v>349918</v>
      </c>
      <c r="J299" s="787">
        <v>349917</v>
      </c>
      <c r="K299" s="787">
        <v>1</v>
      </c>
      <c r="L299" s="787">
        <v>26068</v>
      </c>
      <c r="M299" s="1479">
        <f t="shared" si="10"/>
        <v>0</v>
      </c>
      <c r="O299" s="1500">
        <v>0</v>
      </c>
    </row>
    <row r="300" spans="1:15" s="295" customFormat="1" ht="15.75" customHeight="1" outlineLevel="1">
      <c r="A300" s="703" t="s">
        <v>115</v>
      </c>
      <c r="B300" s="1519" t="s">
        <v>173</v>
      </c>
      <c r="C300" s="703">
        <v>398</v>
      </c>
      <c r="D300" s="703" t="s">
        <v>91</v>
      </c>
      <c r="E300" s="787">
        <v>500640.2</v>
      </c>
      <c r="F300" s="787">
        <v>143095.78</v>
      </c>
      <c r="G300" s="787">
        <v>357544.42000000004</v>
      </c>
      <c r="H300" s="787">
        <v>51972.67</v>
      </c>
      <c r="I300" s="787">
        <v>268942.53</v>
      </c>
      <c r="J300" s="787">
        <v>91123.11</v>
      </c>
      <c r="K300" s="787">
        <v>177819.42000000004</v>
      </c>
      <c r="L300" s="787">
        <v>21628.76</v>
      </c>
      <c r="M300" s="1479">
        <f t="shared" si="10"/>
        <v>0</v>
      </c>
      <c r="O300" s="1500">
        <v>0</v>
      </c>
    </row>
    <row r="301" spans="1:15" s="295" customFormat="1" ht="15.75" customHeight="1" outlineLevel="1">
      <c r="A301" s="703" t="s">
        <v>115</v>
      </c>
      <c r="B301" s="1519" t="s">
        <v>174</v>
      </c>
      <c r="C301" s="703">
        <v>396</v>
      </c>
      <c r="D301" s="703" t="s">
        <v>89</v>
      </c>
      <c r="E301" s="787">
        <v>28597</v>
      </c>
      <c r="F301" s="787">
        <v>22162</v>
      </c>
      <c r="G301" s="787">
        <v>6435</v>
      </c>
      <c r="H301" s="787">
        <v>280</v>
      </c>
      <c r="I301" s="787">
        <v>21882</v>
      </c>
      <c r="J301" s="787">
        <v>21882</v>
      </c>
      <c r="K301" s="787">
        <v>0</v>
      </c>
      <c r="L301" s="787">
        <v>1451</v>
      </c>
      <c r="M301" s="1479">
        <f t="shared" si="10"/>
        <v>0</v>
      </c>
      <c r="O301" s="1500">
        <v>0</v>
      </c>
    </row>
    <row r="302" spans="1:15" s="295" customFormat="1" ht="15.75" customHeight="1" outlineLevel="1">
      <c r="A302" s="703" t="s">
        <v>115</v>
      </c>
      <c r="B302" s="1519" t="s">
        <v>174</v>
      </c>
      <c r="C302" s="703">
        <v>398</v>
      </c>
      <c r="D302" s="703" t="s">
        <v>91</v>
      </c>
      <c r="E302" s="787">
        <v>427955.33999999997</v>
      </c>
      <c r="F302" s="787">
        <v>423675.33999999997</v>
      </c>
      <c r="G302" s="787">
        <v>4280</v>
      </c>
      <c r="H302" s="787">
        <v>1884</v>
      </c>
      <c r="I302" s="787">
        <v>427955.33999999997</v>
      </c>
      <c r="J302" s="787">
        <v>421791.33999999997</v>
      </c>
      <c r="K302" s="787">
        <v>6164</v>
      </c>
      <c r="L302" s="787">
        <v>2383</v>
      </c>
      <c r="M302" s="1479">
        <f t="shared" si="10"/>
        <v>0</v>
      </c>
      <c r="O302" s="1500">
        <v>0</v>
      </c>
    </row>
    <row r="303" spans="1:15" s="295" customFormat="1" ht="15.75" customHeight="1" outlineLevel="1">
      <c r="A303" s="703" t="s">
        <v>115</v>
      </c>
      <c r="B303" s="1519" t="s">
        <v>175</v>
      </c>
      <c r="C303" s="703">
        <v>396</v>
      </c>
      <c r="D303" s="703" t="s">
        <v>89</v>
      </c>
      <c r="E303" s="787">
        <v>21882</v>
      </c>
      <c r="F303" s="787">
        <v>21882</v>
      </c>
      <c r="G303" s="787">
        <v>0</v>
      </c>
      <c r="H303" s="787">
        <v>0</v>
      </c>
      <c r="I303" s="787">
        <v>21882</v>
      </c>
      <c r="J303" s="787">
        <v>21882</v>
      </c>
      <c r="K303" s="787">
        <v>0</v>
      </c>
      <c r="L303" s="787">
        <v>1451</v>
      </c>
      <c r="M303" s="1479">
        <f t="shared" si="10"/>
        <v>0</v>
      </c>
      <c r="O303" s="1500">
        <v>0</v>
      </c>
    </row>
    <row r="304" spans="1:15" s="295" customFormat="1" ht="15.75" customHeight="1" outlineLevel="1">
      <c r="A304" s="703" t="s">
        <v>115</v>
      </c>
      <c r="B304" s="1519" t="s">
        <v>175</v>
      </c>
      <c r="C304" s="703">
        <v>398</v>
      </c>
      <c r="D304" s="703" t="s">
        <v>91</v>
      </c>
      <c r="E304" s="787">
        <v>1166179.73</v>
      </c>
      <c r="F304" s="787">
        <v>1161496.73</v>
      </c>
      <c r="G304" s="787">
        <v>4683</v>
      </c>
      <c r="H304" s="787">
        <v>2371</v>
      </c>
      <c r="I304" s="787">
        <v>860179.7300000001</v>
      </c>
      <c r="J304" s="787">
        <v>1159125.73</v>
      </c>
      <c r="K304" s="787">
        <v>-298945.9999999999</v>
      </c>
      <c r="L304" s="787">
        <v>2870</v>
      </c>
      <c r="M304" s="1479">
        <f t="shared" si="10"/>
        <v>0</v>
      </c>
      <c r="O304" s="1500">
        <v>0</v>
      </c>
    </row>
    <row r="305" spans="1:15" s="295" customFormat="1" ht="15.75" customHeight="1" outlineLevel="1">
      <c r="A305" s="703" t="s">
        <v>115</v>
      </c>
      <c r="B305" s="1519" t="s">
        <v>176</v>
      </c>
      <c r="C305" s="703">
        <v>396</v>
      </c>
      <c r="D305" s="703" t="s">
        <v>89</v>
      </c>
      <c r="E305" s="787">
        <v>22076</v>
      </c>
      <c r="F305" s="787">
        <v>22076</v>
      </c>
      <c r="G305" s="787">
        <v>0</v>
      </c>
      <c r="H305" s="787">
        <v>0</v>
      </c>
      <c r="I305" s="787">
        <v>22076</v>
      </c>
      <c r="J305" s="787">
        <v>22076</v>
      </c>
      <c r="K305" s="787">
        <v>0</v>
      </c>
      <c r="L305" s="787">
        <v>1468</v>
      </c>
      <c r="M305" s="1479">
        <f t="shared" si="10"/>
        <v>0</v>
      </c>
      <c r="O305" s="1500">
        <v>0</v>
      </c>
    </row>
    <row r="306" spans="1:15" s="295" customFormat="1" ht="15.75" customHeight="1" outlineLevel="1">
      <c r="A306" s="703" t="s">
        <v>115</v>
      </c>
      <c r="B306" s="1519" t="s">
        <v>176</v>
      </c>
      <c r="C306" s="703">
        <v>398</v>
      </c>
      <c r="D306" s="703" t="s">
        <v>91</v>
      </c>
      <c r="E306" s="787">
        <v>1272183.1099999999</v>
      </c>
      <c r="F306" s="787">
        <v>1247299.5899999999</v>
      </c>
      <c r="G306" s="787">
        <v>24883.52000000002</v>
      </c>
      <c r="H306" s="787">
        <v>6534</v>
      </c>
      <c r="I306" s="787">
        <v>1272183.1099999999</v>
      </c>
      <c r="J306" s="787">
        <v>1240765.5899999999</v>
      </c>
      <c r="K306" s="787">
        <v>31417.52000000002</v>
      </c>
      <c r="L306" s="787">
        <v>7187</v>
      </c>
      <c r="M306" s="1479">
        <f t="shared" si="10"/>
        <v>0</v>
      </c>
      <c r="O306" s="1500">
        <v>0</v>
      </c>
    </row>
    <row r="307" spans="1:15" s="295" customFormat="1" ht="15.75" customHeight="1" outlineLevel="1">
      <c r="A307" s="703" t="s">
        <v>115</v>
      </c>
      <c r="B307" s="1519" t="s">
        <v>182</v>
      </c>
      <c r="C307" s="703">
        <v>399</v>
      </c>
      <c r="D307" s="703" t="s">
        <v>92</v>
      </c>
      <c r="E307" s="787">
        <v>427000</v>
      </c>
      <c r="F307" s="787">
        <v>176562</v>
      </c>
      <c r="G307" s="787">
        <v>250438</v>
      </c>
      <c r="H307" s="787">
        <v>7117</v>
      </c>
      <c r="I307" s="787">
        <v>427000</v>
      </c>
      <c r="J307" s="787">
        <v>169445</v>
      </c>
      <c r="K307" s="787">
        <v>257555</v>
      </c>
      <c r="L307" s="787">
        <v>7117</v>
      </c>
      <c r="M307" s="1479">
        <f t="shared" si="10"/>
        <v>0</v>
      </c>
      <c r="O307" s="1500">
        <v>0</v>
      </c>
    </row>
    <row r="308" spans="1:15" s="295" customFormat="1" ht="15.75" customHeight="1" outlineLevel="1">
      <c r="A308" s="703" t="s">
        <v>115</v>
      </c>
      <c r="B308" s="1519" t="s">
        <v>187</v>
      </c>
      <c r="C308" s="703">
        <v>396</v>
      </c>
      <c r="D308" s="703" t="s">
        <v>89</v>
      </c>
      <c r="E308" s="787">
        <v>22076</v>
      </c>
      <c r="F308" s="787">
        <v>22076</v>
      </c>
      <c r="G308" s="787">
        <v>0</v>
      </c>
      <c r="H308" s="787">
        <v>0</v>
      </c>
      <c r="I308" s="787">
        <v>22076</v>
      </c>
      <c r="J308" s="787">
        <v>22076</v>
      </c>
      <c r="K308" s="787">
        <v>0</v>
      </c>
      <c r="L308" s="787">
        <v>1468</v>
      </c>
      <c r="M308" s="1479">
        <f t="shared" si="10"/>
        <v>0</v>
      </c>
      <c r="O308" s="1500">
        <v>0</v>
      </c>
    </row>
    <row r="309" spans="1:15" s="295" customFormat="1" ht="15.75" customHeight="1" outlineLevel="1">
      <c r="A309" s="703" t="s">
        <v>115</v>
      </c>
      <c r="B309" s="1519" t="s">
        <v>187</v>
      </c>
      <c r="C309" s="703">
        <v>398</v>
      </c>
      <c r="D309" s="703" t="s">
        <v>91</v>
      </c>
      <c r="E309" s="787">
        <v>228133.34</v>
      </c>
      <c r="F309" s="787">
        <v>227772.34</v>
      </c>
      <c r="G309" s="787">
        <v>361</v>
      </c>
      <c r="H309" s="787">
        <v>1066</v>
      </c>
      <c r="I309" s="787">
        <v>228133.34</v>
      </c>
      <c r="J309" s="787">
        <v>226706.34</v>
      </c>
      <c r="K309" s="787">
        <v>1427</v>
      </c>
      <c r="L309" s="787">
        <v>1520</v>
      </c>
      <c r="M309" s="1479">
        <f t="shared" si="10"/>
        <v>0</v>
      </c>
      <c r="O309" s="1500">
        <v>0</v>
      </c>
    </row>
    <row r="310" spans="1:15" s="295" customFormat="1" ht="15.75" customHeight="1" outlineLevel="1">
      <c r="A310" s="703" t="s">
        <v>115</v>
      </c>
      <c r="B310" s="1519" t="s">
        <v>181</v>
      </c>
      <c r="C310" s="703">
        <v>390</v>
      </c>
      <c r="D310" s="703" t="s">
        <v>73</v>
      </c>
      <c r="E310" s="787">
        <v>1576650.3900000001</v>
      </c>
      <c r="F310" s="787">
        <v>1157285</v>
      </c>
      <c r="G310" s="787">
        <v>419365.39000000013</v>
      </c>
      <c r="H310" s="787">
        <v>1</v>
      </c>
      <c r="I310" s="787">
        <v>1576650.3900000001</v>
      </c>
      <c r="J310" s="787">
        <v>1157284</v>
      </c>
      <c r="K310" s="787">
        <v>419366.39000000013</v>
      </c>
      <c r="L310" s="787">
        <v>0</v>
      </c>
      <c r="M310" s="1479">
        <f t="shared" si="10"/>
        <v>0</v>
      </c>
      <c r="O310" s="1500">
        <v>0</v>
      </c>
    </row>
    <row r="311" spans="1:15" s="295" customFormat="1" ht="15.75" customHeight="1" outlineLevel="1">
      <c r="A311" s="703" t="s">
        <v>115</v>
      </c>
      <c r="B311" s="1519" t="s">
        <v>181</v>
      </c>
      <c r="C311" s="703">
        <v>391</v>
      </c>
      <c r="D311" s="703" t="s">
        <v>84</v>
      </c>
      <c r="E311" s="787">
        <v>833108.48</v>
      </c>
      <c r="F311" s="787">
        <v>833108.48</v>
      </c>
      <c r="G311" s="787">
        <v>0</v>
      </c>
      <c r="H311" s="787">
        <v>0</v>
      </c>
      <c r="I311" s="787">
        <v>833108.48</v>
      </c>
      <c r="J311" s="787">
        <v>833108.48</v>
      </c>
      <c r="K311" s="787">
        <v>0</v>
      </c>
      <c r="L311" s="787">
        <v>0</v>
      </c>
      <c r="M311" s="1479">
        <f t="shared" si="10"/>
        <v>0</v>
      </c>
      <c r="O311" s="1500">
        <v>0</v>
      </c>
    </row>
    <row r="312" spans="1:15" s="295" customFormat="1" ht="15.75" customHeight="1" outlineLevel="1">
      <c r="A312" s="703" t="s">
        <v>115</v>
      </c>
      <c r="B312" s="1519" t="s">
        <v>181</v>
      </c>
      <c r="C312" s="703">
        <v>392</v>
      </c>
      <c r="D312" s="703" t="s">
        <v>85</v>
      </c>
      <c r="E312" s="787">
        <v>190358.34</v>
      </c>
      <c r="F312" s="787">
        <v>190358.62999999998</v>
      </c>
      <c r="G312" s="787">
        <v>0</v>
      </c>
      <c r="H312" s="787">
        <v>0</v>
      </c>
      <c r="I312" s="787">
        <v>190358.34</v>
      </c>
      <c r="J312" s="787">
        <v>224302.62999999998</v>
      </c>
      <c r="K312" s="787">
        <v>-33944.28999999998</v>
      </c>
      <c r="L312" s="787">
        <v>4535</v>
      </c>
      <c r="M312" s="1479">
        <f t="shared" si="10"/>
        <v>33944</v>
      </c>
      <c r="O312" s="1500">
        <v>33944</v>
      </c>
    </row>
    <row r="313" spans="1:15" s="295" customFormat="1" ht="15.75" customHeight="1" outlineLevel="1">
      <c r="A313" s="703" t="s">
        <v>115</v>
      </c>
      <c r="B313" s="1519" t="s">
        <v>181</v>
      </c>
      <c r="C313" s="703">
        <v>393</v>
      </c>
      <c r="D313" s="703" t="s">
        <v>86</v>
      </c>
      <c r="E313" s="787">
        <v>108837.62</v>
      </c>
      <c r="F313" s="787">
        <v>98424.62</v>
      </c>
      <c r="G313" s="787">
        <v>10413</v>
      </c>
      <c r="H313" s="787">
        <v>825</v>
      </c>
      <c r="I313" s="787">
        <v>108837.62</v>
      </c>
      <c r="J313" s="787">
        <v>97599.62</v>
      </c>
      <c r="K313" s="787">
        <v>11238</v>
      </c>
      <c r="L313" s="787">
        <v>550</v>
      </c>
      <c r="M313" s="1479">
        <f t="shared" si="10"/>
        <v>0</v>
      </c>
      <c r="O313" s="1500">
        <v>0</v>
      </c>
    </row>
    <row r="314" spans="1:15" s="295" customFormat="1" ht="15.75" customHeight="1" outlineLevel="1">
      <c r="A314" s="703" t="s">
        <v>115</v>
      </c>
      <c r="B314" s="1519" t="s">
        <v>181</v>
      </c>
      <c r="C314" s="703">
        <v>394</v>
      </c>
      <c r="D314" s="703" t="s">
        <v>87</v>
      </c>
      <c r="E314" s="787">
        <v>227024.47</v>
      </c>
      <c r="F314" s="787">
        <v>60727.27</v>
      </c>
      <c r="G314" s="787">
        <v>166297.2</v>
      </c>
      <c r="H314" s="787">
        <v>9360.67</v>
      </c>
      <c r="I314" s="787">
        <v>174087.6</v>
      </c>
      <c r="J314" s="787">
        <v>17422.6</v>
      </c>
      <c r="K314" s="787">
        <v>156665</v>
      </c>
      <c r="L314" s="787">
        <v>8655.6</v>
      </c>
      <c r="M314" s="1479">
        <f t="shared" si="10"/>
        <v>-33944</v>
      </c>
      <c r="O314" s="1500">
        <v>-33944</v>
      </c>
    </row>
    <row r="315" spans="1:15" s="295" customFormat="1" ht="15.75" customHeight="1" outlineLevel="1">
      <c r="A315" s="703" t="s">
        <v>115</v>
      </c>
      <c r="B315" s="1519" t="s">
        <v>181</v>
      </c>
      <c r="C315" s="703">
        <v>395</v>
      </c>
      <c r="D315" s="703" t="s">
        <v>88</v>
      </c>
      <c r="E315" s="787">
        <v>1616697.85</v>
      </c>
      <c r="F315" s="787">
        <v>1539395.87</v>
      </c>
      <c r="G315" s="787">
        <v>77301.97999999998</v>
      </c>
      <c r="H315" s="787">
        <v>40613.67999999999</v>
      </c>
      <c r="I315" s="787">
        <v>1583505.1700000002</v>
      </c>
      <c r="J315" s="787">
        <v>1476710.1900000002</v>
      </c>
      <c r="K315" s="787">
        <v>106794.97999999998</v>
      </c>
      <c r="L315" s="787">
        <v>36216.020000000004</v>
      </c>
      <c r="M315" s="1479">
        <f t="shared" si="10"/>
        <v>-22072</v>
      </c>
      <c r="O315" s="1500">
        <v>-22072</v>
      </c>
    </row>
    <row r="316" spans="1:15" s="295" customFormat="1" ht="15.75" customHeight="1" outlineLevel="1">
      <c r="A316" s="703" t="s">
        <v>115</v>
      </c>
      <c r="B316" s="1519" t="s">
        <v>181</v>
      </c>
      <c r="C316" s="703">
        <v>396</v>
      </c>
      <c r="D316" s="703" t="s">
        <v>89</v>
      </c>
      <c r="E316" s="787">
        <v>163077.94</v>
      </c>
      <c r="F316" s="787">
        <v>148126.93</v>
      </c>
      <c r="G316" s="787">
        <v>14951.01000000001</v>
      </c>
      <c r="H316" s="787">
        <v>-1263</v>
      </c>
      <c r="I316" s="787">
        <v>163077.94</v>
      </c>
      <c r="J316" s="787">
        <v>149389.93</v>
      </c>
      <c r="K316" s="787">
        <v>13688.01000000001</v>
      </c>
      <c r="L316" s="787">
        <v>-1260</v>
      </c>
      <c r="M316" s="1479">
        <f t="shared" si="10"/>
        <v>0</v>
      </c>
      <c r="O316" s="1500">
        <v>0</v>
      </c>
    </row>
    <row r="317" spans="1:15" s="295" customFormat="1" ht="15.75" customHeight="1" outlineLevel="1">
      <c r="A317" s="703" t="s">
        <v>115</v>
      </c>
      <c r="B317" s="1519" t="s">
        <v>181</v>
      </c>
      <c r="C317" s="703">
        <v>397</v>
      </c>
      <c r="D317" s="703" t="s">
        <v>90</v>
      </c>
      <c r="E317" s="787">
        <v>443045</v>
      </c>
      <c r="F317" s="787">
        <v>427385</v>
      </c>
      <c r="G317" s="787">
        <v>15660</v>
      </c>
      <c r="H317" s="787">
        <v>0</v>
      </c>
      <c r="I317" s="787">
        <v>443045</v>
      </c>
      <c r="J317" s="787">
        <v>427385</v>
      </c>
      <c r="K317" s="787">
        <v>15660</v>
      </c>
      <c r="L317" s="787">
        <v>0</v>
      </c>
      <c r="M317" s="1479">
        <f t="shared" si="10"/>
        <v>0</v>
      </c>
      <c r="O317" s="1500">
        <v>0</v>
      </c>
    </row>
    <row r="318" spans="1:15" s="295" customFormat="1" ht="15.75" customHeight="1" outlineLevel="1">
      <c r="A318" s="703" t="s">
        <v>115</v>
      </c>
      <c r="B318" s="1519" t="s">
        <v>181</v>
      </c>
      <c r="C318" s="703">
        <v>398</v>
      </c>
      <c r="D318" s="703" t="s">
        <v>91</v>
      </c>
      <c r="E318" s="787">
        <v>2960625.65</v>
      </c>
      <c r="F318" s="787">
        <v>2960625.93</v>
      </c>
      <c r="G318" s="787">
        <v>0</v>
      </c>
      <c r="H318" s="787">
        <v>3801</v>
      </c>
      <c r="I318" s="787">
        <v>2975525.65</v>
      </c>
      <c r="J318" s="787">
        <v>2978896.93</v>
      </c>
      <c r="K318" s="787">
        <v>-3371.2800000002608</v>
      </c>
      <c r="L318" s="787">
        <v>2679</v>
      </c>
      <c r="M318" s="1479">
        <f t="shared" si="10"/>
        <v>22072</v>
      </c>
      <c r="O318" s="1500">
        <v>22072</v>
      </c>
    </row>
    <row r="319" spans="1:15" s="295" customFormat="1" ht="15.75" customHeight="1" outlineLevel="1">
      <c r="A319" s="703" t="s">
        <v>115</v>
      </c>
      <c r="B319" s="1519" t="s">
        <v>181</v>
      </c>
      <c r="C319" s="703">
        <v>399</v>
      </c>
      <c r="D319" s="703" t="s">
        <v>92</v>
      </c>
      <c r="E319" s="787">
        <v>322930</v>
      </c>
      <c r="F319" s="787">
        <v>322930</v>
      </c>
      <c r="G319" s="787">
        <v>0</v>
      </c>
      <c r="H319" s="787">
        <v>0</v>
      </c>
      <c r="I319" s="787">
        <v>322930</v>
      </c>
      <c r="J319" s="787">
        <v>322930</v>
      </c>
      <c r="K319" s="787">
        <v>0</v>
      </c>
      <c r="L319" s="787">
        <v>0</v>
      </c>
      <c r="M319" s="1479">
        <f t="shared" si="10"/>
        <v>0</v>
      </c>
      <c r="O319" s="1500">
        <v>0</v>
      </c>
    </row>
    <row r="320" spans="1:15" s="295" customFormat="1" ht="15.75" customHeight="1" outlineLevel="1">
      <c r="A320" s="703" t="s">
        <v>115</v>
      </c>
      <c r="B320" s="1519" t="s">
        <v>188</v>
      </c>
      <c r="C320" s="703">
        <v>396</v>
      </c>
      <c r="D320" s="703" t="s">
        <v>89</v>
      </c>
      <c r="E320" s="787">
        <v>22076</v>
      </c>
      <c r="F320" s="787">
        <v>22076</v>
      </c>
      <c r="G320" s="787">
        <v>0</v>
      </c>
      <c r="H320" s="787">
        <v>0</v>
      </c>
      <c r="I320" s="787">
        <v>22076</v>
      </c>
      <c r="J320" s="787">
        <v>22076</v>
      </c>
      <c r="K320" s="787">
        <v>0</v>
      </c>
      <c r="L320" s="787">
        <v>1468</v>
      </c>
      <c r="M320" s="1479">
        <f t="shared" si="10"/>
        <v>0</v>
      </c>
      <c r="O320" s="1500">
        <v>0</v>
      </c>
    </row>
    <row r="321" spans="1:15" s="295" customFormat="1" ht="15.75" customHeight="1" outlineLevel="1">
      <c r="A321" s="703" t="s">
        <v>115</v>
      </c>
      <c r="B321" s="1519" t="s">
        <v>188</v>
      </c>
      <c r="C321" s="703">
        <v>398</v>
      </c>
      <c r="D321" s="703" t="s">
        <v>91</v>
      </c>
      <c r="E321" s="787">
        <v>313431</v>
      </c>
      <c r="F321" s="787">
        <v>171153</v>
      </c>
      <c r="G321" s="787">
        <v>142278</v>
      </c>
      <c r="H321" s="787">
        <v>629</v>
      </c>
      <c r="I321" s="787">
        <v>171154</v>
      </c>
      <c r="J321" s="787">
        <v>170524</v>
      </c>
      <c r="K321" s="787">
        <v>630</v>
      </c>
      <c r="L321" s="787">
        <v>1083</v>
      </c>
      <c r="M321" s="1479">
        <f t="shared" si="10"/>
        <v>0</v>
      </c>
      <c r="O321" s="1500">
        <v>0</v>
      </c>
    </row>
    <row r="322" spans="1:15" s="295" customFormat="1" ht="15.75" customHeight="1" outlineLevel="1">
      <c r="A322" s="703" t="s">
        <v>115</v>
      </c>
      <c r="B322" s="1519" t="s">
        <v>189</v>
      </c>
      <c r="C322" s="703">
        <v>396</v>
      </c>
      <c r="D322" s="703" t="s">
        <v>89</v>
      </c>
      <c r="E322" s="787">
        <v>22076</v>
      </c>
      <c r="F322" s="787">
        <v>11029</v>
      </c>
      <c r="G322" s="787">
        <v>11047</v>
      </c>
      <c r="H322" s="787">
        <v>0</v>
      </c>
      <c r="I322" s="787">
        <v>22076</v>
      </c>
      <c r="J322" s="787">
        <v>11029</v>
      </c>
      <c r="K322" s="787">
        <v>11047</v>
      </c>
      <c r="L322" s="787">
        <v>1468</v>
      </c>
      <c r="M322" s="1479">
        <f t="shared" si="10"/>
        <v>0</v>
      </c>
      <c r="O322" s="1500">
        <v>0</v>
      </c>
    </row>
    <row r="323" spans="1:15" s="295" customFormat="1" ht="15.75" customHeight="1" outlineLevel="1">
      <c r="A323" s="703" t="s">
        <v>115</v>
      </c>
      <c r="B323" s="1519" t="s">
        <v>189</v>
      </c>
      <c r="C323" s="703">
        <v>398</v>
      </c>
      <c r="D323" s="703" t="s">
        <v>91</v>
      </c>
      <c r="E323" s="787">
        <v>245850</v>
      </c>
      <c r="F323" s="787">
        <v>95787</v>
      </c>
      <c r="G323" s="787">
        <v>150063</v>
      </c>
      <c r="H323" s="787">
        <v>2808</v>
      </c>
      <c r="I323" s="787">
        <v>245850</v>
      </c>
      <c r="J323" s="787">
        <v>92979</v>
      </c>
      <c r="K323" s="787">
        <v>152871</v>
      </c>
      <c r="L323" s="787">
        <v>3307</v>
      </c>
      <c r="M323" s="1479">
        <f t="shared" si="10"/>
        <v>0</v>
      </c>
      <c r="O323" s="1500">
        <v>0</v>
      </c>
    </row>
    <row r="324" spans="1:15" s="295" customFormat="1" ht="15.75" customHeight="1" outlineLevel="1" thickBot="1">
      <c r="A324" s="383"/>
      <c r="B324" s="1518" t="s">
        <v>211</v>
      </c>
      <c r="C324" s="383"/>
      <c r="D324" s="382" t="s">
        <v>584</v>
      </c>
      <c r="E324" s="787"/>
      <c r="F324" s="787">
        <v>-4215005</v>
      </c>
      <c r="G324" s="787">
        <v>4215005</v>
      </c>
      <c r="H324" s="787"/>
      <c r="I324" s="787"/>
      <c r="J324" s="787">
        <v>-4215005</v>
      </c>
      <c r="K324" s="787">
        <v>4215005</v>
      </c>
      <c r="L324" s="787"/>
      <c r="M324" s="1479">
        <f t="shared" si="10"/>
        <v>0</v>
      </c>
      <c r="O324" s="1500"/>
    </row>
    <row r="325" spans="1:15" s="276" customFormat="1" ht="16.5" customHeight="1" thickBot="1">
      <c r="A325" s="400"/>
      <c r="B325" s="401"/>
      <c r="C325" s="400"/>
      <c r="D325" s="402" t="s">
        <v>767</v>
      </c>
      <c r="E325" s="403">
        <f aca="true" t="shared" si="11" ref="E325:K325">SUBTOTAL(9,E236:E324)</f>
        <v>1245745552.3649998</v>
      </c>
      <c r="F325" s="403">
        <f t="shared" si="11"/>
        <v>543259843.78</v>
      </c>
      <c r="G325" s="403">
        <f t="shared" si="11"/>
        <v>702485709.6450001</v>
      </c>
      <c r="H325" s="403">
        <f>SUBTOTAL(9,H236:H324)</f>
        <v>42846516.98000002</v>
      </c>
      <c r="I325" s="403">
        <f t="shared" si="11"/>
        <v>1204325406.415</v>
      </c>
      <c r="J325" s="403">
        <f t="shared" si="11"/>
        <v>501595216.4199999</v>
      </c>
      <c r="K325" s="403">
        <f t="shared" si="11"/>
        <v>702730189.995</v>
      </c>
      <c r="L325" s="403">
        <f>SUBTOTAL(9,L236:L324)</f>
        <v>41153181.480000004</v>
      </c>
      <c r="M325" s="1479"/>
      <c r="O325" s="1501"/>
    </row>
    <row r="326" spans="1:15" s="295" customFormat="1" ht="16.5" customHeight="1" thickBot="1">
      <c r="A326" s="372"/>
      <c r="B326" s="399"/>
      <c r="C326" s="372"/>
      <c r="D326" s="371"/>
      <c r="E326" s="377"/>
      <c r="F326" s="377"/>
      <c r="G326" s="377"/>
      <c r="H326" s="377"/>
      <c r="I326" s="377"/>
      <c r="J326" s="377"/>
      <c r="K326" s="377"/>
      <c r="L326" s="377"/>
      <c r="M326" s="1479"/>
      <c r="O326" s="1500"/>
    </row>
    <row r="327" spans="1:15" s="274" customFormat="1" ht="16.5" customHeight="1" thickBot="1">
      <c r="A327" s="702"/>
      <c r="B327" s="401"/>
      <c r="C327" s="702" t="s">
        <v>773</v>
      </c>
      <c r="D327" s="402"/>
      <c r="E327" s="789">
        <f aca="true" t="shared" si="12" ref="E327:K327">E325+E232+E157+E98</f>
        <v>7674271004.705</v>
      </c>
      <c r="F327" s="789">
        <f t="shared" si="12"/>
        <v>3484297806.6251097</v>
      </c>
      <c r="G327" s="789">
        <f t="shared" si="12"/>
        <v>4189973198.8219895</v>
      </c>
      <c r="H327" s="789">
        <f>H325+H232+H157+H98</f>
        <v>236876327.75000006</v>
      </c>
      <c r="I327" s="789">
        <f t="shared" si="12"/>
        <v>7571764172.445</v>
      </c>
      <c r="J327" s="789">
        <f t="shared" si="12"/>
        <v>3261638473.6875033</v>
      </c>
      <c r="K327" s="789">
        <f t="shared" si="12"/>
        <v>4310125698.757496</v>
      </c>
      <c r="L327" s="789">
        <f>L325+L232+L157+L98</f>
        <v>231754068.5</v>
      </c>
      <c r="M327" s="1479"/>
      <c r="O327" s="1503"/>
    </row>
    <row r="328" spans="1:15" s="295" customFormat="1" ht="15.75" customHeight="1">
      <c r="A328" s="372"/>
      <c r="B328" s="399"/>
      <c r="C328" s="372"/>
      <c r="D328" s="371"/>
      <c r="E328" s="377"/>
      <c r="F328" s="377"/>
      <c r="G328" s="377"/>
      <c r="H328" s="377"/>
      <c r="I328" s="377"/>
      <c r="J328" s="377"/>
      <c r="K328" s="377"/>
      <c r="L328" s="377"/>
      <c r="M328" s="1479"/>
      <c r="O328" s="1500"/>
    </row>
    <row r="329" spans="1:15" s="295" customFormat="1" ht="16.5" customHeight="1" thickBot="1">
      <c r="A329" s="372"/>
      <c r="B329" s="399"/>
      <c r="C329" s="372"/>
      <c r="D329" s="371"/>
      <c r="E329" s="377"/>
      <c r="F329" s="377"/>
      <c r="G329" s="377"/>
      <c r="H329" s="377"/>
      <c r="I329" s="377"/>
      <c r="J329" s="377"/>
      <c r="K329" s="377"/>
      <c r="L329" s="377"/>
      <c r="M329" s="1479"/>
      <c r="O329" s="1500"/>
    </row>
    <row r="330" spans="1:15" s="277" customFormat="1" ht="17.25" customHeight="1" thickBot="1" thickTop="1">
      <c r="A330" s="380"/>
      <c r="B330" s="1522" t="s">
        <v>774</v>
      </c>
      <c r="C330" s="380"/>
      <c r="D330" s="378"/>
      <c r="E330" s="379">
        <f aca="true" t="shared" si="13" ref="E330:K330">E327+E58</f>
        <v>8262404003.465</v>
      </c>
      <c r="F330" s="379">
        <f t="shared" si="13"/>
        <v>3484297806.6251097</v>
      </c>
      <c r="G330" s="379">
        <f t="shared" si="13"/>
        <v>4778106197.581989</v>
      </c>
      <c r="H330" s="379">
        <f>H327+H58</f>
        <v>236876327.75000006</v>
      </c>
      <c r="I330" s="379">
        <f t="shared" si="13"/>
        <v>7992293055.874101</v>
      </c>
      <c r="J330" s="379">
        <f t="shared" si="13"/>
        <v>3261638473.6875033</v>
      </c>
      <c r="K330" s="379">
        <f t="shared" si="13"/>
        <v>4730654582.186597</v>
      </c>
      <c r="L330" s="379">
        <f>L327+L58</f>
        <v>231754068.5</v>
      </c>
      <c r="M330" s="1479"/>
      <c r="O330" s="1504"/>
    </row>
    <row r="331" spans="1:15" s="293" customFormat="1" ht="16.5" customHeight="1" thickTop="1">
      <c r="A331" s="383"/>
      <c r="B331" s="1523"/>
      <c r="C331" s="383"/>
      <c r="D331" s="381"/>
      <c r="E331" s="382"/>
      <c r="F331" s="382"/>
      <c r="G331" s="382"/>
      <c r="H331" s="382"/>
      <c r="I331" s="382"/>
      <c r="J331" s="382"/>
      <c r="K331" s="382"/>
      <c r="L331" s="382"/>
      <c r="O331" s="1497"/>
    </row>
    <row r="332" spans="1:15" s="293" customFormat="1" ht="15">
      <c r="A332" s="383"/>
      <c r="B332" s="1523"/>
      <c r="C332" s="383"/>
      <c r="D332" s="404"/>
      <c r="E332" s="217"/>
      <c r="F332" s="217"/>
      <c r="G332" s="217"/>
      <c r="H332" s="217"/>
      <c r="I332" s="217"/>
      <c r="J332" s="217"/>
      <c r="K332" s="217"/>
      <c r="L332" s="217"/>
      <c r="O332" s="1497"/>
    </row>
    <row r="333" spans="1:15" s="293" customFormat="1" ht="15">
      <c r="A333" s="383"/>
      <c r="B333" s="1523"/>
      <c r="C333" s="383"/>
      <c r="D333" s="404"/>
      <c r="E333" s="217"/>
      <c r="F333" s="217"/>
      <c r="G333" s="217"/>
      <c r="H333" s="217"/>
      <c r="I333" s="217"/>
      <c r="J333" s="217"/>
      <c r="K333" s="217"/>
      <c r="L333" s="217"/>
      <c r="O333" s="1497"/>
    </row>
    <row r="334" spans="1:15" s="293" customFormat="1" ht="15">
      <c r="A334" s="383"/>
      <c r="B334" s="1523"/>
      <c r="C334" s="383"/>
      <c r="D334" s="404"/>
      <c r="E334" s="405"/>
      <c r="F334" s="217"/>
      <c r="G334" s="217"/>
      <c r="H334" s="217"/>
      <c r="I334" s="217"/>
      <c r="J334" s="217"/>
      <c r="K334" s="217"/>
      <c r="L334" s="217"/>
      <c r="O334" s="1497"/>
    </row>
    <row r="335" spans="4:12" ht="15">
      <c r="D335" s="404"/>
      <c r="E335" s="217"/>
      <c r="F335" s="217"/>
      <c r="G335" s="217"/>
      <c r="H335" s="217"/>
      <c r="I335" s="217"/>
      <c r="J335" s="217"/>
      <c r="K335" s="217"/>
      <c r="L335" s="217"/>
    </row>
    <row r="336" spans="4:12" ht="15">
      <c r="D336" s="404"/>
      <c r="E336" s="217"/>
      <c r="F336" s="217"/>
      <c r="G336" s="217"/>
      <c r="H336" s="217"/>
      <c r="I336" s="217"/>
      <c r="J336" s="217"/>
      <c r="K336" s="217"/>
      <c r="L336" s="217"/>
    </row>
    <row r="337" spans="4:12" ht="15">
      <c r="D337" s="404"/>
      <c r="E337" s="217"/>
      <c r="F337" s="217"/>
      <c r="G337" s="217"/>
      <c r="H337" s="217"/>
      <c r="I337" s="217"/>
      <c r="J337" s="217"/>
      <c r="K337" s="217"/>
      <c r="L337" s="217"/>
    </row>
    <row r="338" ht="15">
      <c r="E338" s="406"/>
    </row>
  </sheetData>
  <sheetProtection/>
  <mergeCells count="7">
    <mergeCell ref="E10:H10"/>
    <mergeCell ref="I10:L10"/>
    <mergeCell ref="A3:K3"/>
    <mergeCell ref="A4:K4"/>
    <mergeCell ref="A5:K5"/>
    <mergeCell ref="A7:K7"/>
    <mergeCell ref="A8:K8"/>
  </mergeCells>
  <printOptions horizontalCentered="1"/>
  <pageMargins left="0.5" right="0.5" top="0.5" bottom="0.75" header="0.3" footer="0.3"/>
  <pageSetup fitToHeight="10" fitToWidth="1" horizontalDpi="600" verticalDpi="600" orientation="landscape" paperSize="5" scale="65" r:id="rId2"/>
  <drawing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M72"/>
  <sheetViews>
    <sheetView view="pageBreakPreview" zoomScale="90" zoomScaleNormal="80" zoomScaleSheetLayoutView="90" zoomScalePageLayoutView="0" workbookViewId="0" topLeftCell="A16">
      <selection activeCell="B28" sqref="B28"/>
    </sheetView>
  </sheetViews>
  <sheetFormatPr defaultColWidth="9.00390625" defaultRowHeight="12.75"/>
  <cols>
    <col min="1" max="1" width="4.125" style="71" customWidth="1"/>
    <col min="2" max="2" width="8.00390625" style="71" customWidth="1"/>
    <col min="3" max="3" width="1.625" style="71" customWidth="1"/>
    <col min="4" max="4" width="16.875" style="71" bestFit="1" customWidth="1"/>
    <col min="5" max="5" width="2.125" style="71" customWidth="1"/>
    <col min="6" max="6" width="17.00390625" style="71" customWidth="1"/>
    <col min="7" max="7" width="2.50390625" style="71" customWidth="1"/>
    <col min="8" max="8" width="18.00390625" style="71" customWidth="1"/>
    <col min="9" max="9" width="1.625" style="71" customWidth="1"/>
    <col min="10" max="10" width="13.75390625" style="71" bestFit="1" customWidth="1"/>
    <col min="11" max="11" width="3.625" style="72" customWidth="1"/>
    <col min="12" max="12" width="4.625" style="72" customWidth="1"/>
    <col min="13" max="13" width="5.00390625" style="71" customWidth="1"/>
    <col min="14" max="16384" width="9.00390625" style="71" customWidth="1"/>
  </cols>
  <sheetData>
    <row r="1" spans="1:12" s="17" customFormat="1" ht="15">
      <c r="A1" s="14" t="s">
        <v>1157</v>
      </c>
      <c r="B1" s="20"/>
      <c r="C1" s="20"/>
      <c r="D1" s="67"/>
      <c r="E1" s="67"/>
      <c r="F1" s="20"/>
      <c r="G1" s="20"/>
      <c r="I1" s="68"/>
      <c r="J1" s="168"/>
      <c r="K1" s="22"/>
      <c r="L1" s="22"/>
    </row>
    <row r="2" spans="1:13" s="13" customFormat="1" ht="17.25">
      <c r="A2" s="12"/>
      <c r="B2" s="11"/>
      <c r="C2" s="11"/>
      <c r="D2" s="43"/>
      <c r="E2" s="43"/>
      <c r="F2" s="11"/>
      <c r="G2" s="11"/>
      <c r="H2" s="11"/>
      <c r="I2" s="11"/>
      <c r="J2" s="11"/>
      <c r="K2" s="11"/>
      <c r="L2" s="11"/>
      <c r="M2" s="59"/>
    </row>
    <row r="3" spans="1:13" s="13" customFormat="1" ht="17.25">
      <c r="A3" s="1531" t="s">
        <v>228</v>
      </c>
      <c r="B3" s="1531"/>
      <c r="C3" s="1531"/>
      <c r="D3" s="1531"/>
      <c r="E3" s="1531"/>
      <c r="F3" s="1531"/>
      <c r="G3" s="1531"/>
      <c r="H3" s="1531"/>
      <c r="I3" s="1531"/>
      <c r="J3" s="1531"/>
      <c r="K3" s="1531"/>
      <c r="L3" s="165"/>
      <c r="M3" s="73"/>
    </row>
    <row r="4" spans="1:13" s="13" customFormat="1" ht="17.25">
      <c r="A4" s="1531" t="s">
        <v>111</v>
      </c>
      <c r="B4" s="1531"/>
      <c r="C4" s="1531"/>
      <c r="D4" s="1531"/>
      <c r="E4" s="1531"/>
      <c r="F4" s="1531"/>
      <c r="G4" s="1531"/>
      <c r="H4" s="1531"/>
      <c r="I4" s="1531"/>
      <c r="J4" s="1531"/>
      <c r="K4" s="1531"/>
      <c r="L4" s="165"/>
      <c r="M4" s="73"/>
    </row>
    <row r="5" spans="1:13" s="13" customFormat="1" ht="17.25">
      <c r="A5" s="1532" t="s">
        <v>1377</v>
      </c>
      <c r="B5" s="1532"/>
      <c r="C5" s="1532"/>
      <c r="D5" s="1532"/>
      <c r="E5" s="1532"/>
      <c r="F5" s="1532"/>
      <c r="G5" s="1532"/>
      <c r="H5" s="1532"/>
      <c r="I5" s="1532"/>
      <c r="J5" s="1532"/>
      <c r="K5" s="1532"/>
      <c r="L5" s="165"/>
      <c r="M5" s="73"/>
    </row>
    <row r="6" spans="1:13" s="13" customFormat="1" ht="12" customHeight="1">
      <c r="A6" s="11"/>
      <c r="B6" s="11"/>
      <c r="C6" s="11"/>
      <c r="D6" s="23"/>
      <c r="E6" s="23"/>
      <c r="F6" s="11"/>
      <c r="G6" s="11"/>
      <c r="H6" s="11"/>
      <c r="I6" s="11"/>
      <c r="J6" s="11"/>
      <c r="K6" s="11"/>
      <c r="L6" s="11"/>
      <c r="M6" s="11"/>
    </row>
    <row r="7" spans="1:13" s="13" customFormat="1" ht="17.25">
      <c r="A7" s="1533" t="s">
        <v>1158</v>
      </c>
      <c r="B7" s="1533"/>
      <c r="C7" s="1533"/>
      <c r="D7" s="1533"/>
      <c r="E7" s="1533"/>
      <c r="F7" s="1533"/>
      <c r="G7" s="1533"/>
      <c r="H7" s="1533"/>
      <c r="I7" s="1533"/>
      <c r="J7" s="1533"/>
      <c r="K7" s="1533"/>
      <c r="L7" s="166"/>
      <c r="M7" s="29"/>
    </row>
    <row r="8" spans="1:13" ht="17.25">
      <c r="A8" s="1531" t="s">
        <v>357</v>
      </c>
      <c r="B8" s="1531"/>
      <c r="C8" s="1531"/>
      <c r="D8" s="1531"/>
      <c r="E8" s="1531"/>
      <c r="F8" s="1531"/>
      <c r="G8" s="1531"/>
      <c r="H8" s="1531"/>
      <c r="I8" s="1531"/>
      <c r="J8" s="1531"/>
      <c r="K8" s="1531"/>
      <c r="L8" s="165"/>
      <c r="M8" s="73"/>
    </row>
    <row r="9" spans="1:13" ht="17.25">
      <c r="A9" s="1531" t="s">
        <v>358</v>
      </c>
      <c r="B9" s="1531"/>
      <c r="C9" s="1531"/>
      <c r="D9" s="1531"/>
      <c r="E9" s="1531"/>
      <c r="F9" s="1531"/>
      <c r="G9" s="1531"/>
      <c r="H9" s="1531"/>
      <c r="I9" s="1531"/>
      <c r="J9" s="1531"/>
      <c r="K9" s="1531"/>
      <c r="L9" s="165"/>
      <c r="M9" s="73"/>
    </row>
    <row r="10" spans="1:13" ht="17.25">
      <c r="A10" s="161"/>
      <c r="B10" s="161"/>
      <c r="C10" s="165"/>
      <c r="D10" s="161"/>
      <c r="E10" s="165"/>
      <c r="F10" s="161"/>
      <c r="G10" s="165"/>
      <c r="H10" s="161"/>
      <c r="I10" s="165"/>
      <c r="J10" s="165"/>
      <c r="K10" s="161"/>
      <c r="L10" s="165"/>
      <c r="M10" s="161"/>
    </row>
    <row r="11" spans="2:12" s="516" customFormat="1" ht="15">
      <c r="B11" s="517"/>
      <c r="C11" s="517"/>
      <c r="D11" s="518"/>
      <c r="E11" s="518"/>
      <c r="F11" s="518"/>
      <c r="G11" s="518"/>
      <c r="H11" s="518"/>
      <c r="I11" s="518"/>
      <c r="J11" s="518"/>
      <c r="K11" s="519"/>
      <c r="L11" s="519"/>
    </row>
    <row r="12" spans="2:12" s="520" customFormat="1" ht="15">
      <c r="B12" s="521"/>
      <c r="C12" s="521"/>
      <c r="D12" s="522" t="s">
        <v>213</v>
      </c>
      <c r="E12" s="522"/>
      <c r="F12" s="522"/>
      <c r="G12" s="522"/>
      <c r="K12" s="522"/>
      <c r="L12" s="522"/>
    </row>
    <row r="13" spans="2:12" s="520" customFormat="1" ht="15">
      <c r="B13" s="521"/>
      <c r="C13" s="521"/>
      <c r="D13" s="520" t="s">
        <v>214</v>
      </c>
      <c r="F13" s="522" t="s">
        <v>215</v>
      </c>
      <c r="G13" s="522"/>
      <c r="H13" s="522" t="s">
        <v>216</v>
      </c>
      <c r="I13" s="522"/>
      <c r="J13" s="522" t="s">
        <v>68</v>
      </c>
      <c r="L13" s="522"/>
    </row>
    <row r="14" spans="2:12" s="520" customFormat="1" ht="15">
      <c r="B14" s="521"/>
      <c r="C14" s="521"/>
      <c r="D14" s="520" t="s">
        <v>217</v>
      </c>
      <c r="F14" s="520" t="s">
        <v>214</v>
      </c>
      <c r="H14" s="522" t="s">
        <v>218</v>
      </c>
      <c r="I14" s="522"/>
      <c r="J14" s="522" t="s">
        <v>214</v>
      </c>
      <c r="L14" s="522"/>
    </row>
    <row r="15" spans="2:12" s="520" customFormat="1" ht="18.75">
      <c r="B15" s="523" t="s">
        <v>219</v>
      </c>
      <c r="C15" s="523"/>
      <c r="D15" s="524" t="s">
        <v>949</v>
      </c>
      <c r="E15" s="524"/>
      <c r="F15" s="525" t="s">
        <v>950</v>
      </c>
      <c r="G15" s="525"/>
      <c r="H15" s="524" t="s">
        <v>951</v>
      </c>
      <c r="I15" s="524"/>
      <c r="J15" s="524" t="s">
        <v>95</v>
      </c>
      <c r="L15" s="524"/>
    </row>
    <row r="16" spans="2:12" s="516" customFormat="1" ht="15">
      <c r="B16" s="526" t="s">
        <v>220</v>
      </c>
      <c r="C16" s="526"/>
      <c r="D16" s="526" t="s">
        <v>221</v>
      </c>
      <c r="E16" s="526"/>
      <c r="F16" s="526" t="s">
        <v>222</v>
      </c>
      <c r="G16" s="526"/>
      <c r="H16" s="526" t="s">
        <v>223</v>
      </c>
      <c r="I16" s="526"/>
      <c r="J16" s="526" t="s">
        <v>224</v>
      </c>
      <c r="K16" s="527"/>
      <c r="L16" s="526"/>
    </row>
    <row r="17" spans="2:12" s="516" customFormat="1" ht="18.75">
      <c r="B17" s="528"/>
      <c r="C17" s="528"/>
      <c r="D17" s="529"/>
      <c r="E17" s="529"/>
      <c r="F17" s="529"/>
      <c r="G17" s="529"/>
      <c r="H17" s="529"/>
      <c r="I17" s="529"/>
      <c r="J17" s="519"/>
      <c r="K17" s="527"/>
      <c r="L17" s="519"/>
    </row>
    <row r="18" spans="2:12" s="516" customFormat="1" ht="15">
      <c r="B18" s="517">
        <v>1988</v>
      </c>
      <c r="C18" s="517"/>
      <c r="D18" s="769">
        <v>108936778</v>
      </c>
      <c r="E18" s="530"/>
      <c r="F18" s="518">
        <f aca="true" t="shared" si="0" ref="F18:F49">D18-H18</f>
        <v>106758042.44</v>
      </c>
      <c r="G18" s="518"/>
      <c r="H18" s="530">
        <f aca="true" t="shared" si="1" ref="H18:H49">$D$18/50</f>
        <v>2178735.56</v>
      </c>
      <c r="I18" s="530"/>
      <c r="J18" s="519"/>
      <c r="K18" s="527"/>
      <c r="L18" s="519"/>
    </row>
    <row r="19" spans="2:12" s="516" customFormat="1" ht="15">
      <c r="B19" s="517">
        <f aca="true" t="shared" si="2" ref="B19:B67">1+B18</f>
        <v>1989</v>
      </c>
      <c r="C19" s="517"/>
      <c r="D19" s="530">
        <f aca="true" t="shared" si="3" ref="D19:D50">D18-H18</f>
        <v>106758042.44</v>
      </c>
      <c r="E19" s="530"/>
      <c r="F19" s="518">
        <f t="shared" si="0"/>
        <v>104579306.88</v>
      </c>
      <c r="G19" s="518"/>
      <c r="H19" s="530">
        <f t="shared" si="1"/>
        <v>2178735.56</v>
      </c>
      <c r="I19" s="530"/>
      <c r="J19" s="519"/>
      <c r="K19" s="527"/>
      <c r="L19" s="519"/>
    </row>
    <row r="20" spans="2:12" s="516" customFormat="1" ht="15">
      <c r="B20" s="517">
        <f t="shared" si="2"/>
        <v>1990</v>
      </c>
      <c r="C20" s="517"/>
      <c r="D20" s="530">
        <f t="shared" si="3"/>
        <v>104579306.88</v>
      </c>
      <c r="E20" s="530"/>
      <c r="F20" s="518">
        <f t="shared" si="0"/>
        <v>102400571.32</v>
      </c>
      <c r="G20" s="518"/>
      <c r="H20" s="530">
        <f t="shared" si="1"/>
        <v>2178735.56</v>
      </c>
      <c r="I20" s="530"/>
      <c r="J20" s="519"/>
      <c r="K20" s="527"/>
      <c r="L20" s="519"/>
    </row>
    <row r="21" spans="2:12" s="516" customFormat="1" ht="15">
      <c r="B21" s="517">
        <f t="shared" si="2"/>
        <v>1991</v>
      </c>
      <c r="C21" s="517"/>
      <c r="D21" s="530">
        <f t="shared" si="3"/>
        <v>102400571.32</v>
      </c>
      <c r="E21" s="530"/>
      <c r="F21" s="518">
        <f t="shared" si="0"/>
        <v>100221835.75999999</v>
      </c>
      <c r="G21" s="518"/>
      <c r="H21" s="530">
        <f t="shared" si="1"/>
        <v>2178735.56</v>
      </c>
      <c r="I21" s="530"/>
      <c r="J21" s="519"/>
      <c r="K21" s="527"/>
      <c r="L21" s="519"/>
    </row>
    <row r="22" spans="2:12" s="516" customFormat="1" ht="15">
      <c r="B22" s="517">
        <f t="shared" si="2"/>
        <v>1992</v>
      </c>
      <c r="C22" s="517"/>
      <c r="D22" s="530">
        <f t="shared" si="3"/>
        <v>100221835.75999999</v>
      </c>
      <c r="E22" s="530"/>
      <c r="F22" s="518">
        <f t="shared" si="0"/>
        <v>98043100.19999999</v>
      </c>
      <c r="G22" s="518"/>
      <c r="H22" s="530">
        <f t="shared" si="1"/>
        <v>2178735.56</v>
      </c>
      <c r="I22" s="530"/>
      <c r="J22" s="519"/>
      <c r="K22" s="527"/>
      <c r="L22" s="519"/>
    </row>
    <row r="23" spans="2:12" s="516" customFormat="1" ht="15">
      <c r="B23" s="517">
        <f t="shared" si="2"/>
        <v>1993</v>
      </c>
      <c r="C23" s="517"/>
      <c r="D23" s="530">
        <f t="shared" si="3"/>
        <v>98043100.19999999</v>
      </c>
      <c r="E23" s="530"/>
      <c r="F23" s="518">
        <f t="shared" si="0"/>
        <v>95864364.63999999</v>
      </c>
      <c r="G23" s="518"/>
      <c r="H23" s="530">
        <f t="shared" si="1"/>
        <v>2178735.56</v>
      </c>
      <c r="I23" s="530"/>
      <c r="J23" s="519"/>
      <c r="K23" s="527"/>
      <c r="L23" s="519"/>
    </row>
    <row r="24" spans="2:12" s="516" customFormat="1" ht="15">
      <c r="B24" s="517">
        <f t="shared" si="2"/>
        <v>1994</v>
      </c>
      <c r="C24" s="517"/>
      <c r="D24" s="530">
        <f t="shared" si="3"/>
        <v>95864364.63999999</v>
      </c>
      <c r="E24" s="530"/>
      <c r="F24" s="518">
        <f t="shared" si="0"/>
        <v>93685629.07999998</v>
      </c>
      <c r="G24" s="518"/>
      <c r="H24" s="530">
        <f t="shared" si="1"/>
        <v>2178735.56</v>
      </c>
      <c r="I24" s="530"/>
      <c r="J24" s="519"/>
      <c r="K24" s="527"/>
      <c r="L24" s="519"/>
    </row>
    <row r="25" spans="2:12" s="516" customFormat="1" ht="15">
      <c r="B25" s="517">
        <f t="shared" si="2"/>
        <v>1995</v>
      </c>
      <c r="C25" s="517"/>
      <c r="D25" s="530">
        <f t="shared" si="3"/>
        <v>93685629.07999998</v>
      </c>
      <c r="E25" s="530"/>
      <c r="F25" s="518">
        <f t="shared" si="0"/>
        <v>91506893.51999998</v>
      </c>
      <c r="G25" s="518"/>
      <c r="H25" s="530">
        <f t="shared" si="1"/>
        <v>2178735.56</v>
      </c>
      <c r="I25" s="530"/>
      <c r="J25" s="519"/>
      <c r="K25" s="527"/>
      <c r="L25" s="519"/>
    </row>
    <row r="26" spans="2:12" s="516" customFormat="1" ht="15">
      <c r="B26" s="517">
        <f t="shared" si="2"/>
        <v>1996</v>
      </c>
      <c r="C26" s="517"/>
      <c r="D26" s="530">
        <f t="shared" si="3"/>
        <v>91506893.51999998</v>
      </c>
      <c r="E26" s="530"/>
      <c r="F26" s="518">
        <f t="shared" si="0"/>
        <v>89328157.95999998</v>
      </c>
      <c r="G26" s="518"/>
      <c r="H26" s="530">
        <f t="shared" si="1"/>
        <v>2178735.56</v>
      </c>
      <c r="I26" s="530"/>
      <c r="J26" s="519"/>
      <c r="K26" s="527"/>
      <c r="L26" s="519"/>
    </row>
    <row r="27" spans="2:12" s="516" customFormat="1" ht="15">
      <c r="B27" s="517">
        <f t="shared" si="2"/>
        <v>1997</v>
      </c>
      <c r="C27" s="517"/>
      <c r="D27" s="530">
        <f t="shared" si="3"/>
        <v>89328157.95999998</v>
      </c>
      <c r="E27" s="530"/>
      <c r="F27" s="518">
        <f t="shared" si="0"/>
        <v>87149422.39999998</v>
      </c>
      <c r="G27" s="518"/>
      <c r="H27" s="530">
        <f t="shared" si="1"/>
        <v>2178735.56</v>
      </c>
      <c r="I27" s="530"/>
      <c r="J27" s="531"/>
      <c r="K27" s="527"/>
      <c r="L27" s="531"/>
    </row>
    <row r="28" spans="2:12" s="516" customFormat="1" ht="15">
      <c r="B28" s="517">
        <f t="shared" si="2"/>
        <v>1998</v>
      </c>
      <c r="C28" s="517"/>
      <c r="D28" s="530">
        <f t="shared" si="3"/>
        <v>87149422.39999998</v>
      </c>
      <c r="E28" s="530"/>
      <c r="F28" s="518">
        <f t="shared" si="0"/>
        <v>84970686.83999997</v>
      </c>
      <c r="G28" s="518"/>
      <c r="H28" s="530">
        <f t="shared" si="1"/>
        <v>2178735.56</v>
      </c>
      <c r="I28" s="530"/>
      <c r="J28" s="519"/>
      <c r="K28" s="527"/>
      <c r="L28" s="519"/>
    </row>
    <row r="29" spans="2:12" s="516" customFormat="1" ht="15">
      <c r="B29" s="517">
        <f t="shared" si="2"/>
        <v>1999</v>
      </c>
      <c r="C29" s="517"/>
      <c r="D29" s="530">
        <f t="shared" si="3"/>
        <v>84970686.83999997</v>
      </c>
      <c r="E29" s="530"/>
      <c r="F29" s="518">
        <f t="shared" si="0"/>
        <v>82791951.27999997</v>
      </c>
      <c r="G29" s="518"/>
      <c r="H29" s="530">
        <f t="shared" si="1"/>
        <v>2178735.56</v>
      </c>
      <c r="I29" s="530"/>
      <c r="J29" s="519"/>
      <c r="K29" s="527"/>
      <c r="L29" s="519"/>
    </row>
    <row r="30" spans="2:12" s="516" customFormat="1" ht="15">
      <c r="B30" s="517">
        <f t="shared" si="2"/>
        <v>2000</v>
      </c>
      <c r="C30" s="517"/>
      <c r="D30" s="530">
        <f t="shared" si="3"/>
        <v>82791951.27999997</v>
      </c>
      <c r="E30" s="530"/>
      <c r="F30" s="518">
        <f t="shared" si="0"/>
        <v>80613215.71999997</v>
      </c>
      <c r="G30" s="518"/>
      <c r="H30" s="530">
        <f t="shared" si="1"/>
        <v>2178735.56</v>
      </c>
      <c r="I30" s="530"/>
      <c r="J30" s="519"/>
      <c r="K30" s="527"/>
      <c r="L30" s="519"/>
    </row>
    <row r="31" spans="2:12" s="516" customFormat="1" ht="15">
      <c r="B31" s="517">
        <f t="shared" si="2"/>
        <v>2001</v>
      </c>
      <c r="C31" s="517"/>
      <c r="D31" s="530">
        <f t="shared" si="3"/>
        <v>80613215.71999997</v>
      </c>
      <c r="E31" s="530"/>
      <c r="F31" s="518">
        <f t="shared" si="0"/>
        <v>78434480.15999997</v>
      </c>
      <c r="G31" s="518"/>
      <c r="H31" s="530">
        <f t="shared" si="1"/>
        <v>2178735.56</v>
      </c>
      <c r="I31" s="530"/>
      <c r="J31" s="519"/>
      <c r="K31" s="527"/>
      <c r="L31" s="519"/>
    </row>
    <row r="32" spans="2:12" s="516" customFormat="1" ht="15">
      <c r="B32" s="517">
        <f t="shared" si="2"/>
        <v>2002</v>
      </c>
      <c r="C32" s="517"/>
      <c r="D32" s="530">
        <f t="shared" si="3"/>
        <v>78434480.15999997</v>
      </c>
      <c r="E32" s="530"/>
      <c r="F32" s="518">
        <f t="shared" si="0"/>
        <v>76255744.59999996</v>
      </c>
      <c r="G32" s="518"/>
      <c r="H32" s="530">
        <f t="shared" si="1"/>
        <v>2178735.56</v>
      </c>
      <c r="I32" s="530"/>
      <c r="J32" s="519"/>
      <c r="K32" s="527"/>
      <c r="L32" s="519"/>
    </row>
    <row r="33" spans="2:12" s="516" customFormat="1" ht="15">
      <c r="B33" s="517">
        <f t="shared" si="2"/>
        <v>2003</v>
      </c>
      <c r="C33" s="517"/>
      <c r="D33" s="530">
        <f t="shared" si="3"/>
        <v>76255744.59999996</v>
      </c>
      <c r="E33" s="530"/>
      <c r="F33" s="518">
        <f t="shared" si="0"/>
        <v>74077009.03999996</v>
      </c>
      <c r="G33" s="518"/>
      <c r="H33" s="530">
        <f t="shared" si="1"/>
        <v>2178735.56</v>
      </c>
      <c r="I33" s="530"/>
      <c r="J33" s="519"/>
      <c r="K33" s="527"/>
      <c r="L33" s="519"/>
    </row>
    <row r="34" spans="2:12" s="516" customFormat="1" ht="15">
      <c r="B34" s="517">
        <f t="shared" si="2"/>
        <v>2004</v>
      </c>
      <c r="C34" s="517"/>
      <c r="D34" s="530">
        <f t="shared" si="3"/>
        <v>74077009.03999996</v>
      </c>
      <c r="E34" s="530"/>
      <c r="F34" s="518">
        <f t="shared" si="0"/>
        <v>71898273.47999996</v>
      </c>
      <c r="G34" s="518"/>
      <c r="H34" s="530">
        <f t="shared" si="1"/>
        <v>2178735.56</v>
      </c>
      <c r="I34" s="530"/>
      <c r="J34" s="519"/>
      <c r="K34" s="527"/>
      <c r="L34" s="519"/>
    </row>
    <row r="35" spans="2:12" s="516" customFormat="1" ht="15">
      <c r="B35" s="517">
        <f t="shared" si="2"/>
        <v>2005</v>
      </c>
      <c r="C35" s="517"/>
      <c r="D35" s="530">
        <f t="shared" si="3"/>
        <v>71898273.47999996</v>
      </c>
      <c r="E35" s="530"/>
      <c r="F35" s="518">
        <f t="shared" si="0"/>
        <v>69719537.91999996</v>
      </c>
      <c r="G35" s="518"/>
      <c r="H35" s="530">
        <f t="shared" si="1"/>
        <v>2178735.56</v>
      </c>
      <c r="I35" s="530"/>
      <c r="J35" s="519"/>
      <c r="K35" s="527"/>
      <c r="L35" s="519"/>
    </row>
    <row r="36" spans="2:12" s="516" customFormat="1" ht="15">
      <c r="B36" s="517">
        <f t="shared" si="2"/>
        <v>2006</v>
      </c>
      <c r="C36" s="517"/>
      <c r="D36" s="530">
        <f t="shared" si="3"/>
        <v>69719537.91999996</v>
      </c>
      <c r="E36" s="530"/>
      <c r="F36" s="518">
        <f t="shared" si="0"/>
        <v>67540802.35999995</v>
      </c>
      <c r="G36" s="518"/>
      <c r="H36" s="530">
        <f t="shared" si="1"/>
        <v>2178735.56</v>
      </c>
      <c r="I36" s="530"/>
      <c r="J36" s="519"/>
      <c r="K36" s="527"/>
      <c r="L36" s="519"/>
    </row>
    <row r="37" spans="2:12" s="516" customFormat="1" ht="15">
      <c r="B37" s="517">
        <f t="shared" si="2"/>
        <v>2007</v>
      </c>
      <c r="C37" s="517"/>
      <c r="D37" s="530">
        <f t="shared" si="3"/>
        <v>67540802.35999995</v>
      </c>
      <c r="E37" s="530"/>
      <c r="F37" s="518">
        <f t="shared" si="0"/>
        <v>65362066.79999995</v>
      </c>
      <c r="G37" s="518"/>
      <c r="H37" s="530">
        <f t="shared" si="1"/>
        <v>2178735.56</v>
      </c>
      <c r="I37" s="530"/>
      <c r="J37" s="519"/>
      <c r="K37" s="527"/>
      <c r="L37" s="519"/>
    </row>
    <row r="38" spans="2:12" s="516" customFormat="1" ht="15">
      <c r="B38" s="517">
        <f t="shared" si="2"/>
        <v>2008</v>
      </c>
      <c r="C38" s="517"/>
      <c r="D38" s="530">
        <f t="shared" si="3"/>
        <v>65362066.79999995</v>
      </c>
      <c r="E38" s="530"/>
      <c r="F38" s="518">
        <f t="shared" si="0"/>
        <v>63183331.23999995</v>
      </c>
      <c r="G38" s="518"/>
      <c r="H38" s="530">
        <f t="shared" si="1"/>
        <v>2178735.56</v>
      </c>
      <c r="I38" s="530"/>
      <c r="J38" s="519"/>
      <c r="K38" s="527"/>
      <c r="L38" s="519"/>
    </row>
    <row r="39" spans="2:12" s="516" customFormat="1" ht="15">
      <c r="B39" s="517">
        <f t="shared" si="2"/>
        <v>2009</v>
      </c>
      <c r="C39" s="517"/>
      <c r="D39" s="530">
        <f t="shared" si="3"/>
        <v>63183331.23999995</v>
      </c>
      <c r="E39" s="530"/>
      <c r="F39" s="518">
        <f t="shared" si="0"/>
        <v>61004595.67999995</v>
      </c>
      <c r="G39" s="518"/>
      <c r="H39" s="530">
        <f t="shared" si="1"/>
        <v>2178735.56</v>
      </c>
      <c r="I39" s="530"/>
      <c r="J39" s="519"/>
      <c r="K39" s="527"/>
      <c r="L39" s="519"/>
    </row>
    <row r="40" spans="2:12" s="516" customFormat="1" ht="15">
      <c r="B40" s="517">
        <f t="shared" si="2"/>
        <v>2010</v>
      </c>
      <c r="C40" s="517"/>
      <c r="D40" s="530">
        <f t="shared" si="3"/>
        <v>61004595.67999995</v>
      </c>
      <c r="E40" s="530"/>
      <c r="F40" s="518">
        <f t="shared" si="0"/>
        <v>58825860.119999945</v>
      </c>
      <c r="G40" s="518"/>
      <c r="H40" s="530">
        <f t="shared" si="1"/>
        <v>2178735.56</v>
      </c>
      <c r="I40" s="530"/>
      <c r="J40" s="531"/>
      <c r="K40" s="527"/>
      <c r="L40" s="531"/>
    </row>
    <row r="41" spans="2:12" s="516" customFormat="1" ht="15">
      <c r="B41" s="517">
        <f t="shared" si="2"/>
        <v>2011</v>
      </c>
      <c r="C41" s="517"/>
      <c r="D41" s="530">
        <f t="shared" si="3"/>
        <v>58825860.119999945</v>
      </c>
      <c r="E41" s="530"/>
      <c r="F41" s="518">
        <f t="shared" si="0"/>
        <v>56647124.55999994</v>
      </c>
      <c r="G41" s="518"/>
      <c r="H41" s="530">
        <f t="shared" si="1"/>
        <v>2178735.56</v>
      </c>
      <c r="I41" s="530"/>
      <c r="J41" s="531"/>
      <c r="K41" s="527"/>
      <c r="L41" s="531"/>
    </row>
    <row r="42" spans="2:12" s="516" customFormat="1" ht="15">
      <c r="B42" s="532">
        <f t="shared" si="2"/>
        <v>2012</v>
      </c>
      <c r="C42" s="532"/>
      <c r="D42" s="533">
        <f t="shared" si="3"/>
        <v>56647124.55999994</v>
      </c>
      <c r="E42" s="533"/>
      <c r="F42" s="534">
        <f t="shared" si="0"/>
        <v>54468388.99999994</v>
      </c>
      <c r="G42" s="534"/>
      <c r="H42" s="533">
        <f t="shared" si="1"/>
        <v>2178735.56</v>
      </c>
      <c r="I42" s="533"/>
      <c r="J42" s="1437"/>
      <c r="K42" s="527"/>
      <c r="L42" s="531"/>
    </row>
    <row r="43" spans="2:12" s="516" customFormat="1" ht="15">
      <c r="B43" s="517">
        <f t="shared" si="2"/>
        <v>2013</v>
      </c>
      <c r="C43" s="517"/>
      <c r="D43" s="533">
        <f t="shared" si="3"/>
        <v>54468388.99999994</v>
      </c>
      <c r="E43" s="533"/>
      <c r="F43" s="534">
        <f t="shared" si="0"/>
        <v>52289653.43999994</v>
      </c>
      <c r="G43" s="534"/>
      <c r="H43" s="533">
        <f t="shared" si="1"/>
        <v>2178735.56</v>
      </c>
      <c r="I43" s="533"/>
      <c r="K43" s="527"/>
      <c r="L43" s="531"/>
    </row>
    <row r="44" spans="2:12" s="516" customFormat="1" ht="15">
      <c r="B44" s="517">
        <f t="shared" si="2"/>
        <v>2014</v>
      </c>
      <c r="C44" s="517"/>
      <c r="D44" s="533">
        <f t="shared" si="3"/>
        <v>52289653.43999994</v>
      </c>
      <c r="E44" s="533"/>
      <c r="F44" s="534">
        <f t="shared" si="0"/>
        <v>50110917.879999936</v>
      </c>
      <c r="G44" s="534"/>
      <c r="H44" s="533">
        <f t="shared" si="1"/>
        <v>2178735.56</v>
      </c>
      <c r="I44" s="533"/>
      <c r="K44" s="527"/>
      <c r="L44" s="531"/>
    </row>
    <row r="45" spans="2:12" s="516" customFormat="1" ht="15">
      <c r="B45" s="1459">
        <f t="shared" si="2"/>
        <v>2015</v>
      </c>
      <c r="C45" s="1459"/>
      <c r="D45" s="535">
        <f t="shared" si="3"/>
        <v>50110917.879999936</v>
      </c>
      <c r="E45" s="535"/>
      <c r="F45" s="536">
        <f t="shared" si="0"/>
        <v>47932182.31999993</v>
      </c>
      <c r="G45" s="536"/>
      <c r="H45" s="535">
        <f t="shared" si="1"/>
        <v>2178735.56</v>
      </c>
      <c r="I45" s="535"/>
      <c r="J45" s="771">
        <f>+(F44+F45)/2</f>
        <v>49021550.099999934</v>
      </c>
      <c r="K45" s="527"/>
      <c r="L45" s="519"/>
    </row>
    <row r="46" spans="2:12" s="516" customFormat="1" ht="15">
      <c r="B46" s="517">
        <f t="shared" si="2"/>
        <v>2016</v>
      </c>
      <c r="C46" s="517"/>
      <c r="D46" s="530">
        <f t="shared" si="3"/>
        <v>47932182.31999993</v>
      </c>
      <c r="E46" s="530"/>
      <c r="F46" s="518">
        <f t="shared" si="0"/>
        <v>45753446.75999993</v>
      </c>
      <c r="G46" s="518"/>
      <c r="H46" s="530">
        <f t="shared" si="1"/>
        <v>2178735.56</v>
      </c>
      <c r="I46" s="530"/>
      <c r="J46" s="770"/>
      <c r="K46" s="527"/>
      <c r="L46" s="519"/>
    </row>
    <row r="47" spans="2:12" s="516" customFormat="1" ht="15">
      <c r="B47" s="517">
        <f t="shared" si="2"/>
        <v>2017</v>
      </c>
      <c r="C47" s="517"/>
      <c r="D47" s="530">
        <f t="shared" si="3"/>
        <v>45753446.75999993</v>
      </c>
      <c r="E47" s="530"/>
      <c r="F47" s="518">
        <f t="shared" si="0"/>
        <v>43574711.19999993</v>
      </c>
      <c r="G47" s="518"/>
      <c r="H47" s="530">
        <f t="shared" si="1"/>
        <v>2178735.56</v>
      </c>
      <c r="I47" s="530"/>
      <c r="J47" s="770"/>
      <c r="K47" s="527"/>
      <c r="L47" s="519"/>
    </row>
    <row r="48" spans="2:12" s="516" customFormat="1" ht="15">
      <c r="B48" s="517">
        <f t="shared" si="2"/>
        <v>2018</v>
      </c>
      <c r="C48" s="517"/>
      <c r="D48" s="530">
        <f t="shared" si="3"/>
        <v>43574711.19999993</v>
      </c>
      <c r="E48" s="530"/>
      <c r="F48" s="518">
        <f t="shared" si="0"/>
        <v>41395975.639999926</v>
      </c>
      <c r="G48" s="518"/>
      <c r="H48" s="530">
        <f t="shared" si="1"/>
        <v>2178735.56</v>
      </c>
      <c r="I48" s="530"/>
      <c r="J48" s="770"/>
      <c r="K48" s="527"/>
      <c r="L48" s="519"/>
    </row>
    <row r="49" spans="2:12" s="516" customFormat="1" ht="15">
      <c r="B49" s="517">
        <f t="shared" si="2"/>
        <v>2019</v>
      </c>
      <c r="C49" s="517"/>
      <c r="D49" s="530">
        <f t="shared" si="3"/>
        <v>41395975.639999926</v>
      </c>
      <c r="E49" s="530"/>
      <c r="F49" s="518">
        <f t="shared" si="0"/>
        <v>39217240.07999992</v>
      </c>
      <c r="G49" s="518"/>
      <c r="H49" s="530">
        <f t="shared" si="1"/>
        <v>2178735.56</v>
      </c>
      <c r="I49" s="530"/>
      <c r="J49" s="770"/>
      <c r="K49" s="527"/>
      <c r="L49" s="519"/>
    </row>
    <row r="50" spans="2:12" s="516" customFormat="1" ht="15">
      <c r="B50" s="517">
        <f t="shared" si="2"/>
        <v>2020</v>
      </c>
      <c r="C50" s="517"/>
      <c r="D50" s="530">
        <f t="shared" si="3"/>
        <v>39217240.07999992</v>
      </c>
      <c r="E50" s="530"/>
      <c r="F50" s="518">
        <f aca="true" t="shared" si="4" ref="F50:F66">D50-H50</f>
        <v>37038504.51999992</v>
      </c>
      <c r="G50" s="518"/>
      <c r="H50" s="530">
        <f aca="true" t="shared" si="5" ref="H50:H67">$D$18/50</f>
        <v>2178735.56</v>
      </c>
      <c r="I50" s="530"/>
      <c r="J50" s="770"/>
      <c r="K50" s="527"/>
      <c r="L50" s="519"/>
    </row>
    <row r="51" spans="2:12" s="516" customFormat="1" ht="15">
      <c r="B51" s="517">
        <f t="shared" si="2"/>
        <v>2021</v>
      </c>
      <c r="C51" s="517"/>
      <c r="D51" s="530">
        <f aca="true" t="shared" si="6" ref="D51:D67">D50-H50</f>
        <v>37038504.51999992</v>
      </c>
      <c r="E51" s="530"/>
      <c r="F51" s="518">
        <f t="shared" si="4"/>
        <v>34859768.95999992</v>
      </c>
      <c r="G51" s="518"/>
      <c r="H51" s="530">
        <f t="shared" si="5"/>
        <v>2178735.56</v>
      </c>
      <c r="I51" s="530"/>
      <c r="J51" s="770"/>
      <c r="K51" s="527"/>
      <c r="L51" s="519"/>
    </row>
    <row r="52" spans="2:12" s="516" customFormat="1" ht="15">
      <c r="B52" s="517">
        <f t="shared" si="2"/>
        <v>2022</v>
      </c>
      <c r="C52" s="517"/>
      <c r="D52" s="530">
        <f t="shared" si="6"/>
        <v>34859768.95999992</v>
      </c>
      <c r="E52" s="530"/>
      <c r="F52" s="518">
        <f t="shared" si="4"/>
        <v>32681033.39999992</v>
      </c>
      <c r="G52" s="518"/>
      <c r="H52" s="530">
        <f t="shared" si="5"/>
        <v>2178735.56</v>
      </c>
      <c r="I52" s="530"/>
      <c r="J52" s="770"/>
      <c r="K52" s="527"/>
      <c r="L52" s="519"/>
    </row>
    <row r="53" spans="2:12" s="516" customFormat="1" ht="15">
      <c r="B53" s="517">
        <f t="shared" si="2"/>
        <v>2023</v>
      </c>
      <c r="C53" s="517"/>
      <c r="D53" s="530">
        <f t="shared" si="6"/>
        <v>32681033.39999992</v>
      </c>
      <c r="E53" s="530"/>
      <c r="F53" s="518">
        <f t="shared" si="4"/>
        <v>30502297.83999992</v>
      </c>
      <c r="G53" s="518"/>
      <c r="H53" s="530">
        <f t="shared" si="5"/>
        <v>2178735.56</v>
      </c>
      <c r="I53" s="530"/>
      <c r="J53" s="770"/>
      <c r="K53" s="527"/>
      <c r="L53" s="519"/>
    </row>
    <row r="54" spans="2:12" s="516" customFormat="1" ht="15">
      <c r="B54" s="517">
        <f t="shared" si="2"/>
        <v>2024</v>
      </c>
      <c r="C54" s="517"/>
      <c r="D54" s="530">
        <f t="shared" si="6"/>
        <v>30502297.83999992</v>
      </c>
      <c r="E54" s="530"/>
      <c r="F54" s="518">
        <f t="shared" si="4"/>
        <v>28323562.279999923</v>
      </c>
      <c r="G54" s="518"/>
      <c r="H54" s="530">
        <f t="shared" si="5"/>
        <v>2178735.56</v>
      </c>
      <c r="I54" s="530"/>
      <c r="J54" s="770"/>
      <c r="K54" s="527"/>
      <c r="L54" s="519"/>
    </row>
    <row r="55" spans="2:12" s="516" customFormat="1" ht="15">
      <c r="B55" s="517">
        <f t="shared" si="2"/>
        <v>2025</v>
      </c>
      <c r="C55" s="517"/>
      <c r="D55" s="530">
        <f t="shared" si="6"/>
        <v>28323562.279999923</v>
      </c>
      <c r="E55" s="530"/>
      <c r="F55" s="518">
        <f t="shared" si="4"/>
        <v>26144826.719999924</v>
      </c>
      <c r="G55" s="518"/>
      <c r="H55" s="530">
        <f t="shared" si="5"/>
        <v>2178735.56</v>
      </c>
      <c r="I55" s="530"/>
      <c r="J55" s="770"/>
      <c r="K55" s="527"/>
      <c r="L55" s="519"/>
    </row>
    <row r="56" spans="2:12" s="516" customFormat="1" ht="15">
      <c r="B56" s="517">
        <f t="shared" si="2"/>
        <v>2026</v>
      </c>
      <c r="C56" s="517"/>
      <c r="D56" s="530">
        <f t="shared" si="6"/>
        <v>26144826.719999924</v>
      </c>
      <c r="E56" s="530"/>
      <c r="F56" s="518">
        <f t="shared" si="4"/>
        <v>23966091.159999926</v>
      </c>
      <c r="G56" s="518"/>
      <c r="H56" s="530">
        <f t="shared" si="5"/>
        <v>2178735.56</v>
      </c>
      <c r="I56" s="530"/>
      <c r="J56" s="770"/>
      <c r="K56" s="527"/>
      <c r="L56" s="519"/>
    </row>
    <row r="57" spans="2:12" s="516" customFormat="1" ht="15">
      <c r="B57" s="517">
        <f t="shared" si="2"/>
        <v>2027</v>
      </c>
      <c r="C57" s="517"/>
      <c r="D57" s="530">
        <f t="shared" si="6"/>
        <v>23966091.159999926</v>
      </c>
      <c r="E57" s="530"/>
      <c r="F57" s="518">
        <f t="shared" si="4"/>
        <v>21787355.599999927</v>
      </c>
      <c r="G57" s="518"/>
      <c r="H57" s="530">
        <f t="shared" si="5"/>
        <v>2178735.56</v>
      </c>
      <c r="I57" s="530"/>
      <c r="J57" s="770"/>
      <c r="K57" s="527"/>
      <c r="L57" s="519"/>
    </row>
    <row r="58" spans="2:12" s="516" customFormat="1" ht="15">
      <c r="B58" s="517">
        <f t="shared" si="2"/>
        <v>2028</v>
      </c>
      <c r="C58" s="517"/>
      <c r="D58" s="530">
        <f t="shared" si="6"/>
        <v>21787355.599999927</v>
      </c>
      <c r="E58" s="530"/>
      <c r="F58" s="518">
        <f t="shared" si="4"/>
        <v>19608620.03999993</v>
      </c>
      <c r="G58" s="518"/>
      <c r="H58" s="530">
        <f t="shared" si="5"/>
        <v>2178735.56</v>
      </c>
      <c r="I58" s="530"/>
      <c r="J58" s="770"/>
      <c r="K58" s="527"/>
      <c r="L58" s="519"/>
    </row>
    <row r="59" spans="2:12" s="516" customFormat="1" ht="15">
      <c r="B59" s="517">
        <f t="shared" si="2"/>
        <v>2029</v>
      </c>
      <c r="C59" s="517"/>
      <c r="D59" s="530">
        <f t="shared" si="6"/>
        <v>19608620.03999993</v>
      </c>
      <c r="E59" s="530"/>
      <c r="F59" s="518">
        <f t="shared" si="4"/>
        <v>17429884.47999993</v>
      </c>
      <c r="G59" s="518"/>
      <c r="H59" s="530">
        <f t="shared" si="5"/>
        <v>2178735.56</v>
      </c>
      <c r="I59" s="530"/>
      <c r="J59" s="770"/>
      <c r="K59" s="527"/>
      <c r="L59" s="519"/>
    </row>
    <row r="60" spans="2:12" s="516" customFormat="1" ht="15">
      <c r="B60" s="517">
        <f t="shared" si="2"/>
        <v>2030</v>
      </c>
      <c r="C60" s="517"/>
      <c r="D60" s="530">
        <f t="shared" si="6"/>
        <v>17429884.47999993</v>
      </c>
      <c r="E60" s="530"/>
      <c r="F60" s="518">
        <f t="shared" si="4"/>
        <v>15251148.91999993</v>
      </c>
      <c r="G60" s="518"/>
      <c r="H60" s="530">
        <f t="shared" si="5"/>
        <v>2178735.56</v>
      </c>
      <c r="I60" s="530"/>
      <c r="J60" s="770"/>
      <c r="K60" s="527"/>
      <c r="L60" s="519"/>
    </row>
    <row r="61" spans="2:12" s="516" customFormat="1" ht="15">
      <c r="B61" s="517">
        <f t="shared" si="2"/>
        <v>2031</v>
      </c>
      <c r="C61" s="517"/>
      <c r="D61" s="530">
        <f t="shared" si="6"/>
        <v>15251148.91999993</v>
      </c>
      <c r="E61" s="530"/>
      <c r="F61" s="518">
        <f t="shared" si="4"/>
        <v>13072413.359999929</v>
      </c>
      <c r="G61" s="518"/>
      <c r="H61" s="530">
        <f t="shared" si="5"/>
        <v>2178735.56</v>
      </c>
      <c r="I61" s="530"/>
      <c r="J61" s="770"/>
      <c r="K61" s="527"/>
      <c r="L61" s="519"/>
    </row>
    <row r="62" spans="2:12" s="516" customFormat="1" ht="15">
      <c r="B62" s="517">
        <f t="shared" si="2"/>
        <v>2032</v>
      </c>
      <c r="C62" s="517"/>
      <c r="D62" s="530">
        <f t="shared" si="6"/>
        <v>13072413.359999929</v>
      </c>
      <c r="E62" s="530"/>
      <c r="F62" s="518">
        <f t="shared" si="4"/>
        <v>10893677.799999928</v>
      </c>
      <c r="G62" s="518"/>
      <c r="H62" s="530">
        <f t="shared" si="5"/>
        <v>2178735.56</v>
      </c>
      <c r="I62" s="530"/>
      <c r="J62" s="770"/>
      <c r="K62" s="527"/>
      <c r="L62" s="519"/>
    </row>
    <row r="63" spans="2:12" s="516" customFormat="1" ht="15">
      <c r="B63" s="517">
        <f t="shared" si="2"/>
        <v>2033</v>
      </c>
      <c r="C63" s="517"/>
      <c r="D63" s="530">
        <f t="shared" si="6"/>
        <v>10893677.799999928</v>
      </c>
      <c r="E63" s="530"/>
      <c r="F63" s="518">
        <f t="shared" si="4"/>
        <v>8714942.239999928</v>
      </c>
      <c r="G63" s="518"/>
      <c r="H63" s="530">
        <f t="shared" si="5"/>
        <v>2178735.56</v>
      </c>
      <c r="I63" s="530"/>
      <c r="J63" s="770"/>
      <c r="K63" s="527"/>
      <c r="L63" s="519"/>
    </row>
    <row r="64" spans="2:12" s="516" customFormat="1" ht="15">
      <c r="B64" s="517">
        <f t="shared" si="2"/>
        <v>2034</v>
      </c>
      <c r="C64" s="517"/>
      <c r="D64" s="530">
        <f t="shared" si="6"/>
        <v>8714942.239999928</v>
      </c>
      <c r="E64" s="530"/>
      <c r="F64" s="518">
        <f t="shared" si="4"/>
        <v>6536206.679999927</v>
      </c>
      <c r="G64" s="518"/>
      <c r="H64" s="530">
        <f t="shared" si="5"/>
        <v>2178735.56</v>
      </c>
      <c r="I64" s="530"/>
      <c r="J64" s="770"/>
      <c r="K64" s="527"/>
      <c r="L64" s="519"/>
    </row>
    <row r="65" spans="2:12" s="516" customFormat="1" ht="15">
      <c r="B65" s="517">
        <f t="shared" si="2"/>
        <v>2035</v>
      </c>
      <c r="C65" s="517"/>
      <c r="D65" s="530">
        <f t="shared" si="6"/>
        <v>6536206.679999927</v>
      </c>
      <c r="E65" s="530"/>
      <c r="F65" s="518">
        <f t="shared" si="4"/>
        <v>4357471.119999927</v>
      </c>
      <c r="G65" s="518"/>
      <c r="H65" s="530">
        <f t="shared" si="5"/>
        <v>2178735.56</v>
      </c>
      <c r="I65" s="530"/>
      <c r="J65" s="770"/>
      <c r="K65" s="527"/>
      <c r="L65" s="519"/>
    </row>
    <row r="66" spans="2:12" s="516" customFormat="1" ht="15">
      <c r="B66" s="517">
        <f t="shared" si="2"/>
        <v>2036</v>
      </c>
      <c r="C66" s="517"/>
      <c r="D66" s="530">
        <f t="shared" si="6"/>
        <v>4357471.119999927</v>
      </c>
      <c r="E66" s="530"/>
      <c r="F66" s="518">
        <f t="shared" si="4"/>
        <v>2178735.5599999265</v>
      </c>
      <c r="G66" s="518"/>
      <c r="H66" s="530">
        <f t="shared" si="5"/>
        <v>2178735.56</v>
      </c>
      <c r="I66" s="530"/>
      <c r="J66" s="770"/>
      <c r="K66" s="527"/>
      <c r="L66" s="519"/>
    </row>
    <row r="67" spans="2:12" s="516" customFormat="1" ht="15">
      <c r="B67" s="517">
        <f t="shared" si="2"/>
        <v>2037</v>
      </c>
      <c r="C67" s="517"/>
      <c r="D67" s="1435">
        <f t="shared" si="6"/>
        <v>2178735.5599999265</v>
      </c>
      <c r="E67" s="530"/>
      <c r="F67" s="1436">
        <f>D67-H67</f>
        <v>-7.35744833946228E-08</v>
      </c>
      <c r="G67" s="518"/>
      <c r="H67" s="1435">
        <f t="shared" si="5"/>
        <v>2178735.56</v>
      </c>
      <c r="I67" s="530"/>
      <c r="J67" s="770"/>
      <c r="K67" s="527"/>
      <c r="L67" s="519"/>
    </row>
    <row r="68" spans="2:12" s="516" customFormat="1" ht="15">
      <c r="B68" s="517"/>
      <c r="C68" s="517"/>
      <c r="D68" s="518"/>
      <c r="E68" s="530"/>
      <c r="F68" s="518"/>
      <c r="G68" s="518"/>
      <c r="H68" s="518"/>
      <c r="I68" s="518"/>
      <c r="J68" s="518"/>
      <c r="K68" s="519"/>
      <c r="L68" s="519"/>
    </row>
    <row r="69" spans="2:12" s="516" customFormat="1" ht="15.75" thickBot="1">
      <c r="B69" s="537" t="s">
        <v>4</v>
      </c>
      <c r="C69" s="517"/>
      <c r="D69" s="538"/>
      <c r="E69" s="530"/>
      <c r="F69" s="539">
        <f>SUM(F18:F67)</f>
        <v>2668951060.9999976</v>
      </c>
      <c r="G69" s="518"/>
      <c r="H69" s="539">
        <f>SUM(H18:H67)</f>
        <v>108936778.00000007</v>
      </c>
      <c r="I69" s="471"/>
      <c r="J69" s="471"/>
      <c r="K69" s="519"/>
      <c r="L69" s="519"/>
    </row>
    <row r="70" spans="3:12" s="516" customFormat="1" ht="15" thickTop="1">
      <c r="C70" s="517"/>
      <c r="E70" s="530"/>
      <c r="G70" s="518"/>
      <c r="K70" s="519"/>
      <c r="L70" s="519"/>
    </row>
    <row r="71" spans="11:12" s="540" customFormat="1" ht="13.5">
      <c r="K71" s="541"/>
      <c r="L71" s="541"/>
    </row>
    <row r="72" spans="11:12" s="540" customFormat="1" ht="13.5">
      <c r="K72" s="541"/>
      <c r="L72" s="541"/>
    </row>
  </sheetData>
  <sheetProtection/>
  <mergeCells count="6">
    <mergeCell ref="A9:K9"/>
    <mergeCell ref="A7:K7"/>
    <mergeCell ref="A8:K8"/>
    <mergeCell ref="A3:K3"/>
    <mergeCell ref="A4:K4"/>
    <mergeCell ref="A5:K5"/>
  </mergeCells>
  <printOptions horizontalCentered="1"/>
  <pageMargins left="0.2" right="0.2" top="0.33" bottom="0.28" header="0.05" footer="0.05"/>
  <pageSetup fitToHeight="1" fitToWidth="1" horizontalDpi="600" verticalDpi="600" orientation="portrait" scale="67" r:id="rId2"/>
  <rowBreaks count="1" manualBreakCount="1">
    <brk id="71" max="255" man="1"/>
  </rowBreaks>
  <drawing r:id="rId1"/>
</worksheet>
</file>

<file path=xl/worksheets/sheet27.xml><?xml version="1.0" encoding="utf-8"?>
<worksheet xmlns="http://schemas.openxmlformats.org/spreadsheetml/2006/main" xmlns:r="http://schemas.openxmlformats.org/officeDocument/2006/relationships">
  <sheetPr>
    <tabColor rgb="FF0070C0"/>
    <pageSetUpPr fitToPage="1"/>
  </sheetPr>
  <dimension ref="A1:Q85"/>
  <sheetViews>
    <sheetView view="pageBreakPreview" zoomScale="70" zoomScaleNormal="80" zoomScaleSheetLayoutView="70" zoomScalePageLayoutView="0" workbookViewId="0" topLeftCell="A4">
      <selection activeCell="B28" sqref="B28"/>
    </sheetView>
  </sheetViews>
  <sheetFormatPr defaultColWidth="9.00390625" defaultRowHeight="12.75"/>
  <cols>
    <col min="1" max="1" width="3.50390625" style="46" customWidth="1"/>
    <col min="2" max="2" width="12.00390625" style="46" hidden="1" customWidth="1"/>
    <col min="3" max="3" width="11.125" style="46" bestFit="1" customWidth="1"/>
    <col min="4" max="4" width="1.625" style="46" customWidth="1"/>
    <col min="5" max="5" width="53.875" style="46" customWidth="1"/>
    <col min="6" max="6" width="13.75390625" style="46" bestFit="1" customWidth="1"/>
    <col min="7" max="7" width="19.125" style="112" customWidth="1"/>
    <col min="8" max="9" width="17.875" style="112" bestFit="1" customWidth="1"/>
    <col min="10" max="10" width="13.75390625" style="46" bestFit="1" customWidth="1"/>
    <col min="11" max="11" width="19.125" style="46" bestFit="1" customWidth="1"/>
    <col min="12" max="13" width="17.875" style="46" bestFit="1" customWidth="1"/>
    <col min="14" max="254" width="9.00390625" style="46" customWidth="1"/>
    <col min="255" max="255" width="12.00390625" style="46" customWidth="1"/>
    <col min="256" max="16384" width="8.125" style="46" bestFit="1" customWidth="1"/>
  </cols>
  <sheetData>
    <row r="1" spans="1:11" s="17" customFormat="1" ht="15">
      <c r="A1" s="897" t="s">
        <v>1098</v>
      </c>
      <c r="C1" s="104"/>
      <c r="D1" s="14"/>
      <c r="E1" s="67"/>
      <c r="G1" s="111"/>
      <c r="H1" s="111"/>
      <c r="I1" s="111"/>
      <c r="J1" s="103"/>
      <c r="K1" s="103"/>
    </row>
    <row r="2" spans="2:13" s="13" customFormat="1" ht="15">
      <c r="B2" s="20"/>
      <c r="C2" s="20"/>
      <c r="D2" s="20"/>
      <c r="F2" s="20"/>
      <c r="G2" s="112"/>
      <c r="H2" s="112"/>
      <c r="I2" s="112"/>
      <c r="J2" s="46"/>
      <c r="K2" s="46"/>
      <c r="L2" s="20"/>
      <c r="M2" s="20"/>
    </row>
    <row r="3" spans="7:11" s="13" customFormat="1" ht="12.75">
      <c r="G3" s="112"/>
      <c r="H3" s="112"/>
      <c r="I3" s="112"/>
      <c r="J3" s="46"/>
      <c r="K3" s="46"/>
    </row>
    <row r="4" spans="1:13" s="13" customFormat="1" ht="17.25">
      <c r="A4" s="834"/>
      <c r="B4" s="11"/>
      <c r="C4" s="11"/>
      <c r="D4" s="11"/>
      <c r="E4" s="11"/>
      <c r="F4" s="11"/>
      <c r="G4" s="835"/>
      <c r="H4" s="835"/>
      <c r="I4" s="835"/>
      <c r="J4" s="836"/>
      <c r="K4" s="836"/>
      <c r="L4" s="11"/>
      <c r="M4" s="20"/>
    </row>
    <row r="5" spans="1:14" s="13" customFormat="1" ht="17.25">
      <c r="A5" s="1531" t="s">
        <v>227</v>
      </c>
      <c r="B5" s="1531"/>
      <c r="C5" s="1531"/>
      <c r="D5" s="1531"/>
      <c r="E5" s="1531"/>
      <c r="F5" s="1531"/>
      <c r="G5" s="1531"/>
      <c r="H5" s="1531"/>
      <c r="I5" s="1531"/>
      <c r="J5" s="1531"/>
      <c r="K5" s="1531"/>
      <c r="L5" s="1531"/>
      <c r="M5" s="1531"/>
      <c r="N5" s="45"/>
    </row>
    <row r="6" spans="1:14" s="13" customFormat="1" ht="17.25">
      <c r="A6" s="1531" t="s">
        <v>111</v>
      </c>
      <c r="B6" s="1531"/>
      <c r="C6" s="1531"/>
      <c r="D6" s="1531"/>
      <c r="E6" s="1531"/>
      <c r="F6" s="1531"/>
      <c r="G6" s="1531"/>
      <c r="H6" s="1531"/>
      <c r="I6" s="1531"/>
      <c r="J6" s="1531"/>
      <c r="K6" s="1531"/>
      <c r="L6" s="1531"/>
      <c r="M6" s="1531"/>
      <c r="N6" s="73"/>
    </row>
    <row r="7" spans="1:14" s="13" customFormat="1" ht="17.25">
      <c r="A7" s="1532" t="s">
        <v>1377</v>
      </c>
      <c r="B7" s="1532"/>
      <c r="C7" s="1532"/>
      <c r="D7" s="1532"/>
      <c r="E7" s="1532"/>
      <c r="F7" s="1532"/>
      <c r="G7" s="1532"/>
      <c r="H7" s="1532"/>
      <c r="I7" s="1532"/>
      <c r="J7" s="1532"/>
      <c r="K7" s="1532"/>
      <c r="L7" s="1532"/>
      <c r="M7" s="1532"/>
      <c r="N7" s="45"/>
    </row>
    <row r="8" spans="1:12" s="13" customFormat="1" ht="17.25">
      <c r="A8" s="834"/>
      <c r="B8" s="834"/>
      <c r="C8" s="834"/>
      <c r="D8" s="834"/>
      <c r="E8" s="834"/>
      <c r="F8" s="837"/>
      <c r="G8" s="835"/>
      <c r="H8" s="835"/>
      <c r="I8" s="835"/>
      <c r="J8" s="836"/>
      <c r="K8" s="836"/>
      <c r="L8" s="834"/>
    </row>
    <row r="9" spans="1:13" s="13" customFormat="1" ht="15">
      <c r="A9" s="1543" t="s">
        <v>1324</v>
      </c>
      <c r="B9" s="1543"/>
      <c r="C9" s="1543"/>
      <c r="D9" s="1543"/>
      <c r="E9" s="1543"/>
      <c r="F9" s="1543"/>
      <c r="G9" s="1543"/>
      <c r="H9" s="1543"/>
      <c r="I9" s="1543"/>
      <c r="J9" s="1543"/>
      <c r="K9" s="1543"/>
      <c r="L9" s="1543"/>
      <c r="M9" s="1543"/>
    </row>
    <row r="10" spans="1:13" s="13" customFormat="1" ht="15">
      <c r="A10" s="1542" t="s">
        <v>1325</v>
      </c>
      <c r="B10" s="1542"/>
      <c r="C10" s="1542"/>
      <c r="D10" s="1542"/>
      <c r="E10" s="1542"/>
      <c r="F10" s="1542"/>
      <c r="G10" s="1542"/>
      <c r="H10" s="1542"/>
      <c r="I10" s="1542"/>
      <c r="J10" s="1542"/>
      <c r="K10" s="1542"/>
      <c r="L10" s="1542"/>
      <c r="M10" s="1542"/>
    </row>
    <row r="11" spans="1:17" s="13" customFormat="1" ht="15" customHeight="1">
      <c r="A11" s="63"/>
      <c r="B11" s="138"/>
      <c r="C11" s="138"/>
      <c r="D11" s="138"/>
      <c r="E11" s="158"/>
      <c r="F11" s="63"/>
      <c r="G11" s="63"/>
      <c r="H11" s="63"/>
      <c r="I11" s="63"/>
      <c r="J11" s="159"/>
      <c r="K11" s="159"/>
      <c r="L11" s="159"/>
      <c r="M11" s="159"/>
      <c r="N11" s="159"/>
      <c r="O11" s="46"/>
      <c r="P11" s="20"/>
      <c r="Q11" s="20"/>
    </row>
    <row r="12" spans="2:17" s="104" customFormat="1" ht="15" customHeight="1">
      <c r="B12" s="20"/>
      <c r="C12" s="20"/>
      <c r="D12" s="20"/>
      <c r="E12" s="482"/>
      <c r="F12" s="1597">
        <v>2015</v>
      </c>
      <c r="G12" s="1598"/>
      <c r="H12" s="1598"/>
      <c r="I12" s="1389"/>
      <c r="J12" s="1597">
        <v>2014</v>
      </c>
      <c r="K12" s="1598"/>
      <c r="L12" s="1598"/>
      <c r="M12" s="1390"/>
      <c r="N12" s="111"/>
      <c r="O12" s="103"/>
      <c r="P12" s="20"/>
      <c r="Q12" s="20"/>
    </row>
    <row r="13" spans="6:15" s="104" customFormat="1" ht="15">
      <c r="F13" s="820" t="s">
        <v>220</v>
      </c>
      <c r="G13" s="820" t="s">
        <v>221</v>
      </c>
      <c r="H13" s="820" t="s">
        <v>222</v>
      </c>
      <c r="I13" s="820" t="s">
        <v>223</v>
      </c>
      <c r="J13" s="820" t="s">
        <v>224</v>
      </c>
      <c r="K13" s="820" t="s">
        <v>456</v>
      </c>
      <c r="L13" s="820" t="s">
        <v>457</v>
      </c>
      <c r="M13" s="820" t="s">
        <v>1087</v>
      </c>
      <c r="N13" s="111"/>
      <c r="O13" s="103"/>
    </row>
    <row r="14" spans="6:15" s="104" customFormat="1" ht="15">
      <c r="F14" s="483" t="s">
        <v>113</v>
      </c>
      <c r="H14" s="483" t="s">
        <v>113</v>
      </c>
      <c r="I14" s="483"/>
      <c r="J14" s="483" t="s">
        <v>113</v>
      </c>
      <c r="L14" s="483" t="s">
        <v>113</v>
      </c>
      <c r="M14" s="483"/>
      <c r="N14" s="111"/>
      <c r="O14" s="103"/>
    </row>
    <row r="15" spans="6:15" s="103" customFormat="1" ht="15">
      <c r="F15" s="483" t="s">
        <v>273</v>
      </c>
      <c r="G15" s="483" t="s">
        <v>163</v>
      </c>
      <c r="H15" s="483" t="s">
        <v>273</v>
      </c>
      <c r="I15" s="483" t="s">
        <v>72</v>
      </c>
      <c r="J15" s="483" t="s">
        <v>273</v>
      </c>
      <c r="K15" s="483" t="s">
        <v>163</v>
      </c>
      <c r="L15" s="483" t="s">
        <v>273</v>
      </c>
      <c r="M15" s="483" t="s">
        <v>72</v>
      </c>
      <c r="N15" s="111"/>
      <c r="O15" s="104"/>
    </row>
    <row r="16" spans="1:15" s="103" customFormat="1" ht="15.75" thickBot="1">
      <c r="A16" s="484" t="s">
        <v>598</v>
      </c>
      <c r="B16" s="463" t="s">
        <v>243</v>
      </c>
      <c r="C16" s="463" t="s">
        <v>317</v>
      </c>
      <c r="D16" s="463"/>
      <c r="E16" s="463" t="s">
        <v>286</v>
      </c>
      <c r="F16" s="463" t="s">
        <v>954</v>
      </c>
      <c r="G16" s="463" t="s">
        <v>342</v>
      </c>
      <c r="H16" s="463" t="s">
        <v>955</v>
      </c>
      <c r="I16" s="463" t="s">
        <v>956</v>
      </c>
      <c r="J16" s="463" t="s">
        <v>954</v>
      </c>
      <c r="K16" s="463" t="s">
        <v>342</v>
      </c>
      <c r="L16" s="463" t="s">
        <v>955</v>
      </c>
      <c r="M16" s="463" t="s">
        <v>956</v>
      </c>
      <c r="N16" s="485"/>
      <c r="O16" s="20"/>
    </row>
    <row r="17" spans="1:15" s="103" customFormat="1" ht="15">
      <c r="A17" s="103">
        <v>1</v>
      </c>
      <c r="B17" s="486">
        <v>205300800002</v>
      </c>
      <c r="C17" s="1460">
        <v>37072</v>
      </c>
      <c r="D17" s="1460"/>
      <c r="E17" s="1461" t="s">
        <v>287</v>
      </c>
      <c r="F17" s="821">
        <v>8143426.2</v>
      </c>
      <c r="G17" s="821">
        <v>-2325313.2</v>
      </c>
      <c r="H17" s="821">
        <v>5818113</v>
      </c>
      <c r="I17" s="821">
        <v>-162869</v>
      </c>
      <c r="J17" s="821">
        <v>8143426.2</v>
      </c>
      <c r="K17" s="821">
        <v>-2162444.2</v>
      </c>
      <c r="L17" s="821">
        <v>5980982</v>
      </c>
      <c r="M17" s="821">
        <v>-162869.00000000023</v>
      </c>
      <c r="N17" s="111"/>
      <c r="O17" s="20"/>
    </row>
    <row r="18" spans="1:15" s="103" customFormat="1" ht="15">
      <c r="A18" s="103">
        <f>+A17+1</f>
        <v>2</v>
      </c>
      <c r="B18" s="486">
        <v>205300800003</v>
      </c>
      <c r="C18" s="1460">
        <v>37072</v>
      </c>
      <c r="D18" s="1460"/>
      <c r="E18" s="1461" t="s">
        <v>936</v>
      </c>
      <c r="F18" s="821">
        <v>2686912.39</v>
      </c>
      <c r="G18" s="821">
        <v>-780513.39</v>
      </c>
      <c r="H18" s="821">
        <v>1906399</v>
      </c>
      <c r="I18" s="821">
        <v>-53739</v>
      </c>
      <c r="J18" s="821">
        <v>2686912.39</v>
      </c>
      <c r="K18" s="821">
        <v>-726774.39</v>
      </c>
      <c r="L18" s="821">
        <v>1960138</v>
      </c>
      <c r="M18" s="821">
        <v>-53739</v>
      </c>
      <c r="N18" s="111"/>
      <c r="O18" s="104"/>
    </row>
    <row r="19" spans="1:15" s="103" customFormat="1" ht="15">
      <c r="A19" s="103">
        <f aca="true" t="shared" si="0" ref="A19:A39">+A18+1</f>
        <v>3</v>
      </c>
      <c r="B19" s="486">
        <v>205300800004</v>
      </c>
      <c r="C19" s="1460">
        <v>37072</v>
      </c>
      <c r="D19" s="1460"/>
      <c r="E19" s="1461" t="s">
        <v>288</v>
      </c>
      <c r="F19" s="821">
        <v>3403806.2</v>
      </c>
      <c r="G19" s="821">
        <v>-971492.2</v>
      </c>
      <c r="H19" s="821">
        <v>2432314</v>
      </c>
      <c r="I19" s="821">
        <v>-68077</v>
      </c>
      <c r="J19" s="821">
        <v>3403806.2</v>
      </c>
      <c r="K19" s="821">
        <v>-903415.2</v>
      </c>
      <c r="L19" s="821">
        <v>2500391</v>
      </c>
      <c r="M19" s="821">
        <v>-68077</v>
      </c>
      <c r="N19" s="111"/>
      <c r="O19" s="20"/>
    </row>
    <row r="20" spans="1:15" s="103" customFormat="1" ht="15">
      <c r="A20" s="103">
        <f t="shared" si="0"/>
        <v>4</v>
      </c>
      <c r="B20" s="486">
        <v>205300800005</v>
      </c>
      <c r="C20" s="1460">
        <v>37072</v>
      </c>
      <c r="D20" s="1460"/>
      <c r="E20" s="1461" t="s">
        <v>289</v>
      </c>
      <c r="F20" s="821">
        <v>413814.61</v>
      </c>
      <c r="G20" s="821">
        <v>-119963.61</v>
      </c>
      <c r="H20" s="821">
        <v>293851</v>
      </c>
      <c r="I20" s="821">
        <v>-8277</v>
      </c>
      <c r="J20" s="821">
        <v>413814.61</v>
      </c>
      <c r="K20" s="821">
        <v>-111686.61</v>
      </c>
      <c r="L20" s="821">
        <v>302128</v>
      </c>
      <c r="M20" s="821">
        <v>-8277</v>
      </c>
      <c r="N20" s="111"/>
      <c r="O20" s="45"/>
    </row>
    <row r="21" spans="1:15" s="103" customFormat="1" ht="15">
      <c r="A21" s="103">
        <f t="shared" si="0"/>
        <v>5</v>
      </c>
      <c r="B21" s="486">
        <v>205300800006</v>
      </c>
      <c r="C21" s="1460">
        <v>37072</v>
      </c>
      <c r="D21" s="1460"/>
      <c r="E21" s="1461" t="s">
        <v>289</v>
      </c>
      <c r="F21" s="821">
        <v>413814.59</v>
      </c>
      <c r="G21" s="821">
        <v>-119963.59</v>
      </c>
      <c r="H21" s="821">
        <v>293851</v>
      </c>
      <c r="I21" s="821">
        <v>-8277</v>
      </c>
      <c r="J21" s="821">
        <v>413814.59</v>
      </c>
      <c r="K21" s="821">
        <v>-111686.59</v>
      </c>
      <c r="L21" s="821">
        <v>302128</v>
      </c>
      <c r="M21" s="821">
        <v>-8277</v>
      </c>
      <c r="N21" s="111"/>
      <c r="O21" s="45"/>
    </row>
    <row r="22" spans="1:15" s="103" customFormat="1" ht="15">
      <c r="A22" s="103">
        <f t="shared" si="0"/>
        <v>6</v>
      </c>
      <c r="B22" s="486">
        <v>205300800007</v>
      </c>
      <c r="C22" s="1460">
        <v>37072</v>
      </c>
      <c r="D22" s="1460"/>
      <c r="E22" s="1461" t="s">
        <v>290</v>
      </c>
      <c r="F22" s="821">
        <v>374733.43</v>
      </c>
      <c r="G22" s="821">
        <v>-107389.43</v>
      </c>
      <c r="H22" s="821">
        <v>267344</v>
      </c>
      <c r="I22" s="821">
        <v>-7495</v>
      </c>
      <c r="J22" s="821">
        <v>374733.43</v>
      </c>
      <c r="K22" s="821">
        <v>-99894.43</v>
      </c>
      <c r="L22" s="821">
        <v>274839</v>
      </c>
      <c r="M22" s="821">
        <v>-7495</v>
      </c>
      <c r="N22" s="111"/>
      <c r="O22" s="45"/>
    </row>
    <row r="23" spans="1:15" s="103" customFormat="1" ht="15">
      <c r="A23" s="103">
        <f t="shared" si="0"/>
        <v>7</v>
      </c>
      <c r="B23" s="486">
        <v>205300800008</v>
      </c>
      <c r="C23" s="1460">
        <v>37072</v>
      </c>
      <c r="D23" s="1460"/>
      <c r="E23" s="1461" t="s">
        <v>291</v>
      </c>
      <c r="F23" s="821">
        <v>14348612.94</v>
      </c>
      <c r="G23" s="821">
        <v>-3689332.94</v>
      </c>
      <c r="H23" s="821">
        <v>10659280</v>
      </c>
      <c r="I23" s="821">
        <v>-286973</v>
      </c>
      <c r="J23" s="821">
        <v>14348612.94</v>
      </c>
      <c r="K23" s="821">
        <v>-3402359.94</v>
      </c>
      <c r="L23" s="821">
        <v>10946253</v>
      </c>
      <c r="M23" s="821">
        <v>-286973</v>
      </c>
      <c r="N23" s="111"/>
      <c r="O23" s="45"/>
    </row>
    <row r="24" spans="1:15" s="103" customFormat="1" ht="15">
      <c r="A24" s="103">
        <f t="shared" si="0"/>
        <v>8</v>
      </c>
      <c r="B24" s="486">
        <v>205300800009</v>
      </c>
      <c r="C24" s="1460">
        <v>37072</v>
      </c>
      <c r="D24" s="1460"/>
      <c r="E24" s="1461" t="s">
        <v>292</v>
      </c>
      <c r="F24" s="821">
        <v>875338.42</v>
      </c>
      <c r="G24" s="821">
        <v>-242847.42</v>
      </c>
      <c r="H24" s="821">
        <v>632491</v>
      </c>
      <c r="I24" s="821">
        <v>-17507</v>
      </c>
      <c r="J24" s="821">
        <v>875338.42</v>
      </c>
      <c r="K24" s="821">
        <v>-225340.42</v>
      </c>
      <c r="L24" s="821">
        <v>649998</v>
      </c>
      <c r="M24" s="821">
        <v>-17507</v>
      </c>
      <c r="N24" s="111"/>
      <c r="O24" s="104"/>
    </row>
    <row r="25" spans="1:15" s="103" customFormat="1" ht="15">
      <c r="A25" s="103">
        <f t="shared" si="0"/>
        <v>9</v>
      </c>
      <c r="B25" s="486">
        <v>205300800010</v>
      </c>
      <c r="C25" s="1460">
        <v>37438</v>
      </c>
      <c r="D25" s="1460"/>
      <c r="E25" s="1461" t="s">
        <v>937</v>
      </c>
      <c r="F25" s="821">
        <v>3759861.41</v>
      </c>
      <c r="G25" s="821">
        <v>-1004777.41</v>
      </c>
      <c r="H25" s="821">
        <v>2755084</v>
      </c>
      <c r="I25" s="821">
        <v>-75198</v>
      </c>
      <c r="J25" s="821">
        <v>3759861.41</v>
      </c>
      <c r="K25" s="821">
        <v>-929579.41</v>
      </c>
      <c r="L25" s="821">
        <v>2830282</v>
      </c>
      <c r="M25" s="821">
        <v>-75198</v>
      </c>
      <c r="N25" s="111"/>
      <c r="O25" s="104"/>
    </row>
    <row r="26" spans="1:15" s="103" customFormat="1" ht="15">
      <c r="A26" s="103">
        <f t="shared" si="0"/>
        <v>10</v>
      </c>
      <c r="B26" s="486">
        <v>205300800011</v>
      </c>
      <c r="C26" s="1460">
        <v>37257</v>
      </c>
      <c r="D26" s="1460"/>
      <c r="E26" s="1461" t="s">
        <v>293</v>
      </c>
      <c r="F26" s="821">
        <v>200694.34</v>
      </c>
      <c r="G26" s="821">
        <v>-56196.34</v>
      </c>
      <c r="H26" s="821">
        <v>144498</v>
      </c>
      <c r="I26" s="821">
        <v>-4014</v>
      </c>
      <c r="J26" s="821">
        <v>200694.34</v>
      </c>
      <c r="K26" s="821">
        <v>-52182.34</v>
      </c>
      <c r="L26" s="821">
        <v>148512</v>
      </c>
      <c r="M26" s="821">
        <v>-4014</v>
      </c>
      <c r="N26" s="111"/>
      <c r="O26" s="20"/>
    </row>
    <row r="27" spans="1:15" s="103" customFormat="1" ht="15">
      <c r="A27" s="103">
        <f t="shared" si="0"/>
        <v>11</v>
      </c>
      <c r="B27" s="486">
        <v>205300800012</v>
      </c>
      <c r="C27" s="1460">
        <v>37257</v>
      </c>
      <c r="D27" s="1460"/>
      <c r="E27" s="1461" t="s">
        <v>294</v>
      </c>
      <c r="F27" s="821">
        <v>155478.65</v>
      </c>
      <c r="G27" s="821">
        <v>-105238.65</v>
      </c>
      <c r="H27" s="821">
        <v>50240</v>
      </c>
      <c r="I27" s="821">
        <v>-7774</v>
      </c>
      <c r="J27" s="821">
        <v>155478.65</v>
      </c>
      <c r="K27" s="821">
        <v>-97464.65</v>
      </c>
      <c r="L27" s="821">
        <v>58014</v>
      </c>
      <c r="M27" s="821">
        <v>-7774</v>
      </c>
      <c r="N27" s="111"/>
      <c r="O27" s="20"/>
    </row>
    <row r="28" spans="1:15" s="103" customFormat="1" ht="15">
      <c r="A28" s="103">
        <f t="shared" si="0"/>
        <v>12</v>
      </c>
      <c r="B28" s="486">
        <v>205300800013</v>
      </c>
      <c r="C28" s="1460">
        <v>37987</v>
      </c>
      <c r="D28" s="1460"/>
      <c r="E28" s="1461" t="s">
        <v>295</v>
      </c>
      <c r="F28" s="821">
        <v>4795066.01</v>
      </c>
      <c r="G28" s="821">
        <v>-1150830.01</v>
      </c>
      <c r="H28" s="821">
        <v>3644236</v>
      </c>
      <c r="I28" s="821">
        <v>-95902</v>
      </c>
      <c r="J28" s="821">
        <v>4795066.01</v>
      </c>
      <c r="K28" s="821">
        <v>-1054928.01</v>
      </c>
      <c r="L28" s="821">
        <v>3740138</v>
      </c>
      <c r="M28" s="821">
        <v>-95902</v>
      </c>
      <c r="N28" s="111"/>
      <c r="O28" s="20"/>
    </row>
    <row r="29" spans="1:15" s="103" customFormat="1" ht="15">
      <c r="A29" s="103">
        <f t="shared" si="0"/>
        <v>13</v>
      </c>
      <c r="B29" s="486">
        <v>205300800014</v>
      </c>
      <c r="C29" s="1460">
        <v>37987</v>
      </c>
      <c r="D29" s="1460"/>
      <c r="E29" s="1461" t="s">
        <v>296</v>
      </c>
      <c r="F29" s="821">
        <v>550775.93</v>
      </c>
      <c r="G29" s="821">
        <v>-132196.93</v>
      </c>
      <c r="H29" s="821">
        <v>418579</v>
      </c>
      <c r="I29" s="821">
        <v>-11016</v>
      </c>
      <c r="J29" s="821">
        <v>550775.93</v>
      </c>
      <c r="K29" s="821">
        <v>-121180.93</v>
      </c>
      <c r="L29" s="821">
        <v>429595.00000000006</v>
      </c>
      <c r="M29" s="821">
        <v>-11016</v>
      </c>
      <c r="N29" s="111"/>
      <c r="O29" s="104"/>
    </row>
    <row r="30" spans="1:15" s="103" customFormat="1" ht="15">
      <c r="A30" s="103">
        <f t="shared" si="0"/>
        <v>14</v>
      </c>
      <c r="B30" s="486">
        <v>205300800015</v>
      </c>
      <c r="C30" s="1460">
        <v>37987</v>
      </c>
      <c r="D30" s="1460"/>
      <c r="E30" s="1461" t="s">
        <v>296</v>
      </c>
      <c r="F30" s="821">
        <v>550775.89</v>
      </c>
      <c r="G30" s="821">
        <v>-132196.89</v>
      </c>
      <c r="H30" s="821">
        <v>418579</v>
      </c>
      <c r="I30" s="821">
        <v>-11016.000000000015</v>
      </c>
      <c r="J30" s="821">
        <v>550775.89</v>
      </c>
      <c r="K30" s="821">
        <v>-121180.89</v>
      </c>
      <c r="L30" s="821">
        <v>429595</v>
      </c>
      <c r="M30" s="821">
        <v>-11016</v>
      </c>
      <c r="N30" s="111"/>
      <c r="O30" s="104"/>
    </row>
    <row r="31" spans="1:14" s="103" customFormat="1" ht="15">
      <c r="A31" s="103">
        <f t="shared" si="0"/>
        <v>15</v>
      </c>
      <c r="B31" s="486">
        <v>205300800016</v>
      </c>
      <c r="C31" s="1460">
        <v>37987</v>
      </c>
      <c r="D31" s="1460"/>
      <c r="E31" s="1461" t="s">
        <v>297</v>
      </c>
      <c r="F31" s="821">
        <v>657917.54</v>
      </c>
      <c r="G31" s="821">
        <v>-157914.54</v>
      </c>
      <c r="H31" s="821">
        <v>500003</v>
      </c>
      <c r="I31" s="821">
        <v>-13159</v>
      </c>
      <c r="J31" s="821">
        <v>657917.54</v>
      </c>
      <c r="K31" s="821">
        <v>-144755.54</v>
      </c>
      <c r="L31" s="821">
        <v>513162</v>
      </c>
      <c r="M31" s="821">
        <v>-13159</v>
      </c>
      <c r="N31" s="111"/>
    </row>
    <row r="32" spans="1:14" s="103" customFormat="1" ht="15">
      <c r="A32" s="103">
        <f t="shared" si="0"/>
        <v>16</v>
      </c>
      <c r="B32" s="486">
        <v>205300800017</v>
      </c>
      <c r="C32" s="1460">
        <v>37987</v>
      </c>
      <c r="D32" s="1460"/>
      <c r="E32" s="1461" t="s">
        <v>298</v>
      </c>
      <c r="F32" s="821">
        <v>470106.43</v>
      </c>
      <c r="G32" s="821">
        <v>-112841.43</v>
      </c>
      <c r="H32" s="821">
        <v>357265</v>
      </c>
      <c r="I32" s="821">
        <v>-9403</v>
      </c>
      <c r="J32" s="821">
        <v>470106.43</v>
      </c>
      <c r="K32" s="821">
        <v>-103438.43</v>
      </c>
      <c r="L32" s="821">
        <v>366668</v>
      </c>
      <c r="M32" s="821">
        <v>-9403</v>
      </c>
      <c r="N32" s="111"/>
    </row>
    <row r="33" spans="1:14" s="103" customFormat="1" ht="15">
      <c r="A33" s="103">
        <f t="shared" si="0"/>
        <v>17</v>
      </c>
      <c r="B33" s="486">
        <v>205300800018</v>
      </c>
      <c r="C33" s="1460">
        <v>37987</v>
      </c>
      <c r="D33" s="1460"/>
      <c r="E33" s="1461" t="s">
        <v>299</v>
      </c>
      <c r="F33" s="821">
        <v>647185.41</v>
      </c>
      <c r="G33" s="821">
        <v>-155335.41</v>
      </c>
      <c r="H33" s="821">
        <v>491850</v>
      </c>
      <c r="I33" s="821">
        <v>-12944</v>
      </c>
      <c r="J33" s="821">
        <v>647185.41</v>
      </c>
      <c r="K33" s="821">
        <v>-142391.41</v>
      </c>
      <c r="L33" s="821">
        <v>504794</v>
      </c>
      <c r="M33" s="821">
        <v>-12944</v>
      </c>
      <c r="N33" s="111"/>
    </row>
    <row r="34" spans="1:14" s="103" customFormat="1" ht="15">
      <c r="A34" s="103">
        <f t="shared" si="0"/>
        <v>18</v>
      </c>
      <c r="B34" s="486">
        <v>205300800019</v>
      </c>
      <c r="C34" s="1460">
        <v>37987</v>
      </c>
      <c r="D34" s="1460"/>
      <c r="E34" s="1461" t="s">
        <v>300</v>
      </c>
      <c r="F34" s="821">
        <v>111221.23</v>
      </c>
      <c r="G34" s="821">
        <v>-26703.23</v>
      </c>
      <c r="H34" s="821">
        <v>84518</v>
      </c>
      <c r="I34" s="821">
        <v>-2225</v>
      </c>
      <c r="J34" s="821">
        <v>111221.23</v>
      </c>
      <c r="K34" s="821">
        <v>-24478.23</v>
      </c>
      <c r="L34" s="821">
        <v>86743</v>
      </c>
      <c r="M34" s="821">
        <v>-2225</v>
      </c>
      <c r="N34" s="111"/>
    </row>
    <row r="35" spans="1:14" s="103" customFormat="1" ht="15">
      <c r="A35" s="103">
        <f t="shared" si="0"/>
        <v>19</v>
      </c>
      <c r="B35" s="486">
        <v>205300800020</v>
      </c>
      <c r="C35" s="1460">
        <v>37987</v>
      </c>
      <c r="D35" s="1460"/>
      <c r="E35" s="1461" t="s">
        <v>301</v>
      </c>
      <c r="F35" s="821">
        <v>202557.24</v>
      </c>
      <c r="G35" s="821">
        <v>-48627.24</v>
      </c>
      <c r="H35" s="821">
        <v>153930</v>
      </c>
      <c r="I35" s="821">
        <v>-4052</v>
      </c>
      <c r="J35" s="821">
        <v>202557.24</v>
      </c>
      <c r="K35" s="821">
        <v>-44575.24</v>
      </c>
      <c r="L35" s="821">
        <v>157982</v>
      </c>
      <c r="M35" s="821">
        <v>-4052</v>
      </c>
      <c r="N35" s="111"/>
    </row>
    <row r="36" spans="1:14" s="103" customFormat="1" ht="15">
      <c r="A36" s="103">
        <f t="shared" si="0"/>
        <v>20</v>
      </c>
      <c r="B36" s="486">
        <v>205300800021</v>
      </c>
      <c r="C36" s="1460">
        <v>37987</v>
      </c>
      <c r="D36" s="1460"/>
      <c r="E36" s="1461" t="s">
        <v>302</v>
      </c>
      <c r="F36" s="821">
        <v>1369456.07</v>
      </c>
      <c r="G36" s="821">
        <v>-328685.07</v>
      </c>
      <c r="H36" s="821">
        <v>1040771</v>
      </c>
      <c r="I36" s="821">
        <v>-27390</v>
      </c>
      <c r="J36" s="821">
        <v>1369456.07</v>
      </c>
      <c r="K36" s="821">
        <v>-301295.07</v>
      </c>
      <c r="L36" s="821">
        <v>1068161</v>
      </c>
      <c r="M36" s="821">
        <v>-27390</v>
      </c>
      <c r="N36" s="111"/>
    </row>
    <row r="37" spans="1:14" s="103" customFormat="1" ht="15">
      <c r="A37" s="103">
        <f t="shared" si="0"/>
        <v>21</v>
      </c>
      <c r="B37" s="486">
        <v>205300800022</v>
      </c>
      <c r="C37" s="1460">
        <v>37987</v>
      </c>
      <c r="D37" s="1460"/>
      <c r="E37" s="1461" t="s">
        <v>303</v>
      </c>
      <c r="F37" s="821">
        <v>153687.02</v>
      </c>
      <c r="G37" s="821">
        <v>-35793.02</v>
      </c>
      <c r="H37" s="821">
        <v>117894</v>
      </c>
      <c r="I37" s="821">
        <v>-3073.9999999999964</v>
      </c>
      <c r="J37" s="821">
        <v>153687.02</v>
      </c>
      <c r="K37" s="821">
        <v>-32719.02</v>
      </c>
      <c r="L37" s="821">
        <v>120967.99999999999</v>
      </c>
      <c r="M37" s="821">
        <v>-3074</v>
      </c>
      <c r="N37" s="111"/>
    </row>
    <row r="38" spans="1:14" s="103" customFormat="1" ht="15">
      <c r="A38" s="103">
        <f t="shared" si="0"/>
        <v>22</v>
      </c>
      <c r="B38" s="486">
        <v>205300800023</v>
      </c>
      <c r="C38" s="1460">
        <v>38353</v>
      </c>
      <c r="D38" s="1460"/>
      <c r="E38" s="1461" t="s">
        <v>304</v>
      </c>
      <c r="F38" s="821">
        <v>188335.56</v>
      </c>
      <c r="G38" s="821">
        <v>-188335.56</v>
      </c>
      <c r="H38" s="821">
        <v>0</v>
      </c>
      <c r="I38" s="821">
        <v>0</v>
      </c>
      <c r="J38" s="821">
        <v>188335.56</v>
      </c>
      <c r="K38" s="821">
        <v>-188335.56</v>
      </c>
      <c r="L38" s="821">
        <v>0</v>
      </c>
      <c r="M38" s="821">
        <v>-18830</v>
      </c>
      <c r="N38" s="111"/>
    </row>
    <row r="39" spans="1:14" s="103" customFormat="1" ht="15">
      <c r="A39" s="103">
        <f t="shared" si="0"/>
        <v>23</v>
      </c>
      <c r="B39" s="486">
        <v>205300800024</v>
      </c>
      <c r="C39" s="1460">
        <v>39417</v>
      </c>
      <c r="D39" s="1460"/>
      <c r="E39" s="1461" t="s">
        <v>305</v>
      </c>
      <c r="F39" s="821">
        <v>26339</v>
      </c>
      <c r="G39" s="821">
        <v>-10554</v>
      </c>
      <c r="H39" s="821">
        <v>15785</v>
      </c>
      <c r="I39" s="821">
        <v>-1317</v>
      </c>
      <c r="J39" s="821">
        <v>26339</v>
      </c>
      <c r="K39" s="821">
        <v>-9237</v>
      </c>
      <c r="L39" s="821">
        <v>17102</v>
      </c>
      <c r="M39" s="821">
        <v>-1317</v>
      </c>
      <c r="N39" s="111"/>
    </row>
    <row r="40" spans="2:14" s="103" customFormat="1" ht="15">
      <c r="B40" s="486"/>
      <c r="C40" s="487"/>
      <c r="D40" s="487"/>
      <c r="F40" s="490"/>
      <c r="G40" s="490"/>
      <c r="H40" s="490"/>
      <c r="I40" s="490"/>
      <c r="J40" s="111"/>
      <c r="K40" s="111"/>
      <c r="L40" s="111"/>
      <c r="M40" s="490"/>
      <c r="N40" s="111"/>
    </row>
    <row r="41" spans="1:14" s="103" customFormat="1" ht="15.75" thickBot="1">
      <c r="A41" s="103">
        <f>+A39+1</f>
        <v>24</v>
      </c>
      <c r="C41" s="491"/>
      <c r="D41" s="491"/>
      <c r="E41" s="492" t="s">
        <v>316</v>
      </c>
      <c r="F41" s="493">
        <f aca="true" t="shared" si="1" ref="F41:M41">SUM(F17:F39)</f>
        <v>44499916.51</v>
      </c>
      <c r="G41" s="493">
        <f t="shared" si="1"/>
        <v>-12003041.51</v>
      </c>
      <c r="H41" s="493">
        <f t="shared" si="1"/>
        <v>32496875</v>
      </c>
      <c r="I41" s="493">
        <f t="shared" si="1"/>
        <v>-891698</v>
      </c>
      <c r="J41" s="493">
        <f t="shared" si="1"/>
        <v>44499916.51</v>
      </c>
      <c r="K41" s="493">
        <f t="shared" si="1"/>
        <v>-11111343.51</v>
      </c>
      <c r="L41" s="493">
        <f t="shared" si="1"/>
        <v>33388573</v>
      </c>
      <c r="M41" s="493">
        <f t="shared" si="1"/>
        <v>-910528.0000000002</v>
      </c>
      <c r="N41" s="111"/>
    </row>
    <row r="42" spans="6:14" s="103" customFormat="1" ht="15.75" thickBot="1" thickTop="1">
      <c r="F42" s="494"/>
      <c r="G42" s="494"/>
      <c r="H42" s="494"/>
      <c r="I42" s="494"/>
      <c r="J42" s="494"/>
      <c r="K42" s="494"/>
      <c r="L42" s="494"/>
      <c r="M42" s="111"/>
      <c r="N42" s="111"/>
    </row>
    <row r="43" spans="1:14" s="103" customFormat="1" ht="15.75" thickBot="1">
      <c r="A43" s="103">
        <f>+A41+1</f>
        <v>25</v>
      </c>
      <c r="E43" s="495" t="s">
        <v>580</v>
      </c>
      <c r="F43" s="494"/>
      <c r="G43" s="822">
        <f>G41-K41</f>
        <v>-891698</v>
      </c>
      <c r="H43" s="494"/>
      <c r="I43" s="494"/>
      <c r="J43" s="494"/>
      <c r="K43" s="494"/>
      <c r="L43" s="494"/>
      <c r="M43" s="111"/>
      <c r="N43" s="111"/>
    </row>
    <row r="44" spans="10:14" s="103" customFormat="1" ht="15">
      <c r="J44" s="111"/>
      <c r="K44" s="489"/>
      <c r="L44" s="111"/>
      <c r="M44" s="111"/>
      <c r="N44" s="111"/>
    </row>
    <row r="45" spans="7:9" s="496" customFormat="1" ht="12.75">
      <c r="G45" s="497"/>
      <c r="H45" s="497"/>
      <c r="I45" s="497"/>
    </row>
    <row r="46" spans="7:9" s="496" customFormat="1" ht="12.75">
      <c r="G46" s="497"/>
      <c r="H46" s="497"/>
      <c r="I46" s="497"/>
    </row>
    <row r="47" spans="7:9" s="496" customFormat="1" ht="12.75">
      <c r="G47" s="497"/>
      <c r="H47" s="497"/>
      <c r="I47" s="497"/>
    </row>
    <row r="48" spans="7:9" s="496" customFormat="1" ht="12.75">
      <c r="G48" s="497"/>
      <c r="H48" s="497"/>
      <c r="I48" s="497"/>
    </row>
    <row r="49" spans="7:9" s="496" customFormat="1" ht="12.75">
      <c r="G49" s="497"/>
      <c r="H49" s="497"/>
      <c r="I49" s="497"/>
    </row>
    <row r="50" spans="7:9" s="496" customFormat="1" ht="12.75">
      <c r="G50" s="497"/>
      <c r="H50" s="497"/>
      <c r="I50" s="497"/>
    </row>
    <row r="51" spans="7:9" s="496" customFormat="1" ht="12.75">
      <c r="G51" s="497"/>
      <c r="H51" s="497"/>
      <c r="I51" s="497"/>
    </row>
    <row r="52" spans="7:9" s="496" customFormat="1" ht="12.75">
      <c r="G52" s="497"/>
      <c r="H52" s="497"/>
      <c r="I52" s="497"/>
    </row>
    <row r="53" spans="7:9" s="496" customFormat="1" ht="12.75">
      <c r="G53" s="497"/>
      <c r="H53" s="497"/>
      <c r="I53" s="497"/>
    </row>
    <row r="54" spans="7:9" s="496" customFormat="1" ht="12.75">
      <c r="G54" s="497"/>
      <c r="H54" s="497"/>
      <c r="I54" s="497"/>
    </row>
    <row r="55" spans="7:9" s="496" customFormat="1" ht="12.75">
      <c r="G55" s="497"/>
      <c r="H55" s="497"/>
      <c r="I55" s="497"/>
    </row>
    <row r="56" spans="7:9" s="496" customFormat="1" ht="12.75">
      <c r="G56" s="497"/>
      <c r="H56" s="497"/>
      <c r="I56" s="497"/>
    </row>
    <row r="57" spans="7:9" s="496" customFormat="1" ht="12.75">
      <c r="G57" s="497"/>
      <c r="H57" s="497"/>
      <c r="I57" s="497"/>
    </row>
    <row r="58" spans="7:9" s="496" customFormat="1" ht="12.75">
      <c r="G58" s="497"/>
      <c r="H58" s="497"/>
      <c r="I58" s="497"/>
    </row>
    <row r="59" spans="7:9" s="496" customFormat="1" ht="12.75">
      <c r="G59" s="497"/>
      <c r="H59" s="497"/>
      <c r="I59" s="497"/>
    </row>
    <row r="60" spans="7:9" s="496" customFormat="1" ht="12.75">
      <c r="G60" s="497"/>
      <c r="H60" s="497"/>
      <c r="I60" s="497"/>
    </row>
    <row r="61" spans="7:9" s="496" customFormat="1" ht="12.75">
      <c r="G61" s="497"/>
      <c r="H61" s="497"/>
      <c r="I61" s="497"/>
    </row>
    <row r="62" spans="7:9" s="496" customFormat="1" ht="12.75">
      <c r="G62" s="497"/>
      <c r="H62" s="497"/>
      <c r="I62" s="497"/>
    </row>
    <row r="63" spans="7:9" s="496" customFormat="1" ht="12.75">
      <c r="G63" s="497"/>
      <c r="H63" s="497"/>
      <c r="I63" s="497"/>
    </row>
    <row r="64" spans="7:9" s="496" customFormat="1" ht="12.75">
      <c r="G64" s="497"/>
      <c r="H64" s="497"/>
      <c r="I64" s="497"/>
    </row>
    <row r="65" spans="7:9" s="496" customFormat="1" ht="12.75">
      <c r="G65" s="497"/>
      <c r="H65" s="497"/>
      <c r="I65" s="497"/>
    </row>
    <row r="66" spans="7:9" s="496" customFormat="1" ht="12.75">
      <c r="G66" s="497"/>
      <c r="H66" s="497"/>
      <c r="I66" s="497"/>
    </row>
    <row r="67" spans="7:9" s="496" customFormat="1" ht="12.75">
      <c r="G67" s="497"/>
      <c r="H67" s="497"/>
      <c r="I67" s="497"/>
    </row>
    <row r="68" spans="7:9" s="496" customFormat="1" ht="12.75">
      <c r="G68" s="497"/>
      <c r="H68" s="497"/>
      <c r="I68" s="497"/>
    </row>
    <row r="69" spans="7:9" s="496" customFormat="1" ht="12.75">
      <c r="G69" s="497"/>
      <c r="H69" s="497"/>
      <c r="I69" s="497"/>
    </row>
    <row r="70" spans="7:9" s="496" customFormat="1" ht="12.75">
      <c r="G70" s="497"/>
      <c r="H70" s="497"/>
      <c r="I70" s="497"/>
    </row>
    <row r="71" spans="7:9" s="496" customFormat="1" ht="12.75">
      <c r="G71" s="497"/>
      <c r="H71" s="497"/>
      <c r="I71" s="497"/>
    </row>
    <row r="72" spans="7:9" s="496" customFormat="1" ht="12.75">
      <c r="G72" s="497"/>
      <c r="H72" s="497"/>
      <c r="I72" s="497"/>
    </row>
    <row r="73" spans="7:9" s="496" customFormat="1" ht="12.75">
      <c r="G73" s="497"/>
      <c r="H73" s="497"/>
      <c r="I73" s="497"/>
    </row>
    <row r="74" spans="7:9" s="496" customFormat="1" ht="12.75">
      <c r="G74" s="497"/>
      <c r="H74" s="497"/>
      <c r="I74" s="497"/>
    </row>
    <row r="75" spans="7:9" s="496" customFormat="1" ht="12.75">
      <c r="G75" s="497"/>
      <c r="H75" s="497"/>
      <c r="I75" s="497"/>
    </row>
    <row r="76" spans="7:9" s="496" customFormat="1" ht="12.75">
      <c r="G76" s="497"/>
      <c r="H76" s="497"/>
      <c r="I76" s="497"/>
    </row>
    <row r="77" spans="7:9" s="496" customFormat="1" ht="12.75">
      <c r="G77" s="497"/>
      <c r="H77" s="497"/>
      <c r="I77" s="497"/>
    </row>
    <row r="78" spans="7:9" s="496" customFormat="1" ht="12.75">
      <c r="G78" s="497"/>
      <c r="H78" s="497"/>
      <c r="I78" s="497"/>
    </row>
    <row r="79" spans="7:9" s="496" customFormat="1" ht="12.75">
      <c r="G79" s="497"/>
      <c r="H79" s="497"/>
      <c r="I79" s="497"/>
    </row>
    <row r="80" spans="7:9" s="496" customFormat="1" ht="12.75">
      <c r="G80" s="497"/>
      <c r="H80" s="497"/>
      <c r="I80" s="497"/>
    </row>
    <row r="81" spans="7:9" s="496" customFormat="1" ht="12.75">
      <c r="G81" s="497"/>
      <c r="H81" s="497"/>
      <c r="I81" s="497"/>
    </row>
    <row r="82" spans="7:9" s="496" customFormat="1" ht="12.75">
      <c r="G82" s="497"/>
      <c r="H82" s="497"/>
      <c r="I82" s="497"/>
    </row>
    <row r="83" spans="7:9" s="496" customFormat="1" ht="12.75">
      <c r="G83" s="497"/>
      <c r="H83" s="497"/>
      <c r="I83" s="497"/>
    </row>
    <row r="84" spans="7:9" s="496" customFormat="1" ht="12.75">
      <c r="G84" s="497"/>
      <c r="H84" s="497"/>
      <c r="I84" s="497"/>
    </row>
    <row r="85" spans="7:9" s="496" customFormat="1" ht="12.75">
      <c r="G85" s="497"/>
      <c r="H85" s="497"/>
      <c r="I85" s="497"/>
    </row>
  </sheetData>
  <sheetProtection/>
  <mergeCells count="7">
    <mergeCell ref="J12:L12"/>
    <mergeCell ref="F12:H12"/>
    <mergeCell ref="A10:M10"/>
    <mergeCell ref="A9:M9"/>
    <mergeCell ref="A5:M5"/>
    <mergeCell ref="A6:M6"/>
    <mergeCell ref="A7:M7"/>
  </mergeCells>
  <printOptions horizontalCentered="1"/>
  <pageMargins left="0.2" right="0.2" top="0.25" bottom="0.25" header="0.3" footer="0.3"/>
  <pageSetup fitToHeight="1" fitToWidth="1" horizontalDpi="600" verticalDpi="600" orientation="landscape" scale="66" r:id="rId2"/>
  <drawing r:id="rId1"/>
</worksheet>
</file>

<file path=xl/worksheets/sheet28.xml><?xml version="1.0" encoding="utf-8"?>
<worksheet xmlns="http://schemas.openxmlformats.org/spreadsheetml/2006/main" xmlns:r="http://schemas.openxmlformats.org/officeDocument/2006/relationships">
  <sheetPr>
    <tabColor rgb="FF0070C0"/>
    <pageSetUpPr fitToPage="1"/>
  </sheetPr>
  <dimension ref="A1:S48"/>
  <sheetViews>
    <sheetView view="pageBreakPreview" zoomScale="70" zoomScaleNormal="80" zoomScaleSheetLayoutView="70" zoomScalePageLayoutView="0" workbookViewId="0" topLeftCell="A7">
      <selection activeCell="B28" sqref="B28"/>
    </sheetView>
  </sheetViews>
  <sheetFormatPr defaultColWidth="9.00390625" defaultRowHeight="12.75"/>
  <cols>
    <col min="1" max="1" width="57.125" style="34" bestFit="1" customWidth="1"/>
    <col min="2" max="2" width="2.25390625" style="34" customWidth="1"/>
    <col min="3" max="3" width="17.125" style="34" bestFit="1" customWidth="1"/>
    <col min="4" max="4" width="1.75390625" style="34" customWidth="1"/>
    <col min="5" max="5" width="13.75390625" style="34" bestFit="1" customWidth="1"/>
    <col min="6" max="6" width="1.875" style="34" customWidth="1"/>
    <col min="7" max="7" width="16.875" style="34" bestFit="1" customWidth="1"/>
    <col min="8" max="8" width="1.37890625" style="34" customWidth="1"/>
    <col min="9" max="9" width="15.00390625" style="34" bestFit="1" customWidth="1"/>
    <col min="10" max="10" width="1.75390625" style="34" customWidth="1"/>
    <col min="11" max="11" width="14.375" style="34" bestFit="1" customWidth="1"/>
    <col min="12" max="12" width="4.875" style="34" customWidth="1"/>
    <col min="13" max="13" width="14.25390625" style="34" bestFit="1" customWidth="1"/>
    <col min="14" max="14" width="2.00390625" style="34" customWidth="1"/>
    <col min="15" max="15" width="16.875" style="34" bestFit="1" customWidth="1"/>
    <col min="16" max="16" width="2.50390625" style="34" customWidth="1"/>
    <col min="17" max="17" width="15.00390625" style="34" bestFit="1" customWidth="1"/>
    <col min="18" max="18" width="1.875" style="34" customWidth="1"/>
    <col min="19" max="19" width="14.375" style="34" bestFit="1" customWidth="1"/>
    <col min="20" max="16384" width="9.00390625" style="34" customWidth="1"/>
  </cols>
  <sheetData>
    <row r="1" spans="1:11" s="104" customFormat="1" ht="15">
      <c r="A1" s="14" t="s">
        <v>1159</v>
      </c>
      <c r="B1" s="20"/>
      <c r="C1" s="458"/>
      <c r="D1" s="20"/>
      <c r="E1" s="20"/>
      <c r="F1" s="20"/>
      <c r="G1" s="20"/>
      <c r="H1" s="20"/>
      <c r="I1" s="20"/>
      <c r="K1" s="68"/>
    </row>
    <row r="2" spans="1:12" s="27" customFormat="1" ht="17.25">
      <c r="A2" s="12"/>
      <c r="B2" s="11"/>
      <c r="C2" s="459"/>
      <c r="D2" s="11"/>
      <c r="E2" s="11"/>
      <c r="F2" s="11"/>
      <c r="G2" s="11"/>
      <c r="H2" s="11"/>
      <c r="I2" s="11"/>
      <c r="J2" s="11"/>
      <c r="K2" s="25"/>
      <c r="L2" s="442"/>
    </row>
    <row r="3" spans="1:19" s="27" customFormat="1" ht="17.25">
      <c r="A3" s="477" t="s">
        <v>228</v>
      </c>
      <c r="B3" s="477"/>
      <c r="C3" s="477"/>
      <c r="D3" s="477"/>
      <c r="E3" s="477"/>
      <c r="F3" s="477"/>
      <c r="G3" s="477"/>
      <c r="H3" s="477"/>
      <c r="I3" s="477"/>
      <c r="J3" s="477"/>
      <c r="K3" s="477"/>
      <c r="L3" s="477"/>
      <c r="M3" s="478"/>
      <c r="N3" s="478"/>
      <c r="O3" s="478"/>
      <c r="P3" s="478"/>
      <c r="Q3" s="478"/>
      <c r="R3" s="478"/>
      <c r="S3" s="478"/>
    </row>
    <row r="4" spans="1:19" s="27" customFormat="1" ht="17.25">
      <c r="A4" s="477" t="s">
        <v>111</v>
      </c>
      <c r="B4" s="477"/>
      <c r="C4" s="477"/>
      <c r="D4" s="477"/>
      <c r="E4" s="477"/>
      <c r="F4" s="477"/>
      <c r="G4" s="477"/>
      <c r="H4" s="477"/>
      <c r="I4" s="477"/>
      <c r="J4" s="477"/>
      <c r="K4" s="477"/>
      <c r="L4" s="477"/>
      <c r="M4" s="478"/>
      <c r="N4" s="478"/>
      <c r="O4" s="478"/>
      <c r="P4" s="478"/>
      <c r="Q4" s="478"/>
      <c r="R4" s="478"/>
      <c r="S4" s="478"/>
    </row>
    <row r="5" spans="1:19" s="27" customFormat="1" ht="17.25">
      <c r="A5" s="477" t="s">
        <v>1377</v>
      </c>
      <c r="B5" s="477"/>
      <c r="C5" s="477"/>
      <c r="D5" s="477"/>
      <c r="E5" s="753"/>
      <c r="F5" s="753"/>
      <c r="G5" s="753"/>
      <c r="H5" s="753"/>
      <c r="I5" s="753"/>
      <c r="J5" s="753"/>
      <c r="K5" s="753"/>
      <c r="L5" s="477"/>
      <c r="M5" s="478"/>
      <c r="N5" s="478"/>
      <c r="O5" s="478"/>
      <c r="P5" s="478"/>
      <c r="Q5" s="478"/>
      <c r="R5" s="478"/>
      <c r="S5" s="478"/>
    </row>
    <row r="6" spans="1:19" s="27" customFormat="1" ht="12" customHeight="1">
      <c r="A6" s="477"/>
      <c r="B6" s="479"/>
      <c r="C6" s="480"/>
      <c r="D6" s="479"/>
      <c r="E6" s="479"/>
      <c r="F6" s="479"/>
      <c r="G6" s="479"/>
      <c r="H6" s="479"/>
      <c r="I6" s="479"/>
      <c r="J6" s="479"/>
      <c r="K6" s="479"/>
      <c r="L6" s="479"/>
      <c r="M6" s="478"/>
      <c r="N6" s="478"/>
      <c r="O6" s="478"/>
      <c r="P6" s="478"/>
      <c r="Q6" s="478"/>
      <c r="R6" s="478"/>
      <c r="S6" s="478"/>
    </row>
    <row r="7" spans="1:19" s="27" customFormat="1" ht="17.25">
      <c r="A7" s="477" t="s">
        <v>1160</v>
      </c>
      <c r="B7" s="477"/>
      <c r="C7" s="477"/>
      <c r="D7" s="477"/>
      <c r="E7" s="477"/>
      <c r="F7" s="477"/>
      <c r="G7" s="477"/>
      <c r="H7" s="477"/>
      <c r="I7" s="477"/>
      <c r="J7" s="477"/>
      <c r="K7" s="477"/>
      <c r="L7" s="477"/>
      <c r="M7" s="478"/>
      <c r="N7" s="478"/>
      <c r="O7" s="478"/>
      <c r="P7" s="478"/>
      <c r="Q7" s="478"/>
      <c r="R7" s="478"/>
      <c r="S7" s="478"/>
    </row>
    <row r="8" spans="1:19" ht="17.25">
      <c r="A8" s="477" t="s">
        <v>455</v>
      </c>
      <c r="B8" s="477"/>
      <c r="C8" s="477"/>
      <c r="D8" s="477"/>
      <c r="E8" s="477"/>
      <c r="F8" s="477"/>
      <c r="G8" s="477"/>
      <c r="H8" s="477"/>
      <c r="I8" s="477"/>
      <c r="J8" s="477"/>
      <c r="K8" s="477"/>
      <c r="L8" s="477"/>
      <c r="M8" s="481"/>
      <c r="N8" s="481"/>
      <c r="O8" s="481"/>
      <c r="P8" s="481"/>
      <c r="Q8" s="481"/>
      <c r="R8" s="481"/>
      <c r="S8" s="481"/>
    </row>
    <row r="9" spans="1:12" ht="17.25">
      <c r="A9" s="442"/>
      <c r="B9" s="442"/>
      <c r="C9" s="442"/>
      <c r="D9" s="442"/>
      <c r="E9" s="442"/>
      <c r="F9" s="442"/>
      <c r="G9" s="442"/>
      <c r="H9" s="442"/>
      <c r="I9" s="442"/>
      <c r="J9" s="442"/>
      <c r="K9" s="442"/>
      <c r="L9" s="442"/>
    </row>
    <row r="10" spans="1:19" s="47" customFormat="1" ht="15">
      <c r="A10" s="460"/>
      <c r="B10" s="460"/>
      <c r="C10" s="460"/>
      <c r="D10" s="460"/>
      <c r="E10" s="1599">
        <v>2015</v>
      </c>
      <c r="F10" s="1599"/>
      <c r="G10" s="1599"/>
      <c r="H10" s="1599"/>
      <c r="I10" s="1599"/>
      <c r="J10" s="1599"/>
      <c r="K10" s="1599"/>
      <c r="M10" s="1599">
        <v>2014</v>
      </c>
      <c r="N10" s="1599"/>
      <c r="O10" s="1599"/>
      <c r="P10" s="1599"/>
      <c r="Q10" s="1599"/>
      <c r="R10" s="1599"/>
      <c r="S10" s="1599"/>
    </row>
    <row r="11" spans="1:19" s="47" customFormat="1" ht="8.25" customHeight="1">
      <c r="A11" s="460"/>
      <c r="B11" s="460"/>
      <c r="C11" s="460"/>
      <c r="D11" s="460"/>
      <c r="E11" s="460"/>
      <c r="F11" s="460"/>
      <c r="G11" s="460"/>
      <c r="H11" s="460"/>
      <c r="I11" s="460"/>
      <c r="J11" s="460"/>
      <c r="K11" s="460"/>
      <c r="M11" s="460"/>
      <c r="N11" s="460"/>
      <c r="O11" s="460"/>
      <c r="P11" s="460"/>
      <c r="Q11" s="460"/>
      <c r="R11" s="460"/>
      <c r="S11" s="460"/>
    </row>
    <row r="12" spans="1:19" s="47" customFormat="1" ht="15">
      <c r="A12" s="460"/>
      <c r="B12" s="460"/>
      <c r="C12" s="461"/>
      <c r="D12" s="460"/>
      <c r="E12" s="461" t="s">
        <v>113</v>
      </c>
      <c r="F12" s="460"/>
      <c r="G12" s="460"/>
      <c r="H12" s="460"/>
      <c r="I12" s="460"/>
      <c r="J12" s="460"/>
      <c r="K12" s="460"/>
      <c r="M12" s="461" t="s">
        <v>113</v>
      </c>
      <c r="N12" s="460"/>
      <c r="O12" s="460"/>
      <c r="P12" s="460"/>
      <c r="Q12" s="460"/>
      <c r="R12" s="460"/>
      <c r="S12" s="460"/>
    </row>
    <row r="13" spans="1:19" s="47" customFormat="1" ht="15">
      <c r="A13" s="460"/>
      <c r="B13" s="460"/>
      <c r="C13" s="461"/>
      <c r="D13" s="460"/>
      <c r="E13" s="461" t="s">
        <v>273</v>
      </c>
      <c r="F13" s="460"/>
      <c r="G13" s="461" t="s">
        <v>163</v>
      </c>
      <c r="H13" s="460"/>
      <c r="I13" s="461" t="s">
        <v>272</v>
      </c>
      <c r="J13" s="460"/>
      <c r="K13" s="461" t="s">
        <v>72</v>
      </c>
      <c r="M13" s="461" t="s">
        <v>273</v>
      </c>
      <c r="N13" s="460"/>
      <c r="O13" s="461" t="s">
        <v>163</v>
      </c>
      <c r="P13" s="460"/>
      <c r="Q13" s="461" t="s">
        <v>272</v>
      </c>
      <c r="R13" s="460"/>
      <c r="S13" s="461" t="s">
        <v>72</v>
      </c>
    </row>
    <row r="14" spans="2:19" s="47" customFormat="1" ht="15.75" thickBot="1">
      <c r="B14" s="460"/>
      <c r="C14" s="462" t="s">
        <v>270</v>
      </c>
      <c r="D14" s="460"/>
      <c r="E14" s="463" t="s">
        <v>954</v>
      </c>
      <c r="G14" s="463" t="s">
        <v>342</v>
      </c>
      <c r="I14" s="463" t="s">
        <v>989</v>
      </c>
      <c r="K14" s="463" t="s">
        <v>956</v>
      </c>
      <c r="M14" s="463" t="s">
        <v>954</v>
      </c>
      <c r="O14" s="463" t="s">
        <v>342</v>
      </c>
      <c r="Q14" s="463" t="s">
        <v>989</v>
      </c>
      <c r="S14" s="463" t="s">
        <v>956</v>
      </c>
    </row>
    <row r="15" spans="1:19" s="47" customFormat="1" ht="15">
      <c r="A15" s="754" t="s">
        <v>992</v>
      </c>
      <c r="B15" s="755"/>
      <c r="C15" s="756"/>
      <c r="D15" s="460"/>
      <c r="E15" s="820" t="s">
        <v>220</v>
      </c>
      <c r="G15" s="820" t="s">
        <v>221</v>
      </c>
      <c r="H15" s="820"/>
      <c r="I15" s="820" t="s">
        <v>222</v>
      </c>
      <c r="J15" s="820"/>
      <c r="K15" s="820" t="s">
        <v>223</v>
      </c>
      <c r="L15" s="820"/>
      <c r="M15" s="820" t="s">
        <v>224</v>
      </c>
      <c r="N15" s="460"/>
      <c r="O15" s="820" t="s">
        <v>456</v>
      </c>
      <c r="P15" s="460"/>
      <c r="Q15" s="820" t="s">
        <v>457</v>
      </c>
      <c r="R15" s="460"/>
      <c r="S15" s="820" t="s">
        <v>1087</v>
      </c>
    </row>
    <row r="16" spans="1:19" s="47" customFormat="1" ht="18" customHeight="1">
      <c r="A16" s="755" t="s">
        <v>993</v>
      </c>
      <c r="B16" s="755"/>
      <c r="C16" s="757">
        <v>205300200001</v>
      </c>
      <c r="D16" s="460"/>
      <c r="E16" s="760">
        <v>1817000</v>
      </c>
      <c r="F16" s="760"/>
      <c r="G16" s="760">
        <v>1492744</v>
      </c>
      <c r="H16" s="760"/>
      <c r="I16" s="760">
        <v>324256</v>
      </c>
      <c r="J16" s="755"/>
      <c r="K16" s="761">
        <v>35977</v>
      </c>
      <c r="L16" s="762"/>
      <c r="M16" s="760">
        <v>1817000</v>
      </c>
      <c r="N16" s="760"/>
      <c r="O16" s="760">
        <v>1456767</v>
      </c>
      <c r="P16" s="760"/>
      <c r="Q16" s="760">
        <v>360233</v>
      </c>
      <c r="R16" s="755"/>
      <c r="S16" s="761">
        <v>35977</v>
      </c>
    </row>
    <row r="17" spans="1:19" s="47" customFormat="1" ht="15">
      <c r="A17" s="755" t="s">
        <v>994</v>
      </c>
      <c r="B17" s="755"/>
      <c r="C17" s="757">
        <v>205300200002</v>
      </c>
      <c r="D17" s="460"/>
      <c r="E17" s="760">
        <v>3045068.21</v>
      </c>
      <c r="F17" s="760"/>
      <c r="G17" s="760">
        <v>657871.21</v>
      </c>
      <c r="H17" s="760"/>
      <c r="I17" s="760">
        <v>2387197</v>
      </c>
      <c r="J17" s="755"/>
      <c r="K17" s="761">
        <v>60902</v>
      </c>
      <c r="L17" s="762"/>
      <c r="M17" s="760">
        <v>3045068.21</v>
      </c>
      <c r="N17" s="760"/>
      <c r="O17" s="760">
        <v>596969.21</v>
      </c>
      <c r="P17" s="760"/>
      <c r="Q17" s="760">
        <v>2448099</v>
      </c>
      <c r="R17" s="755"/>
      <c r="S17" s="761">
        <v>60271.9</v>
      </c>
    </row>
    <row r="18" spans="1:19" s="47" customFormat="1" ht="15">
      <c r="A18" s="755" t="s">
        <v>994</v>
      </c>
      <c r="B18" s="755"/>
      <c r="C18" s="757">
        <v>205300200003</v>
      </c>
      <c r="D18" s="460"/>
      <c r="E18" s="1462">
        <v>3045067.01</v>
      </c>
      <c r="F18" s="760"/>
      <c r="G18" s="1462">
        <v>657872.01</v>
      </c>
      <c r="H18" s="760"/>
      <c r="I18" s="1462">
        <v>2387195</v>
      </c>
      <c r="J18" s="755"/>
      <c r="K18" s="1463">
        <v>60902</v>
      </c>
      <c r="L18" s="762"/>
      <c r="M18" s="1462">
        <v>3045067.01</v>
      </c>
      <c r="N18" s="760"/>
      <c r="O18" s="1462">
        <v>596970.01</v>
      </c>
      <c r="P18" s="760"/>
      <c r="Q18" s="1462">
        <v>2448097</v>
      </c>
      <c r="R18" s="755"/>
      <c r="S18" s="1463">
        <v>60271.96</v>
      </c>
    </row>
    <row r="19" spans="1:19" s="47" customFormat="1" ht="15.75" thickBot="1">
      <c r="A19" s="755"/>
      <c r="B19" s="755"/>
      <c r="C19" s="757"/>
      <c r="D19" s="460"/>
      <c r="E19" s="467">
        <f>SUM(E16:E18)</f>
        <v>7907135.22</v>
      </c>
      <c r="F19" s="468"/>
      <c r="G19" s="467">
        <f>SUM(G16:G18)</f>
        <v>2808487.2199999997</v>
      </c>
      <c r="H19" s="469"/>
      <c r="I19" s="467">
        <f>SUM(I16:I18)</f>
        <v>5098648</v>
      </c>
      <c r="J19" s="468"/>
      <c r="K19" s="467">
        <f>SUM(K16:K18)</f>
        <v>157781</v>
      </c>
      <c r="L19" s="470"/>
      <c r="M19" s="467">
        <f>SUM(M16:M18)</f>
        <v>7907135.22</v>
      </c>
      <c r="N19" s="468"/>
      <c r="O19" s="467">
        <f>SUM(O16:O18)</f>
        <v>2650706.2199999997</v>
      </c>
      <c r="P19" s="469"/>
      <c r="Q19" s="467">
        <f>SUM(Q16:Q18)</f>
        <v>5256429</v>
      </c>
      <c r="R19" s="468"/>
      <c r="S19" s="467">
        <f>SUM(S16:S18)</f>
        <v>156520.86</v>
      </c>
    </row>
    <row r="20" spans="1:19" s="47" customFormat="1" ht="15">
      <c r="A20" s="755"/>
      <c r="B20" s="755"/>
      <c r="C20" s="757"/>
      <c r="D20" s="460"/>
      <c r="E20" s="471"/>
      <c r="F20" s="465"/>
      <c r="G20" s="471"/>
      <c r="H20" s="472"/>
      <c r="I20" s="471"/>
      <c r="J20" s="460"/>
      <c r="K20" s="471"/>
      <c r="M20" s="471"/>
      <c r="N20" s="465"/>
      <c r="O20" s="471"/>
      <c r="P20" s="472"/>
      <c r="Q20" s="471"/>
      <c r="R20" s="460"/>
      <c r="S20" s="471"/>
    </row>
    <row r="21" spans="1:19" s="47" customFormat="1" ht="15">
      <c r="A21" s="754" t="s">
        <v>271</v>
      </c>
      <c r="B21" s="755"/>
      <c r="C21" s="757"/>
      <c r="D21" s="460"/>
      <c r="E21" s="465"/>
      <c r="F21" s="465"/>
      <c r="G21" s="465"/>
      <c r="H21" s="465"/>
      <c r="I21" s="465"/>
      <c r="J21" s="460"/>
      <c r="K21" s="466"/>
      <c r="M21" s="465"/>
      <c r="N21" s="465"/>
      <c r="O21" s="465"/>
      <c r="P21" s="465"/>
      <c r="Q21" s="465"/>
      <c r="R21" s="460"/>
      <c r="S21" s="466"/>
    </row>
    <row r="22" spans="1:19" s="47" customFormat="1" ht="15">
      <c r="A22" s="755" t="s">
        <v>439</v>
      </c>
      <c r="B22" s="754"/>
      <c r="C22" s="757">
        <v>205300300001</v>
      </c>
      <c r="D22" s="464"/>
      <c r="E22" s="760">
        <v>9775817</v>
      </c>
      <c r="F22" s="760"/>
      <c r="G22" s="760">
        <v>8352591</v>
      </c>
      <c r="H22" s="760"/>
      <c r="I22" s="760">
        <v>1423226</v>
      </c>
      <c r="J22" s="754"/>
      <c r="K22" s="761">
        <v>180061</v>
      </c>
      <c r="L22" s="762"/>
      <c r="M22" s="760">
        <v>9775817</v>
      </c>
      <c r="N22" s="760"/>
      <c r="O22" s="760">
        <v>8172530</v>
      </c>
      <c r="P22" s="760"/>
      <c r="Q22" s="760">
        <v>1603287</v>
      </c>
      <c r="R22" s="754"/>
      <c r="S22" s="761">
        <v>180061</v>
      </c>
    </row>
    <row r="23" spans="1:19" s="47" customFormat="1" ht="15">
      <c r="A23" s="755" t="s">
        <v>995</v>
      </c>
      <c r="B23" s="755"/>
      <c r="C23" s="757">
        <v>205300300002</v>
      </c>
      <c r="D23" s="460"/>
      <c r="E23" s="760">
        <v>2154273.43</v>
      </c>
      <c r="F23" s="760"/>
      <c r="G23" s="760">
        <v>714570.43</v>
      </c>
      <c r="H23" s="760"/>
      <c r="I23" s="760">
        <v>1439703</v>
      </c>
      <c r="J23" s="755"/>
      <c r="K23" s="761">
        <v>43086.43000000005</v>
      </c>
      <c r="L23" s="762"/>
      <c r="M23" s="760">
        <v>2154273.43</v>
      </c>
      <c r="N23" s="760"/>
      <c r="O23" s="760">
        <v>671484.43</v>
      </c>
      <c r="P23" s="760"/>
      <c r="Q23" s="760">
        <v>1482789</v>
      </c>
      <c r="R23" s="755"/>
      <c r="S23" s="761">
        <v>43086.43000000005</v>
      </c>
    </row>
    <row r="24" spans="1:19" s="47" customFormat="1" ht="15">
      <c r="A24" s="755" t="s">
        <v>996</v>
      </c>
      <c r="B24" s="755"/>
      <c r="C24" s="757">
        <v>205300300003</v>
      </c>
      <c r="D24" s="460"/>
      <c r="E24" s="760">
        <v>2021592</v>
      </c>
      <c r="F24" s="760"/>
      <c r="G24" s="760">
        <v>3370</v>
      </c>
      <c r="H24" s="760"/>
      <c r="I24" s="760">
        <v>2018222</v>
      </c>
      <c r="J24" s="755"/>
      <c r="K24" s="761">
        <v>3370</v>
      </c>
      <c r="L24" s="762"/>
      <c r="M24" s="760">
        <v>2477841.2</v>
      </c>
      <c r="N24" s="760"/>
      <c r="O24" s="760">
        <v>727342.2</v>
      </c>
      <c r="P24" s="760"/>
      <c r="Q24" s="760">
        <v>1750499.0000000002</v>
      </c>
      <c r="R24" s="755"/>
      <c r="S24" s="761">
        <v>49557.19999999995</v>
      </c>
    </row>
    <row r="25" spans="1:19" s="47" customFormat="1" ht="15">
      <c r="A25" s="755" t="s">
        <v>997</v>
      </c>
      <c r="B25" s="755"/>
      <c r="C25" s="757">
        <v>205300300004</v>
      </c>
      <c r="D25" s="460"/>
      <c r="E25" s="760">
        <v>2849131.25</v>
      </c>
      <c r="F25" s="760"/>
      <c r="G25" s="760">
        <v>1042810.25</v>
      </c>
      <c r="H25" s="760"/>
      <c r="I25" s="760">
        <v>1806321</v>
      </c>
      <c r="J25" s="755"/>
      <c r="K25" s="761">
        <v>56983.25</v>
      </c>
      <c r="L25" s="762"/>
      <c r="M25" s="760">
        <v>2849131.25</v>
      </c>
      <c r="N25" s="760"/>
      <c r="O25" s="760">
        <v>985827.25</v>
      </c>
      <c r="P25" s="760"/>
      <c r="Q25" s="760">
        <v>1863304</v>
      </c>
      <c r="R25" s="755"/>
      <c r="S25" s="761">
        <v>56983.25</v>
      </c>
    </row>
    <row r="26" spans="1:19" s="47" customFormat="1" ht="15">
      <c r="A26" s="755" t="s">
        <v>998</v>
      </c>
      <c r="B26" s="755"/>
      <c r="C26" s="757">
        <v>205300300005</v>
      </c>
      <c r="D26" s="460"/>
      <c r="E26" s="760">
        <v>2134025.1</v>
      </c>
      <c r="F26" s="760"/>
      <c r="G26" s="760">
        <v>561869.1</v>
      </c>
      <c r="H26" s="760"/>
      <c r="I26" s="760">
        <v>1572156</v>
      </c>
      <c r="J26" s="755"/>
      <c r="K26" s="761">
        <v>42681.09999999998</v>
      </c>
      <c r="L26" s="762"/>
      <c r="M26" s="760">
        <v>2134025.1</v>
      </c>
      <c r="N26" s="760"/>
      <c r="O26" s="760">
        <v>519188.1</v>
      </c>
      <c r="P26" s="760"/>
      <c r="Q26" s="760">
        <v>1614837</v>
      </c>
      <c r="R26" s="755"/>
      <c r="S26" s="761">
        <v>42681.09999999998</v>
      </c>
    </row>
    <row r="27" spans="1:19" s="47" customFormat="1" ht="15">
      <c r="A27" s="755" t="s">
        <v>999</v>
      </c>
      <c r="B27" s="755"/>
      <c r="C27" s="757">
        <v>205300300007</v>
      </c>
      <c r="D27" s="460"/>
      <c r="E27" s="760">
        <v>2021860.69</v>
      </c>
      <c r="F27" s="760"/>
      <c r="G27" s="760">
        <v>488782.69</v>
      </c>
      <c r="H27" s="760"/>
      <c r="I27" s="760">
        <v>1533078</v>
      </c>
      <c r="J27" s="755"/>
      <c r="K27" s="761">
        <v>40437.69</v>
      </c>
      <c r="L27" s="762"/>
      <c r="M27" s="760">
        <v>2021860.69</v>
      </c>
      <c r="N27" s="760"/>
      <c r="O27" s="760">
        <v>448344.69</v>
      </c>
      <c r="P27" s="760"/>
      <c r="Q27" s="760">
        <v>1573516</v>
      </c>
      <c r="R27" s="755"/>
      <c r="S27" s="761">
        <v>40437.69</v>
      </c>
    </row>
    <row r="28" spans="1:19" s="47" customFormat="1" ht="15">
      <c r="A28" s="755" t="s">
        <v>1000</v>
      </c>
      <c r="B28" s="755"/>
      <c r="C28" s="757">
        <v>205300300008</v>
      </c>
      <c r="D28" s="460"/>
      <c r="E28" s="760">
        <v>2103658.95</v>
      </c>
      <c r="F28" s="760"/>
      <c r="G28" s="760">
        <v>471095.95</v>
      </c>
      <c r="H28" s="760"/>
      <c r="I28" s="760">
        <v>1632563.0000000002</v>
      </c>
      <c r="J28" s="755"/>
      <c r="K28" s="761">
        <v>42073.95000000001</v>
      </c>
      <c r="L28" s="762"/>
      <c r="M28" s="760">
        <v>2103658.95</v>
      </c>
      <c r="N28" s="760"/>
      <c r="O28" s="760">
        <v>429021.95</v>
      </c>
      <c r="P28" s="760"/>
      <c r="Q28" s="760">
        <v>1674637.0000000002</v>
      </c>
      <c r="R28" s="755"/>
      <c r="S28" s="761">
        <v>42073.95000000001</v>
      </c>
    </row>
    <row r="29" spans="1:19" s="47" customFormat="1" ht="15">
      <c r="A29" s="755" t="s">
        <v>1001</v>
      </c>
      <c r="B29" s="755"/>
      <c r="C29" s="757">
        <v>205300300009</v>
      </c>
      <c r="D29" s="460"/>
      <c r="E29" s="1462">
        <v>2653676.99</v>
      </c>
      <c r="F29" s="760"/>
      <c r="G29" s="1462">
        <v>538365.99</v>
      </c>
      <c r="H29" s="760"/>
      <c r="I29" s="1462">
        <v>2115311</v>
      </c>
      <c r="J29" s="755"/>
      <c r="K29" s="1463">
        <v>53073.98999999999</v>
      </c>
      <c r="L29" s="762"/>
      <c r="M29" s="1462">
        <v>2653676.99</v>
      </c>
      <c r="N29" s="760"/>
      <c r="O29" s="1462">
        <v>485291.99</v>
      </c>
      <c r="P29" s="760"/>
      <c r="Q29" s="1462">
        <v>2168385</v>
      </c>
      <c r="R29" s="755"/>
      <c r="S29" s="1463">
        <v>53073.98999999999</v>
      </c>
    </row>
    <row r="30" spans="1:19" s="47" customFormat="1" ht="15.75" thickBot="1">
      <c r="A30" s="755"/>
      <c r="B30" s="755"/>
      <c r="C30" s="758"/>
      <c r="D30" s="460"/>
      <c r="E30" s="467">
        <f>SUM(E22:E29)</f>
        <v>25714035.410000004</v>
      </c>
      <c r="F30" s="469"/>
      <c r="G30" s="467">
        <f>SUM(G22:G29)</f>
        <v>12173455.409999998</v>
      </c>
      <c r="H30" s="469"/>
      <c r="I30" s="467">
        <f>SUM(I22:I29)</f>
        <v>13540580</v>
      </c>
      <c r="J30" s="468"/>
      <c r="K30" s="467">
        <f>SUM(K22:K29)</f>
        <v>461767.41000000003</v>
      </c>
      <c r="L30" s="470"/>
      <c r="M30" s="467">
        <f>SUM(M22:M29)</f>
        <v>26170284.61</v>
      </c>
      <c r="N30" s="469"/>
      <c r="O30" s="467">
        <f>SUM(O22:O29)</f>
        <v>12439030.609999998</v>
      </c>
      <c r="P30" s="469"/>
      <c r="Q30" s="467">
        <f>SUM(Q22:Q29)</f>
        <v>13731254</v>
      </c>
      <c r="R30" s="468"/>
      <c r="S30" s="467">
        <f>SUM(S22:S29)</f>
        <v>507954.61</v>
      </c>
    </row>
    <row r="31" spans="1:19" s="47" customFormat="1" ht="15">
      <c r="A31" s="755"/>
      <c r="B31" s="755"/>
      <c r="C31" s="758"/>
      <c r="D31" s="460"/>
      <c r="E31" s="465"/>
      <c r="F31" s="465"/>
      <c r="G31" s="465"/>
      <c r="H31" s="465"/>
      <c r="I31" s="465"/>
      <c r="J31" s="460"/>
      <c r="K31" s="466"/>
      <c r="M31" s="465"/>
      <c r="N31" s="465"/>
      <c r="O31" s="465"/>
      <c r="P31" s="465"/>
      <c r="Q31" s="465"/>
      <c r="R31" s="460"/>
      <c r="S31" s="466"/>
    </row>
    <row r="32" spans="1:19" s="47" customFormat="1" ht="15">
      <c r="A32" s="754" t="s">
        <v>66</v>
      </c>
      <c r="B32" s="755"/>
      <c r="C32" s="759">
        <v>205300400001</v>
      </c>
      <c r="D32" s="460"/>
      <c r="E32" s="763">
        <v>3993000</v>
      </c>
      <c r="F32" s="763"/>
      <c r="G32" s="763">
        <v>3668542</v>
      </c>
      <c r="H32" s="763"/>
      <c r="I32" s="763">
        <v>324458</v>
      </c>
      <c r="J32" s="755"/>
      <c r="K32" s="761">
        <v>94634</v>
      </c>
      <c r="L32" s="762"/>
      <c r="M32" s="763">
        <v>3993000</v>
      </c>
      <c r="N32" s="763"/>
      <c r="O32" s="763">
        <v>3573908</v>
      </c>
      <c r="P32" s="763"/>
      <c r="Q32" s="763">
        <v>419092</v>
      </c>
      <c r="R32" s="755"/>
      <c r="S32" s="761">
        <v>94634</v>
      </c>
    </row>
    <row r="33" spans="1:19" s="47" customFormat="1" ht="15">
      <c r="A33" s="755"/>
      <c r="B33" s="755"/>
      <c r="C33" s="758"/>
      <c r="D33" s="460"/>
      <c r="E33" s="465"/>
      <c r="F33" s="465"/>
      <c r="G33" s="473"/>
      <c r="H33" s="465"/>
      <c r="I33" s="465"/>
      <c r="J33" s="460"/>
      <c r="K33" s="466"/>
      <c r="M33" s="465"/>
      <c r="N33" s="465"/>
      <c r="O33" s="473"/>
      <c r="P33" s="465"/>
      <c r="Q33" s="465"/>
      <c r="R33" s="460"/>
      <c r="S33" s="466"/>
    </row>
    <row r="34" spans="1:19" s="47" customFormat="1" ht="15">
      <c r="A34" s="754" t="s">
        <v>991</v>
      </c>
      <c r="B34" s="755"/>
      <c r="C34" s="759">
        <v>205400500001</v>
      </c>
      <c r="D34" s="460"/>
      <c r="E34" s="763">
        <v>2227045</v>
      </c>
      <c r="F34" s="760"/>
      <c r="G34" s="763">
        <v>2227045</v>
      </c>
      <c r="H34" s="760"/>
      <c r="I34" s="760">
        <v>0</v>
      </c>
      <c r="J34" s="755"/>
      <c r="K34" s="764"/>
      <c r="L34" s="762"/>
      <c r="M34" s="763">
        <v>2227045</v>
      </c>
      <c r="N34" s="760"/>
      <c r="O34" s="763">
        <v>2227045</v>
      </c>
      <c r="P34" s="760"/>
      <c r="Q34" s="760">
        <v>0</v>
      </c>
      <c r="R34" s="755"/>
      <c r="S34" s="764"/>
    </row>
    <row r="35" spans="1:19" s="47" customFormat="1" ht="15">
      <c r="A35" s="755"/>
      <c r="B35" s="755"/>
      <c r="C35" s="755"/>
      <c r="D35" s="460"/>
      <c r="E35" s="460"/>
      <c r="F35" s="460"/>
      <c r="G35" s="460"/>
      <c r="H35" s="460"/>
      <c r="I35" s="460"/>
      <c r="J35" s="460"/>
      <c r="K35" s="460"/>
      <c r="M35" s="460"/>
      <c r="N35" s="460"/>
      <c r="O35" s="460"/>
      <c r="P35" s="460"/>
      <c r="Q35" s="460"/>
      <c r="R35" s="460"/>
      <c r="S35" s="460"/>
    </row>
    <row r="36" spans="1:19" s="47" customFormat="1" ht="15">
      <c r="A36" s="754" t="s">
        <v>1326</v>
      </c>
      <c r="B36" s="755"/>
      <c r="C36" s="755"/>
      <c r="D36" s="460"/>
      <c r="E36" s="460"/>
      <c r="F36" s="460"/>
      <c r="G36" s="460"/>
      <c r="H36" s="460"/>
      <c r="I36" s="460"/>
      <c r="J36" s="460"/>
      <c r="K36" s="460"/>
      <c r="M36" s="460"/>
      <c r="N36" s="460"/>
      <c r="O36" s="460"/>
      <c r="P36" s="460"/>
      <c r="Q36" s="460"/>
      <c r="R36" s="460"/>
      <c r="S36" s="460"/>
    </row>
    <row r="37" spans="1:19" s="47" customFormat="1" ht="15">
      <c r="A37" s="755" t="s">
        <v>1002</v>
      </c>
      <c r="B37" s="755"/>
      <c r="C37" s="757">
        <v>205303000001</v>
      </c>
      <c r="D37" s="460"/>
      <c r="E37" s="760">
        <v>2727277</v>
      </c>
      <c r="F37" s="755"/>
      <c r="G37" s="760">
        <v>909100</v>
      </c>
      <c r="H37" s="755"/>
      <c r="I37" s="760">
        <v>1818177</v>
      </c>
      <c r="J37" s="755"/>
      <c r="K37" s="765"/>
      <c r="L37" s="762"/>
      <c r="M37" s="760">
        <v>2727277</v>
      </c>
      <c r="N37" s="755"/>
      <c r="O37" s="760">
        <v>818190</v>
      </c>
      <c r="P37" s="755"/>
      <c r="Q37" s="760">
        <v>1909087</v>
      </c>
      <c r="R37" s="755"/>
      <c r="S37" s="765"/>
    </row>
    <row r="38" spans="1:19" s="47" customFormat="1" ht="15">
      <c r="A38" s="755" t="s">
        <v>1003</v>
      </c>
      <c r="B38" s="755"/>
      <c r="C38" s="757">
        <v>205303000002</v>
      </c>
      <c r="D38" s="460"/>
      <c r="E38" s="760">
        <v>2727277</v>
      </c>
      <c r="F38" s="755"/>
      <c r="G38" s="760">
        <v>909100</v>
      </c>
      <c r="H38" s="755"/>
      <c r="I38" s="760">
        <v>1818177</v>
      </c>
      <c r="J38" s="755"/>
      <c r="K38" s="765"/>
      <c r="L38" s="762"/>
      <c r="M38" s="760">
        <v>2727277</v>
      </c>
      <c r="N38" s="755"/>
      <c r="O38" s="760">
        <v>818190</v>
      </c>
      <c r="P38" s="755"/>
      <c r="Q38" s="760">
        <v>1909087</v>
      </c>
      <c r="R38" s="755"/>
      <c r="S38" s="765"/>
    </row>
    <row r="39" spans="1:19" s="47" customFormat="1" ht="15">
      <c r="A39" s="755" t="s">
        <v>1004</v>
      </c>
      <c r="B39" s="755"/>
      <c r="C39" s="757">
        <v>205303000003</v>
      </c>
      <c r="D39" s="460"/>
      <c r="E39" s="1462">
        <v>2727277</v>
      </c>
      <c r="F39" s="755"/>
      <c r="G39" s="1462">
        <v>909100</v>
      </c>
      <c r="H39" s="755"/>
      <c r="I39" s="1462">
        <v>1818177</v>
      </c>
      <c r="J39" s="755"/>
      <c r="K39" s="765"/>
      <c r="L39" s="762"/>
      <c r="M39" s="1462">
        <v>2727277</v>
      </c>
      <c r="N39" s="755"/>
      <c r="O39" s="1462">
        <v>818190</v>
      </c>
      <c r="P39" s="755"/>
      <c r="Q39" s="1462">
        <v>1909087</v>
      </c>
      <c r="R39" s="755"/>
      <c r="S39" s="765"/>
    </row>
    <row r="40" spans="1:19" s="47" customFormat="1" ht="15.75" thickBot="1">
      <c r="A40" s="460"/>
      <c r="B40" s="460"/>
      <c r="C40" s="460"/>
      <c r="D40" s="460"/>
      <c r="E40" s="467">
        <f>SUM(E37:E39)</f>
        <v>8181831</v>
      </c>
      <c r="F40" s="469"/>
      <c r="G40" s="467">
        <f>SUM(G37:G39)</f>
        <v>2727300</v>
      </c>
      <c r="H40" s="469"/>
      <c r="I40" s="467">
        <f>SUM(I37:I39)</f>
        <v>5454531</v>
      </c>
      <c r="J40" s="468"/>
      <c r="K40" s="468"/>
      <c r="L40" s="470"/>
      <c r="M40" s="467">
        <f>SUM(M37:M39)</f>
        <v>8181831</v>
      </c>
      <c r="N40" s="469"/>
      <c r="O40" s="467">
        <f>SUM(O37:O39)</f>
        <v>2454570</v>
      </c>
      <c r="P40" s="469"/>
      <c r="Q40" s="467">
        <f>SUM(Q37:Q39)</f>
        <v>5727261</v>
      </c>
      <c r="R40" s="468"/>
      <c r="S40" s="468"/>
    </row>
    <row r="41" spans="1:19" s="47" customFormat="1" ht="15">
      <c r="A41" s="460"/>
      <c r="B41" s="460"/>
      <c r="C41" s="460"/>
      <c r="D41" s="460"/>
      <c r="E41" s="468"/>
      <c r="F41" s="468"/>
      <c r="G41" s="468"/>
      <c r="H41" s="468"/>
      <c r="I41" s="468"/>
      <c r="J41" s="468"/>
      <c r="K41" s="468"/>
      <c r="L41" s="470"/>
      <c r="M41" s="468"/>
      <c r="N41" s="468"/>
      <c r="O41" s="468"/>
      <c r="P41" s="468"/>
      <c r="Q41" s="468"/>
      <c r="R41" s="468"/>
      <c r="S41" s="468"/>
    </row>
    <row r="42" spans="1:19" s="47" customFormat="1" ht="15.75" thickBot="1">
      <c r="A42" s="461" t="s">
        <v>5</v>
      </c>
      <c r="B42" s="464"/>
      <c r="C42" s="464"/>
      <c r="D42" s="464"/>
      <c r="E42" s="467">
        <f>+E19+E30+E32+E34+E40</f>
        <v>48023046.63</v>
      </c>
      <c r="F42" s="469"/>
      <c r="G42" s="467">
        <f>+G19+G30+G32+G34+G40</f>
        <v>23604829.63</v>
      </c>
      <c r="H42" s="469"/>
      <c r="I42" s="467">
        <f>+I19+I30+I32+I34+I40</f>
        <v>24418217</v>
      </c>
      <c r="J42" s="469"/>
      <c r="K42" s="467">
        <f>+K19+K30+K32+K34+K40</f>
        <v>714182.41</v>
      </c>
      <c r="L42" s="470"/>
      <c r="M42" s="467">
        <f>+M19+M30+M32+M34+M40</f>
        <v>48479295.83</v>
      </c>
      <c r="N42" s="469"/>
      <c r="O42" s="467">
        <f>+O19+O30+O32+O34+O40</f>
        <v>23345259.83</v>
      </c>
      <c r="P42" s="469"/>
      <c r="Q42" s="467">
        <f>+Q19+Q30+Q32+Q34+Q40</f>
        <v>25134036</v>
      </c>
      <c r="R42" s="469"/>
      <c r="S42" s="467">
        <f>+S19+S30+S32+S34+S40</f>
        <v>759109.47</v>
      </c>
    </row>
    <row r="43" spans="1:19" s="47" customFormat="1" ht="15">
      <c r="A43" s="460"/>
      <c r="B43" s="460"/>
      <c r="C43" s="460"/>
      <c r="D43" s="460"/>
      <c r="E43" s="468"/>
      <c r="F43" s="468"/>
      <c r="G43" s="468"/>
      <c r="H43" s="468"/>
      <c r="I43" s="468"/>
      <c r="J43" s="468"/>
      <c r="K43" s="468"/>
      <c r="L43" s="470"/>
      <c r="M43" s="468"/>
      <c r="N43" s="468"/>
      <c r="O43" s="468"/>
      <c r="P43" s="468"/>
      <c r="Q43" s="468"/>
      <c r="R43" s="468"/>
      <c r="S43" s="468"/>
    </row>
    <row r="44" spans="1:19" s="47" customFormat="1" ht="15">
      <c r="A44" s="1387" t="s">
        <v>1268</v>
      </c>
      <c r="B44" s="460"/>
      <c r="C44" s="460"/>
      <c r="D44" s="460"/>
      <c r="E44" s="474">
        <f>+E42-E40</f>
        <v>39841215.63</v>
      </c>
      <c r="F44" s="474"/>
      <c r="G44" s="474">
        <f>-(G42-G40)</f>
        <v>-20877529.63</v>
      </c>
      <c r="H44" s="474"/>
      <c r="I44" s="474"/>
      <c r="J44" s="474"/>
      <c r="K44" s="474">
        <f>K42</f>
        <v>714182.41</v>
      </c>
      <c r="L44" s="470"/>
      <c r="M44" s="474">
        <f>+M42-M40</f>
        <v>40297464.83</v>
      </c>
      <c r="N44" s="474"/>
      <c r="O44" s="474">
        <f>-(O42-O40)</f>
        <v>-20890689.83</v>
      </c>
      <c r="P44" s="474"/>
      <c r="Q44" s="474"/>
      <c r="R44" s="474"/>
      <c r="S44" s="474">
        <f>S42</f>
        <v>759109.47</v>
      </c>
    </row>
    <row r="45" spans="1:11" s="47" customFormat="1" ht="15">
      <c r="A45" s="464"/>
      <c r="B45" s="460"/>
      <c r="C45" s="460"/>
      <c r="D45" s="460"/>
      <c r="E45" s="465"/>
      <c r="F45" s="460"/>
      <c r="G45" s="465"/>
      <c r="H45" s="460"/>
      <c r="I45" s="460"/>
      <c r="J45" s="460"/>
      <c r="K45" s="465"/>
    </row>
    <row r="46" spans="1:11" ht="12.75">
      <c r="A46" s="44"/>
      <c r="B46" s="475"/>
      <c r="C46" s="475"/>
      <c r="D46" s="475"/>
      <c r="E46" s="476"/>
      <c r="F46" s="475"/>
      <c r="G46" s="476"/>
      <c r="H46" s="475"/>
      <c r="I46" s="475"/>
      <c r="J46" s="475"/>
      <c r="K46" s="476"/>
    </row>
    <row r="47" spans="1:11" ht="12.75">
      <c r="A47" s="44"/>
      <c r="B47" s="475"/>
      <c r="C47" s="475"/>
      <c r="D47" s="475"/>
      <c r="E47" s="476"/>
      <c r="F47" s="475"/>
      <c r="G47" s="476"/>
      <c r="H47" s="475"/>
      <c r="I47" s="475"/>
      <c r="J47" s="475"/>
      <c r="K47" s="476"/>
    </row>
    <row r="48" spans="1:11" ht="12.75">
      <c r="A48" s="44"/>
      <c r="B48" s="475"/>
      <c r="C48" s="475"/>
      <c r="D48" s="475"/>
      <c r="E48" s="476"/>
      <c r="F48" s="475"/>
      <c r="G48" s="476"/>
      <c r="H48" s="475"/>
      <c r="I48" s="475"/>
      <c r="J48" s="475"/>
      <c r="K48" s="476"/>
    </row>
  </sheetData>
  <sheetProtection/>
  <mergeCells count="2">
    <mergeCell ref="M10:S10"/>
    <mergeCell ref="E10:K10"/>
  </mergeCells>
  <printOptions horizontalCentered="1"/>
  <pageMargins left="0.45" right="0.45" top="0.25" bottom="0.25" header="0.3" footer="0.3"/>
  <pageSetup fitToHeight="1" fitToWidth="1" horizontalDpi="600" verticalDpi="600" orientation="landscape" scale="61" r:id="rId2"/>
  <drawing r:id="rId1"/>
</worksheet>
</file>

<file path=xl/worksheets/sheet29.xml><?xml version="1.0" encoding="utf-8"?>
<worksheet xmlns="http://schemas.openxmlformats.org/spreadsheetml/2006/main" xmlns:r="http://schemas.openxmlformats.org/officeDocument/2006/relationships">
  <sheetPr>
    <tabColor rgb="FF0070C0"/>
    <pageSetUpPr fitToPage="1"/>
  </sheetPr>
  <dimension ref="A1:S37"/>
  <sheetViews>
    <sheetView view="pageBreakPreview" zoomScale="90" zoomScaleSheetLayoutView="90" zoomScalePageLayoutView="0" workbookViewId="0" topLeftCell="A1">
      <selection activeCell="B28" sqref="B28"/>
    </sheetView>
  </sheetViews>
  <sheetFormatPr defaultColWidth="9.00390625" defaultRowHeight="12.75"/>
  <cols>
    <col min="1" max="1" width="3.125" style="34" customWidth="1"/>
    <col min="2" max="2" width="46.00390625" style="34" customWidth="1"/>
    <col min="3" max="3" width="2.375" style="34" customWidth="1"/>
    <col min="4" max="4" width="1.75390625" style="34" customWidth="1"/>
    <col min="5" max="5" width="15.125" style="34" bestFit="1" customWidth="1"/>
    <col min="6" max="6" width="18.50390625" style="34" bestFit="1" customWidth="1"/>
    <col min="7" max="7" width="18.00390625" style="34" bestFit="1" customWidth="1"/>
    <col min="8" max="8" width="14.625" style="34" customWidth="1"/>
    <col min="9" max="9" width="15.00390625" style="34" bestFit="1" customWidth="1"/>
    <col min="10" max="10" width="18.50390625" style="34" bestFit="1" customWidth="1"/>
    <col min="11" max="11" width="18.00390625" style="34" bestFit="1" customWidth="1"/>
    <col min="12" max="12" width="14.625" style="34" customWidth="1"/>
    <col min="13" max="13" width="3.50390625" style="34" customWidth="1"/>
    <col min="14" max="249" width="9.00390625" style="34" customWidth="1"/>
    <col min="250" max="250" width="11.50390625" style="34" bestFit="1" customWidth="1"/>
    <col min="251" max="251" width="1.875" style="34" customWidth="1"/>
    <col min="252" max="252" width="42.625" style="34" bestFit="1" customWidth="1"/>
    <col min="253" max="253" width="2.875" style="34" customWidth="1"/>
    <col min="254" max="254" width="11.00390625" style="34" bestFit="1" customWidth="1"/>
    <col min="255" max="255" width="2.875" style="34" customWidth="1"/>
    <col min="256" max="16384" width="12.125" style="34" bestFit="1" customWidth="1"/>
  </cols>
  <sheetData>
    <row r="1" spans="1:12" s="47" customFormat="1" ht="15">
      <c r="A1" s="897" t="s">
        <v>1161</v>
      </c>
      <c r="K1" s="168"/>
      <c r="L1" s="168"/>
    </row>
    <row r="2" spans="2:6" s="36" customFormat="1" ht="17.25">
      <c r="B2" s="37"/>
      <c r="C2" s="37"/>
      <c r="D2" s="37"/>
      <c r="E2" s="37"/>
      <c r="F2" s="37"/>
    </row>
    <row r="3" spans="1:12" s="36" customFormat="1" ht="17.25">
      <c r="A3" s="35"/>
      <c r="B3" s="37"/>
      <c r="C3" s="37"/>
      <c r="D3" s="37"/>
      <c r="E3" s="37"/>
      <c r="F3" s="37"/>
      <c r="J3" s="38"/>
      <c r="K3" s="39"/>
      <c r="L3" s="39"/>
    </row>
    <row r="4" spans="1:13" s="36" customFormat="1" ht="17.25">
      <c r="A4" s="1601" t="s">
        <v>228</v>
      </c>
      <c r="B4" s="1601"/>
      <c r="C4" s="1601"/>
      <c r="D4" s="1601"/>
      <c r="E4" s="1601"/>
      <c r="F4" s="1601"/>
      <c r="G4" s="1601"/>
      <c r="H4" s="1601"/>
      <c r="I4" s="1601"/>
      <c r="J4" s="1601"/>
      <c r="K4" s="1601"/>
      <c r="L4" s="1601"/>
      <c r="M4" s="1601"/>
    </row>
    <row r="5" spans="1:13" s="36" customFormat="1" ht="17.25">
      <c r="A5" s="1601" t="s">
        <v>111</v>
      </c>
      <c r="B5" s="1601"/>
      <c r="C5" s="1601"/>
      <c r="D5" s="1601"/>
      <c r="E5" s="1601"/>
      <c r="F5" s="1601"/>
      <c r="G5" s="1601"/>
      <c r="H5" s="1601"/>
      <c r="I5" s="1601"/>
      <c r="J5" s="1601"/>
      <c r="K5" s="1601"/>
      <c r="L5" s="1601"/>
      <c r="M5" s="1601"/>
    </row>
    <row r="6" spans="1:13" s="36" customFormat="1" ht="17.25">
      <c r="A6" s="1595" t="s">
        <v>1377</v>
      </c>
      <c r="B6" s="1595"/>
      <c r="C6" s="1595"/>
      <c r="D6" s="1595"/>
      <c r="E6" s="1595"/>
      <c r="F6" s="1595"/>
      <c r="G6" s="1595"/>
      <c r="H6" s="1595"/>
      <c r="I6" s="1595"/>
      <c r="J6" s="1595"/>
      <c r="K6" s="1595"/>
      <c r="L6" s="1595"/>
      <c r="M6" s="1595"/>
    </row>
    <row r="7" spans="1:8" s="36" customFormat="1" ht="17.25">
      <c r="A7" s="41"/>
      <c r="B7" s="37"/>
      <c r="C7" s="37"/>
      <c r="D7" s="37"/>
      <c r="E7" s="37"/>
      <c r="F7" s="37"/>
      <c r="G7" s="37"/>
      <c r="H7" s="37"/>
    </row>
    <row r="8" spans="1:13" s="36" customFormat="1" ht="17.25">
      <c r="A8" s="1602" t="s">
        <v>1162</v>
      </c>
      <c r="B8" s="1602"/>
      <c r="C8" s="1602"/>
      <c r="D8" s="1602"/>
      <c r="E8" s="1602"/>
      <c r="F8" s="1602"/>
      <c r="G8" s="1602"/>
      <c r="H8" s="1602"/>
      <c r="I8" s="1602"/>
      <c r="J8" s="1602"/>
      <c r="K8" s="1602"/>
      <c r="L8" s="1602"/>
      <c r="M8" s="1602"/>
    </row>
    <row r="9" spans="1:13" s="36" customFormat="1" ht="17.25">
      <c r="A9" s="1601" t="s">
        <v>314</v>
      </c>
      <c r="B9" s="1601"/>
      <c r="C9" s="1601"/>
      <c r="D9" s="1601"/>
      <c r="E9" s="1601"/>
      <c r="F9" s="1601"/>
      <c r="G9" s="1601"/>
      <c r="H9" s="1601"/>
      <c r="I9" s="1601"/>
      <c r="J9" s="1601"/>
      <c r="K9" s="1601"/>
      <c r="L9" s="1601"/>
      <c r="M9" s="1601"/>
    </row>
    <row r="10" s="154" customFormat="1" ht="13.5"/>
    <row r="11" s="154" customFormat="1" ht="13.5"/>
    <row r="12" s="154" customFormat="1" ht="13.5"/>
    <row r="13" spans="4:19" s="47" customFormat="1" ht="15">
      <c r="D13" s="1597">
        <v>2015</v>
      </c>
      <c r="E13" s="1598"/>
      <c r="F13" s="1598"/>
      <c r="G13" s="1598"/>
      <c r="H13" s="1600"/>
      <c r="I13" s="1597">
        <v>2014</v>
      </c>
      <c r="J13" s="1598"/>
      <c r="K13" s="1598"/>
      <c r="L13" s="1600"/>
      <c r="M13" s="154"/>
      <c r="N13" s="1388"/>
      <c r="O13" s="1388"/>
      <c r="P13" s="1388"/>
      <c r="Q13" s="1388"/>
      <c r="R13" s="1388"/>
      <c r="S13" s="617"/>
    </row>
    <row r="14" spans="5:19" s="47" customFormat="1" ht="15">
      <c r="E14" s="483" t="s">
        <v>273</v>
      </c>
      <c r="F14" s="483" t="s">
        <v>163</v>
      </c>
      <c r="G14" s="483" t="s">
        <v>273</v>
      </c>
      <c r="H14" s="483" t="s">
        <v>72</v>
      </c>
      <c r="I14" s="483" t="s">
        <v>273</v>
      </c>
      <c r="J14" s="483" t="s">
        <v>163</v>
      </c>
      <c r="K14" s="483" t="s">
        <v>273</v>
      </c>
      <c r="L14" s="483" t="s">
        <v>72</v>
      </c>
      <c r="N14" s="617"/>
      <c r="O14" s="617"/>
      <c r="P14" s="617"/>
      <c r="Q14" s="617"/>
      <c r="R14" s="617"/>
      <c r="S14" s="617"/>
    </row>
    <row r="15" spans="2:12" s="47" customFormat="1" ht="15.75" thickBot="1">
      <c r="B15" s="483" t="s">
        <v>29</v>
      </c>
      <c r="E15" s="463" t="s">
        <v>954</v>
      </c>
      <c r="F15" s="463" t="s">
        <v>342</v>
      </c>
      <c r="G15" s="463" t="s">
        <v>957</v>
      </c>
      <c r="H15" s="463" t="s">
        <v>956</v>
      </c>
      <c r="I15" s="463" t="s">
        <v>954</v>
      </c>
      <c r="J15" s="463" t="s">
        <v>342</v>
      </c>
      <c r="K15" s="463" t="s">
        <v>957</v>
      </c>
      <c r="L15" s="463" t="s">
        <v>956</v>
      </c>
    </row>
    <row r="16" spans="2:12" s="47" customFormat="1" ht="15">
      <c r="B16" s="483"/>
      <c r="E16" s="1373" t="s">
        <v>220</v>
      </c>
      <c r="F16" s="1373" t="s">
        <v>221</v>
      </c>
      <c r="G16" s="1373" t="s">
        <v>222</v>
      </c>
      <c r="H16" s="1373" t="s">
        <v>223</v>
      </c>
      <c r="I16" s="1373" t="s">
        <v>224</v>
      </c>
      <c r="J16" s="1373" t="s">
        <v>456</v>
      </c>
      <c r="K16" s="1373" t="s">
        <v>457</v>
      </c>
      <c r="L16" s="1373" t="s">
        <v>1087</v>
      </c>
    </row>
    <row r="17" spans="2:12" ht="12.75">
      <c r="B17" s="773" t="s">
        <v>263</v>
      </c>
      <c r="D17" s="773"/>
      <c r="E17" s="1464">
        <v>50486953.47</v>
      </c>
      <c r="F17" s="1464">
        <v>19725047.47</v>
      </c>
      <c r="G17" s="1464">
        <v>30761906</v>
      </c>
      <c r="H17" s="1464">
        <v>1682899</v>
      </c>
      <c r="I17" s="764">
        <v>50486953.47</v>
      </c>
      <c r="J17" s="1374">
        <v>18042148.47</v>
      </c>
      <c r="K17" s="1374">
        <v>32444805</v>
      </c>
      <c r="L17" s="764">
        <v>1682898.9999999981</v>
      </c>
    </row>
    <row r="18" spans="2:12" ht="12.75">
      <c r="B18" s="773" t="s">
        <v>264</v>
      </c>
      <c r="D18" s="773"/>
      <c r="E18" s="1464">
        <v>325068838.28</v>
      </c>
      <c r="F18" s="1464">
        <v>54178142.28</v>
      </c>
      <c r="G18" s="1464">
        <v>270890696</v>
      </c>
      <c r="H18" s="1464">
        <v>6501377</v>
      </c>
      <c r="I18" s="764">
        <v>325068838.28</v>
      </c>
      <c r="J18" s="1374">
        <v>47676765.28</v>
      </c>
      <c r="K18" s="1374">
        <v>277392073</v>
      </c>
      <c r="L18" s="764">
        <v>6501377</v>
      </c>
    </row>
    <row r="19" spans="2:12" ht="12.75">
      <c r="B19" s="773" t="s">
        <v>265</v>
      </c>
      <c r="D19" s="773"/>
      <c r="E19" s="1464">
        <v>96225289.49</v>
      </c>
      <c r="F19" s="1464">
        <v>13151049.49</v>
      </c>
      <c r="G19" s="1464">
        <v>83074240</v>
      </c>
      <c r="H19" s="1464">
        <v>1859633.0899999999</v>
      </c>
      <c r="I19" s="764">
        <v>91059917.4</v>
      </c>
      <c r="J19" s="1374">
        <v>11291416.4</v>
      </c>
      <c r="K19" s="1374">
        <v>79768501</v>
      </c>
      <c r="L19" s="764">
        <v>1806170.0600000005</v>
      </c>
    </row>
    <row r="20" spans="1:12" s="1377" customFormat="1" ht="13.5" thickBot="1">
      <c r="A20" s="1375"/>
      <c r="B20" s="1375"/>
      <c r="C20" s="1375"/>
      <c r="D20" s="1376"/>
      <c r="E20" s="1376">
        <f aca="true" t="shared" si="0" ref="E20:L20">SUM(E17:E19)</f>
        <v>471781081.24</v>
      </c>
      <c r="F20" s="1376">
        <f t="shared" si="0"/>
        <v>87054239.24</v>
      </c>
      <c r="G20" s="1376">
        <f t="shared" si="0"/>
        <v>384726842</v>
      </c>
      <c r="H20" s="1376">
        <f t="shared" si="0"/>
        <v>10043909.09</v>
      </c>
      <c r="I20" s="1376">
        <f t="shared" si="0"/>
        <v>466615709.15</v>
      </c>
      <c r="J20" s="1376">
        <f t="shared" si="0"/>
        <v>77010330.15</v>
      </c>
      <c r="K20" s="1376">
        <f t="shared" si="0"/>
        <v>389605379</v>
      </c>
      <c r="L20" s="1376">
        <f t="shared" si="0"/>
        <v>9990446.059999999</v>
      </c>
    </row>
    <row r="21" spans="5:12" ht="13.5" thickTop="1">
      <c r="E21" s="1378"/>
      <c r="F21" s="1378"/>
      <c r="G21" s="1378"/>
      <c r="H21" s="1378"/>
      <c r="I21" s="1378"/>
      <c r="J21" s="1378"/>
      <c r="K21" s="1378"/>
      <c r="L21" s="1378"/>
    </row>
    <row r="22" spans="2:12" s="47" customFormat="1" ht="15">
      <c r="B22" s="483" t="s">
        <v>1327</v>
      </c>
      <c r="E22" s="466"/>
      <c r="F22" s="873"/>
      <c r="G22" s="466"/>
      <c r="H22" s="466"/>
      <c r="I22" s="466"/>
      <c r="J22" s="873"/>
      <c r="K22" s="466"/>
      <c r="L22" s="466"/>
    </row>
    <row r="23" spans="2:12" ht="12.75">
      <c r="B23" s="773" t="s">
        <v>263</v>
      </c>
      <c r="D23" s="773"/>
      <c r="E23" s="1464">
        <v>92268212.12</v>
      </c>
      <c r="F23" s="1464">
        <v>28195599.12</v>
      </c>
      <c r="G23" s="1464">
        <v>64072613</v>
      </c>
      <c r="H23" s="1464">
        <v>3066899.91</v>
      </c>
      <c r="I23" s="1379">
        <v>91281394.21</v>
      </c>
      <c r="J23" s="1374">
        <v>25128699.21</v>
      </c>
      <c r="K23" s="1374">
        <v>66152694.99999999</v>
      </c>
      <c r="L23" s="764">
        <v>3033588.3000000007</v>
      </c>
    </row>
    <row r="24" spans="2:12" ht="12.75">
      <c r="B24" s="773" t="s">
        <v>266</v>
      </c>
      <c r="D24" s="773"/>
      <c r="E24" s="1464">
        <v>24602050</v>
      </c>
      <c r="F24" s="1464">
        <v>4961414</v>
      </c>
      <c r="G24" s="1464">
        <v>19640636</v>
      </c>
      <c r="H24" s="1464">
        <v>492041</v>
      </c>
      <c r="I24" s="1379">
        <v>24602050</v>
      </c>
      <c r="J24" s="1374">
        <v>4469373</v>
      </c>
      <c r="K24" s="1374">
        <v>20132677</v>
      </c>
      <c r="L24" s="764">
        <v>492041</v>
      </c>
    </row>
    <row r="25" spans="2:12" ht="12.75">
      <c r="B25" s="773" t="s">
        <v>267</v>
      </c>
      <c r="D25" s="773"/>
      <c r="E25" s="1464">
        <v>32900000</v>
      </c>
      <c r="F25" s="1464">
        <v>6634834</v>
      </c>
      <c r="G25" s="1464">
        <v>26265166</v>
      </c>
      <c r="H25" s="1464">
        <v>658000</v>
      </c>
      <c r="I25" s="1379">
        <v>32900000</v>
      </c>
      <c r="J25" s="1374">
        <v>5976834</v>
      </c>
      <c r="K25" s="1374">
        <v>26923166</v>
      </c>
      <c r="L25" s="764">
        <v>658000</v>
      </c>
    </row>
    <row r="26" spans="2:12" ht="12.75">
      <c r="B26" s="773" t="s">
        <v>268</v>
      </c>
      <c r="D26" s="773"/>
      <c r="E26" s="1464">
        <v>6412288.16</v>
      </c>
      <c r="F26" s="1464">
        <v>1251144.16</v>
      </c>
      <c r="G26" s="1464">
        <v>5161144</v>
      </c>
      <c r="H26" s="1464">
        <v>128246</v>
      </c>
      <c r="I26" s="1374">
        <v>6412288.16</v>
      </c>
      <c r="J26" s="1374">
        <v>1122898.16</v>
      </c>
      <c r="K26" s="1374">
        <v>5289390</v>
      </c>
      <c r="L26" s="764">
        <v>128245.99999999988</v>
      </c>
    </row>
    <row r="27" spans="2:12" ht="12.75">
      <c r="B27" s="773" t="s">
        <v>460</v>
      </c>
      <c r="D27" s="773"/>
      <c r="E27" s="1464">
        <v>16320373.34</v>
      </c>
      <c r="F27" s="1464">
        <v>3132307.34</v>
      </c>
      <c r="G27" s="1464">
        <v>13188066</v>
      </c>
      <c r="H27" s="1464">
        <v>326408</v>
      </c>
      <c r="I27" s="1374">
        <v>16320373.34</v>
      </c>
      <c r="J27" s="1374">
        <v>2805899.34</v>
      </c>
      <c r="K27" s="1374">
        <v>13514474</v>
      </c>
      <c r="L27" s="764">
        <v>326408</v>
      </c>
    </row>
    <row r="28" spans="2:12" ht="12.75">
      <c r="B28" s="773" t="s">
        <v>269</v>
      </c>
      <c r="D28" s="773"/>
      <c r="E28" s="1464">
        <v>10258864.74</v>
      </c>
      <c r="F28" s="1464">
        <v>2069164.74</v>
      </c>
      <c r="G28" s="1464">
        <v>8189700</v>
      </c>
      <c r="H28" s="1464">
        <v>227958.74</v>
      </c>
      <c r="I28" s="1374">
        <v>10250000</v>
      </c>
      <c r="J28" s="1374">
        <v>1841206</v>
      </c>
      <c r="K28" s="1374">
        <v>8408794</v>
      </c>
      <c r="L28" s="764">
        <v>227778</v>
      </c>
    </row>
    <row r="29" spans="2:12" ht="12.75">
      <c r="B29" s="773" t="s">
        <v>461</v>
      </c>
      <c r="D29" s="773"/>
      <c r="E29" s="1464">
        <v>9575039.27</v>
      </c>
      <c r="F29" s="1464">
        <v>1786880.27</v>
      </c>
      <c r="G29" s="1464">
        <v>7788159</v>
      </c>
      <c r="H29" s="1464">
        <v>296235.6200000001</v>
      </c>
      <c r="I29" s="764">
        <v>8686008.65</v>
      </c>
      <c r="J29" s="1374">
        <v>1490644.65</v>
      </c>
      <c r="K29" s="1374">
        <v>7195364</v>
      </c>
      <c r="L29" s="764">
        <v>288849.09999999986</v>
      </c>
    </row>
    <row r="30" spans="1:12" s="1377" customFormat="1" ht="13.5" thickBot="1">
      <c r="A30" s="1375"/>
      <c r="B30" s="1375"/>
      <c r="C30" s="1375"/>
      <c r="D30" s="900"/>
      <c r="E30" s="1376">
        <f aca="true" t="shared" si="1" ref="E30:L30">SUM(E23:E29)</f>
        <v>192336827.63000003</v>
      </c>
      <c r="F30" s="1376">
        <f t="shared" si="1"/>
        <v>48031343.63000001</v>
      </c>
      <c r="G30" s="1376">
        <f t="shared" si="1"/>
        <v>144305484</v>
      </c>
      <c r="H30" s="1376">
        <f t="shared" si="1"/>
        <v>5195789.2700000005</v>
      </c>
      <c r="I30" s="1376">
        <f t="shared" si="1"/>
        <v>190452114.35999998</v>
      </c>
      <c r="J30" s="1376">
        <f t="shared" si="1"/>
        <v>42835554.35999999</v>
      </c>
      <c r="K30" s="1376">
        <f t="shared" si="1"/>
        <v>147616560</v>
      </c>
      <c r="L30" s="1376">
        <f t="shared" si="1"/>
        <v>5154910.4</v>
      </c>
    </row>
    <row r="31" spans="1:12" s="1377" customFormat="1" ht="13.5" thickTop="1">
      <c r="A31" s="1375"/>
      <c r="B31" s="1375"/>
      <c r="C31" s="1375"/>
      <c r="D31" s="900"/>
      <c r="E31" s="1465"/>
      <c r="F31" s="1465"/>
      <c r="G31" s="1465"/>
      <c r="H31" s="1465"/>
      <c r="I31" s="1465"/>
      <c r="J31" s="1465"/>
      <c r="K31" s="1465"/>
      <c r="L31" s="1465"/>
    </row>
    <row r="32" spans="1:12" s="1377" customFormat="1" ht="12.75">
      <c r="A32" s="1375"/>
      <c r="B32" s="1375"/>
      <c r="C32" s="1375"/>
      <c r="D32" s="900"/>
      <c r="E32" s="1465"/>
      <c r="F32" s="1465"/>
      <c r="G32" s="1465"/>
      <c r="H32" s="1465"/>
      <c r="I32" s="1465"/>
      <c r="J32" s="1465"/>
      <c r="K32" s="1465"/>
      <c r="L32" s="1465"/>
    </row>
    <row r="33" spans="1:12" s="1377" customFormat="1" ht="12.75">
      <c r="A33" s="1375"/>
      <c r="B33" s="1375"/>
      <c r="C33" s="1375"/>
      <c r="D33" s="900"/>
      <c r="E33" s="1465"/>
      <c r="F33" s="1465"/>
      <c r="G33" s="1465"/>
      <c r="H33" s="1465"/>
      <c r="I33" s="1465"/>
      <c r="J33" s="1465"/>
      <c r="K33" s="1465"/>
      <c r="L33" s="1465"/>
    </row>
    <row r="34" spans="4:12" ht="12.75">
      <c r="D34" s="1380"/>
      <c r="E34" s="1380"/>
      <c r="F34" s="1380"/>
      <c r="G34" s="1380"/>
      <c r="H34" s="1380"/>
      <c r="I34" s="1380"/>
      <c r="J34" s="1380"/>
      <c r="K34" s="1380"/>
      <c r="L34" s="1380"/>
    </row>
    <row r="35" spans="2:13" s="47" customFormat="1" ht="15">
      <c r="B35" s="897" t="s">
        <v>315</v>
      </c>
      <c r="D35" s="469"/>
      <c r="E35" s="1506">
        <f>+E20+E30</f>
        <v>664117908.87</v>
      </c>
      <c r="F35" s="1506">
        <f>+F20+F30</f>
        <v>135085582.87</v>
      </c>
      <c r="G35" s="1506">
        <f>+G20+G30</f>
        <v>529032326</v>
      </c>
      <c r="H35" s="1506">
        <f>+H20+H30</f>
        <v>15239698.36</v>
      </c>
      <c r="I35" s="1506">
        <f>+I20+I30</f>
        <v>657067823.51</v>
      </c>
      <c r="J35" s="1506">
        <f>+J20+J30</f>
        <v>119845884.50999999</v>
      </c>
      <c r="K35" s="1506">
        <f>+K20+K30</f>
        <v>537221939</v>
      </c>
      <c r="L35" s="1506">
        <f>+L20+L30</f>
        <v>15145356.459999999</v>
      </c>
      <c r="M35" s="1466"/>
    </row>
    <row r="37" spans="7:8" s="154" customFormat="1" ht="13.5">
      <c r="G37" s="155"/>
      <c r="H37" s="155"/>
    </row>
  </sheetData>
  <sheetProtection/>
  <mergeCells count="7">
    <mergeCell ref="D13:H13"/>
    <mergeCell ref="I13:L13"/>
    <mergeCell ref="A4:M4"/>
    <mergeCell ref="A5:M5"/>
    <mergeCell ref="A9:M9"/>
    <mergeCell ref="A6:M6"/>
    <mergeCell ref="A8:M8"/>
  </mergeCells>
  <printOptions horizontalCentered="1"/>
  <pageMargins left="0.2" right="0.2" top="0.5" bottom="0.25" header="0.3" footer="0.3"/>
  <pageSetup fitToHeight="1" fitToWidth="1" horizontalDpi="600" verticalDpi="600" orientation="landscape" scale="73" r:id="rId2"/>
  <drawing r:id="rId1"/>
</worksheet>
</file>

<file path=xl/worksheets/sheet3.xml><?xml version="1.0" encoding="utf-8"?>
<worksheet xmlns="http://schemas.openxmlformats.org/spreadsheetml/2006/main" xmlns:r="http://schemas.openxmlformats.org/officeDocument/2006/relationships">
  <sheetPr transitionEvaluation="1">
    <tabColor rgb="FF92D050"/>
    <pageSetUpPr fitToPage="1"/>
  </sheetPr>
  <dimension ref="A1:L42"/>
  <sheetViews>
    <sheetView showGridLines="0" defaultGridColor="0" view="pageBreakPreview" zoomScale="90" zoomScaleNormal="80" zoomScaleSheetLayoutView="90" zoomScalePageLayoutView="0" colorId="22" workbookViewId="0" topLeftCell="A13">
      <selection activeCell="B28" sqref="B28"/>
    </sheetView>
  </sheetViews>
  <sheetFormatPr defaultColWidth="13.625" defaultRowHeight="12.75"/>
  <cols>
    <col min="1" max="1" width="4.125" style="13" customWidth="1"/>
    <col min="2" max="2" width="7.875" style="13" bestFit="1" customWidth="1"/>
    <col min="3" max="3" width="13.00390625" style="13" customWidth="1"/>
    <col min="4" max="4" width="7.50390625" style="13" customWidth="1"/>
    <col min="5" max="5" width="14.125" style="13" customWidth="1"/>
    <col min="6" max="6" width="29.625" style="13" customWidth="1"/>
    <col min="7" max="7" width="22.875" style="13" customWidth="1"/>
    <col min="8" max="8" width="14.75390625" style="13" customWidth="1"/>
    <col min="9" max="9" width="1.75390625" style="13" customWidth="1"/>
    <col min="10" max="10" width="14.375" style="13" bestFit="1" customWidth="1"/>
    <col min="11" max="11" width="8.125" style="13" customWidth="1"/>
    <col min="12" max="16384" width="13.625" style="13" customWidth="1"/>
  </cols>
  <sheetData>
    <row r="1" spans="1:12" s="17" customFormat="1" ht="15">
      <c r="A1" s="14" t="s">
        <v>1068</v>
      </c>
      <c r="B1" s="105"/>
      <c r="C1" s="20"/>
      <c r="D1" s="20"/>
      <c r="E1" s="20"/>
      <c r="F1" s="20"/>
      <c r="G1" s="20"/>
      <c r="J1" s="168"/>
      <c r="K1" s="60"/>
      <c r="L1" s="20"/>
    </row>
    <row r="2" spans="1:12" ht="17.25">
      <c r="A2" s="11"/>
      <c r="C2" s="11"/>
      <c r="D2" s="11"/>
      <c r="F2" s="11"/>
      <c r="G2" s="11"/>
      <c r="H2" s="11"/>
      <c r="I2" s="11"/>
      <c r="J2" s="11"/>
      <c r="L2" s="11"/>
    </row>
    <row r="3" spans="1:12" ht="17.25">
      <c r="A3" s="1531" t="s">
        <v>227</v>
      </c>
      <c r="B3" s="1531"/>
      <c r="C3" s="1531"/>
      <c r="D3" s="1531"/>
      <c r="E3" s="1531"/>
      <c r="F3" s="1531"/>
      <c r="G3" s="1531"/>
      <c r="H3" s="1531"/>
      <c r="I3" s="1531"/>
      <c r="J3" s="1531"/>
      <c r="K3" s="1531"/>
      <c r="L3" s="11"/>
    </row>
    <row r="4" spans="1:12" ht="17.25">
      <c r="A4" s="1531" t="s">
        <v>111</v>
      </c>
      <c r="B4" s="1531"/>
      <c r="C4" s="1531"/>
      <c r="D4" s="1531"/>
      <c r="E4" s="1531"/>
      <c r="F4" s="1531"/>
      <c r="G4" s="1531"/>
      <c r="H4" s="1531"/>
      <c r="I4" s="1531"/>
      <c r="J4" s="1531"/>
      <c r="K4" s="1531"/>
      <c r="L4" s="11"/>
    </row>
    <row r="5" spans="1:12" ht="17.25">
      <c r="A5" s="1532" t="s">
        <v>1377</v>
      </c>
      <c r="B5" s="1532"/>
      <c r="C5" s="1532"/>
      <c r="D5" s="1532"/>
      <c r="E5" s="1532"/>
      <c r="F5" s="1532"/>
      <c r="G5" s="1532"/>
      <c r="H5" s="1532"/>
      <c r="I5" s="1532"/>
      <c r="J5" s="1532"/>
      <c r="K5" s="1532"/>
      <c r="L5" s="11"/>
    </row>
    <row r="6" spans="1:12" ht="17.25">
      <c r="A6" s="121"/>
      <c r="B6" s="11"/>
      <c r="C6" s="11"/>
      <c r="D6" s="11"/>
      <c r="E6" s="11"/>
      <c r="F6" s="11"/>
      <c r="G6" s="11"/>
      <c r="H6" s="11"/>
      <c r="I6" s="11"/>
      <c r="J6" s="11"/>
      <c r="K6" s="11"/>
      <c r="L6" s="11"/>
    </row>
    <row r="7" spans="1:12" ht="17.25">
      <c r="A7" s="1531" t="s">
        <v>1067</v>
      </c>
      <c r="B7" s="1531"/>
      <c r="C7" s="1531"/>
      <c r="D7" s="1531"/>
      <c r="E7" s="1531"/>
      <c r="F7" s="1531"/>
      <c r="G7" s="1531"/>
      <c r="H7" s="1531"/>
      <c r="I7" s="1531"/>
      <c r="J7" s="1531"/>
      <c r="K7" s="1531"/>
      <c r="L7" s="11"/>
    </row>
    <row r="8" spans="1:12" ht="17.25">
      <c r="A8" s="1531" t="s">
        <v>980</v>
      </c>
      <c r="B8" s="1531"/>
      <c r="C8" s="1531"/>
      <c r="D8" s="1531"/>
      <c r="E8" s="1531"/>
      <c r="F8" s="1531"/>
      <c r="G8" s="1531"/>
      <c r="H8" s="1531"/>
      <c r="I8" s="1531"/>
      <c r="J8" s="1531"/>
      <c r="K8" s="1531"/>
      <c r="L8" s="11"/>
    </row>
    <row r="9" spans="1:12" ht="17.25">
      <c r="A9" s="161"/>
      <c r="B9" s="161"/>
      <c r="C9" s="161"/>
      <c r="D9" s="161"/>
      <c r="E9" s="161"/>
      <c r="F9" s="161"/>
      <c r="G9" s="219"/>
      <c r="H9" s="161"/>
      <c r="I9" s="190"/>
      <c r="J9" s="161"/>
      <c r="K9" s="161"/>
      <c r="L9" s="11"/>
    </row>
    <row r="10" spans="1:12" s="332" customFormat="1" ht="15">
      <c r="A10" s="14"/>
      <c r="B10" s="14"/>
      <c r="C10" s="831" t="s">
        <v>0</v>
      </c>
      <c r="D10" s="14"/>
      <c r="E10" s="14"/>
      <c r="F10" s="14"/>
      <c r="G10" s="14"/>
      <c r="H10" s="14"/>
      <c r="I10" s="14"/>
      <c r="J10" s="14"/>
      <c r="K10" s="14"/>
      <c r="L10" s="14"/>
    </row>
    <row r="11" spans="1:12" s="332" customFormat="1" ht="15">
      <c r="A11" s="14"/>
      <c r="B11" s="985" t="s">
        <v>1</v>
      </c>
      <c r="C11" s="985" t="s">
        <v>2</v>
      </c>
      <c r="D11" s="14"/>
      <c r="E11" s="986" t="s">
        <v>3</v>
      </c>
      <c r="F11" s="14"/>
      <c r="G11" s="986" t="s">
        <v>588</v>
      </c>
      <c r="H11" s="985" t="s">
        <v>4</v>
      </c>
      <c r="I11" s="985"/>
      <c r="J11" s="985" t="s">
        <v>5</v>
      </c>
      <c r="K11" s="14"/>
      <c r="L11" s="14"/>
    </row>
    <row r="12" spans="1:12" s="332" customFormat="1" ht="15">
      <c r="A12" s="14"/>
      <c r="B12" s="14"/>
      <c r="C12" s="831" t="s">
        <v>6</v>
      </c>
      <c r="D12" s="14"/>
      <c r="E12" s="831" t="s">
        <v>7</v>
      </c>
      <c r="F12" s="831"/>
      <c r="G12" s="1476" t="s">
        <v>1385</v>
      </c>
      <c r="H12" s="831" t="s">
        <v>9</v>
      </c>
      <c r="I12" s="831"/>
      <c r="J12" s="987" t="s">
        <v>224</v>
      </c>
      <c r="K12" s="14"/>
      <c r="L12" s="14"/>
    </row>
    <row r="13" spans="1:12" s="332" customFormat="1" ht="15">
      <c r="A13" s="14"/>
      <c r="B13" s="14"/>
      <c r="C13" s="14"/>
      <c r="D13" s="14"/>
      <c r="E13" s="14"/>
      <c r="F13" s="14"/>
      <c r="G13" s="14"/>
      <c r="H13" s="14"/>
      <c r="I13" s="14"/>
      <c r="J13" s="14"/>
      <c r="K13" s="14"/>
      <c r="L13" s="14"/>
    </row>
    <row r="14" spans="1:12" s="332" customFormat="1" ht="15">
      <c r="A14" s="14"/>
      <c r="B14" s="831"/>
      <c r="C14" s="14" t="s">
        <v>10</v>
      </c>
      <c r="D14" s="14"/>
      <c r="E14" s="14"/>
      <c r="F14" s="14"/>
      <c r="G14" s="14"/>
      <c r="H14" s="14"/>
      <c r="I14" s="14"/>
      <c r="J14" s="14"/>
      <c r="K14" s="14"/>
      <c r="L14" s="14"/>
    </row>
    <row r="15" spans="1:12" s="104" customFormat="1" ht="15">
      <c r="A15" s="20"/>
      <c r="B15" s="831"/>
      <c r="C15" s="20"/>
      <c r="D15" s="20" t="s">
        <v>11</v>
      </c>
      <c r="E15" s="14" t="s">
        <v>12</v>
      </c>
      <c r="F15" s="20"/>
      <c r="G15" s="20"/>
      <c r="H15" s="14"/>
      <c r="I15" s="20"/>
      <c r="J15" s="20"/>
      <c r="K15" s="20"/>
      <c r="L15" s="20"/>
    </row>
    <row r="16" spans="1:12" s="104" customFormat="1" ht="15">
      <c r="A16" s="20"/>
      <c r="B16" s="831">
        <v>1</v>
      </c>
      <c r="C16" s="21">
        <v>560</v>
      </c>
      <c r="D16" s="20"/>
      <c r="E16" s="988" t="s">
        <v>13</v>
      </c>
      <c r="F16" s="20"/>
      <c r="G16" s="20" t="s">
        <v>1101</v>
      </c>
      <c r="H16" s="989">
        <f>'WP-AA'!F26</f>
        <v>7292589.600000001</v>
      </c>
      <c r="I16" s="989"/>
      <c r="J16" s="20"/>
      <c r="K16" s="20"/>
      <c r="L16" s="20"/>
    </row>
    <row r="17" spans="1:12" s="104" customFormat="1" ht="15">
      <c r="A17" s="20"/>
      <c r="B17" s="831">
        <f aca="true" t="shared" si="0" ref="B17:B35">B16+1</f>
        <v>2</v>
      </c>
      <c r="C17" s="21">
        <v>561</v>
      </c>
      <c r="D17" s="20"/>
      <c r="E17" s="988" t="s">
        <v>14</v>
      </c>
      <c r="F17" s="20"/>
      <c r="G17" s="20" t="s">
        <v>1101</v>
      </c>
      <c r="H17" s="989">
        <f>'WP-AA'!F27</f>
        <v>2078861.87</v>
      </c>
      <c r="I17" s="989"/>
      <c r="J17" s="20"/>
      <c r="K17" s="20"/>
      <c r="L17" s="20"/>
    </row>
    <row r="18" spans="1:12" s="104" customFormat="1" ht="15">
      <c r="A18" s="20"/>
      <c r="B18" s="831">
        <f t="shared" si="0"/>
        <v>3</v>
      </c>
      <c r="C18" s="21">
        <v>562</v>
      </c>
      <c r="D18" s="20"/>
      <c r="E18" s="988" t="s">
        <v>15</v>
      </c>
      <c r="F18" s="20"/>
      <c r="G18" s="20" t="s">
        <v>1101</v>
      </c>
      <c r="H18" s="989">
        <f>'WP-AA'!F28</f>
        <v>3958566.4000000004</v>
      </c>
      <c r="I18" s="989"/>
      <c r="J18" s="20"/>
      <c r="K18" s="20"/>
      <c r="L18" s="20"/>
    </row>
    <row r="19" spans="1:12" s="104" customFormat="1" ht="15">
      <c r="A19" s="20"/>
      <c r="B19" s="831">
        <f t="shared" si="0"/>
        <v>4</v>
      </c>
      <c r="C19" s="21">
        <v>566</v>
      </c>
      <c r="D19" s="20"/>
      <c r="E19" s="988" t="s">
        <v>16</v>
      </c>
      <c r="F19" s="20"/>
      <c r="G19" s="20" t="s">
        <v>1101</v>
      </c>
      <c r="H19" s="990">
        <f>'WP-AA'!F29</f>
        <v>8074942.119999999</v>
      </c>
      <c r="I19" s="991"/>
      <c r="J19" s="20"/>
      <c r="K19" s="20"/>
      <c r="L19" s="20"/>
    </row>
    <row r="20" spans="1:12" s="104" customFormat="1" ht="15">
      <c r="A20" s="20"/>
      <c r="B20" s="831">
        <f t="shared" si="0"/>
        <v>5</v>
      </c>
      <c r="C20" s="21"/>
      <c r="D20" s="992" t="s">
        <v>310</v>
      </c>
      <c r="F20" s="20"/>
      <c r="G20" s="20" t="s">
        <v>927</v>
      </c>
      <c r="H20" s="993">
        <f>SUM(H16:H19)</f>
        <v>21404959.990000002</v>
      </c>
      <c r="I20" s="992"/>
      <c r="J20" s="20"/>
      <c r="K20" s="20"/>
      <c r="L20" s="20"/>
    </row>
    <row r="21" spans="1:12" s="104" customFormat="1" ht="15">
      <c r="A21" s="20"/>
      <c r="B21" s="831"/>
      <c r="C21" s="21"/>
      <c r="D21" s="20"/>
      <c r="E21" s="994"/>
      <c r="F21" s="20"/>
      <c r="G21" s="20"/>
      <c r="H21" s="992"/>
      <c r="I21" s="992"/>
      <c r="J21" s="20"/>
      <c r="K21" s="20"/>
      <c r="L21" s="20"/>
    </row>
    <row r="22" spans="1:12" s="104" customFormat="1" ht="15">
      <c r="A22" s="20"/>
      <c r="B22" s="831"/>
      <c r="C22" s="21"/>
      <c r="D22" s="20"/>
      <c r="E22" s="992" t="s">
        <v>18</v>
      </c>
      <c r="F22" s="20"/>
      <c r="G22" s="20"/>
      <c r="H22" s="20"/>
      <c r="I22" s="20"/>
      <c r="J22" s="20"/>
      <c r="K22" s="20"/>
      <c r="L22" s="20"/>
    </row>
    <row r="23" spans="1:12" s="104" customFormat="1" ht="15">
      <c r="A23" s="20"/>
      <c r="B23" s="831">
        <f>B20+1</f>
        <v>6</v>
      </c>
      <c r="C23" s="21">
        <v>568</v>
      </c>
      <c r="D23" s="20"/>
      <c r="E23" s="988" t="s">
        <v>13</v>
      </c>
      <c r="F23" s="20"/>
      <c r="G23" s="20" t="s">
        <v>1101</v>
      </c>
      <c r="H23" s="989">
        <f>'WP-AA'!F59</f>
        <v>8424418.21</v>
      </c>
      <c r="I23" s="989"/>
      <c r="J23" s="989"/>
      <c r="K23" s="20"/>
      <c r="L23" s="20"/>
    </row>
    <row r="24" spans="1:12" s="104" customFormat="1" ht="15">
      <c r="A24" s="20"/>
      <c r="B24" s="831">
        <f t="shared" si="0"/>
        <v>7</v>
      </c>
      <c r="C24" s="21">
        <v>569</v>
      </c>
      <c r="D24" s="20"/>
      <c r="E24" s="988" t="s">
        <v>19</v>
      </c>
      <c r="F24" s="20"/>
      <c r="G24" s="20" t="s">
        <v>1101</v>
      </c>
      <c r="H24" s="989">
        <f>'WP-AA'!F60</f>
        <v>4160748.0300000003</v>
      </c>
      <c r="I24" s="989"/>
      <c r="J24" s="20"/>
      <c r="K24" s="20"/>
      <c r="L24" s="20"/>
    </row>
    <row r="25" spans="1:12" s="104" customFormat="1" ht="15">
      <c r="A25" s="20"/>
      <c r="B25" s="831">
        <f t="shared" si="0"/>
        <v>8</v>
      </c>
      <c r="C25" s="21">
        <v>570</v>
      </c>
      <c r="D25" s="20"/>
      <c r="E25" s="988" t="s">
        <v>20</v>
      </c>
      <c r="F25" s="20"/>
      <c r="G25" s="20" t="s">
        <v>1101</v>
      </c>
      <c r="H25" s="989">
        <f>'WP-AA'!F61</f>
        <v>18757118</v>
      </c>
      <c r="I25" s="989"/>
      <c r="J25" s="20"/>
      <c r="K25" s="20"/>
      <c r="L25" s="20"/>
    </row>
    <row r="26" spans="1:12" s="104" customFormat="1" ht="15">
      <c r="A26" s="20"/>
      <c r="B26" s="831">
        <f t="shared" si="0"/>
        <v>9</v>
      </c>
      <c r="C26" s="21">
        <v>571</v>
      </c>
      <c r="D26" s="20"/>
      <c r="E26" s="988" t="s">
        <v>21</v>
      </c>
      <c r="F26" s="20"/>
      <c r="G26" s="20" t="s">
        <v>1101</v>
      </c>
      <c r="H26" s="989">
        <f>'WP-AA'!F62</f>
        <v>10209468.89</v>
      </c>
      <c r="I26" s="989"/>
      <c r="J26" s="20"/>
      <c r="K26" s="20"/>
      <c r="L26" s="20"/>
    </row>
    <row r="27" spans="1:12" s="104" customFormat="1" ht="15">
      <c r="A27" s="20"/>
      <c r="B27" s="831">
        <f t="shared" si="0"/>
        <v>10</v>
      </c>
      <c r="C27" s="21">
        <v>572</v>
      </c>
      <c r="D27" s="20"/>
      <c r="E27" s="988" t="s">
        <v>22</v>
      </c>
      <c r="F27" s="20"/>
      <c r="G27" s="20" t="s">
        <v>1101</v>
      </c>
      <c r="H27" s="989">
        <f>'WP-AA'!F63</f>
        <v>479291.4</v>
      </c>
      <c r="I27" s="989"/>
      <c r="J27" s="20"/>
      <c r="K27" s="20"/>
      <c r="L27" s="20"/>
    </row>
    <row r="28" spans="1:12" s="104" customFormat="1" ht="15">
      <c r="A28" s="20"/>
      <c r="B28" s="831">
        <f t="shared" si="0"/>
        <v>11</v>
      </c>
      <c r="C28" s="21">
        <v>573</v>
      </c>
      <c r="D28" s="20"/>
      <c r="E28" s="988" t="s">
        <v>23</v>
      </c>
      <c r="F28" s="20"/>
      <c r="G28" s="20" t="s">
        <v>1101</v>
      </c>
      <c r="H28" s="990">
        <f>'WP-AA'!F64</f>
        <v>101249.08</v>
      </c>
      <c r="I28" s="991"/>
      <c r="J28" s="20"/>
      <c r="K28" s="20"/>
      <c r="L28" s="20"/>
    </row>
    <row r="29" spans="1:12" s="104" customFormat="1" ht="15">
      <c r="A29" s="20"/>
      <c r="B29" s="831">
        <f t="shared" si="0"/>
        <v>12</v>
      </c>
      <c r="C29" s="21"/>
      <c r="D29" s="992" t="s">
        <v>433</v>
      </c>
      <c r="F29" s="20"/>
      <c r="G29" s="20" t="s">
        <v>928</v>
      </c>
      <c r="H29" s="995">
        <f>SUM(H23:H28)</f>
        <v>42132293.61</v>
      </c>
      <c r="I29" s="992"/>
      <c r="J29" s="20"/>
      <c r="K29" s="20"/>
      <c r="L29" s="20"/>
    </row>
    <row r="30" spans="1:12" s="104" customFormat="1" ht="15">
      <c r="A30" s="20"/>
      <c r="B30" s="831">
        <f t="shared" si="0"/>
        <v>13</v>
      </c>
      <c r="C30" s="21"/>
      <c r="D30" s="20"/>
      <c r="E30" s="992" t="s">
        <v>309</v>
      </c>
      <c r="F30" s="20"/>
      <c r="G30" s="20" t="s">
        <v>929</v>
      </c>
      <c r="H30" s="20"/>
      <c r="I30" s="20"/>
      <c r="J30" s="996">
        <f>H20+H29</f>
        <v>63537253.6</v>
      </c>
      <c r="K30" s="20"/>
      <c r="L30" s="20"/>
    </row>
    <row r="31" spans="1:12" s="104" customFormat="1" ht="15">
      <c r="A31" s="20"/>
      <c r="B31" s="831"/>
      <c r="C31" s="21"/>
      <c r="D31" s="20"/>
      <c r="E31" s="992"/>
      <c r="F31" s="20"/>
      <c r="G31" s="20"/>
      <c r="H31" s="20"/>
      <c r="I31" s="20"/>
      <c r="J31" s="997"/>
      <c r="K31" s="20"/>
      <c r="L31" s="20"/>
    </row>
    <row r="32" spans="1:12" s="104" customFormat="1" ht="15">
      <c r="A32" s="20"/>
      <c r="B32" s="831"/>
      <c r="C32" s="21"/>
      <c r="D32" s="14" t="s">
        <v>1015</v>
      </c>
      <c r="F32" s="20"/>
      <c r="G32" s="20"/>
      <c r="H32" s="20"/>
      <c r="I32" s="20"/>
      <c r="J32" s="20"/>
      <c r="K32" s="20"/>
      <c r="L32" s="20"/>
    </row>
    <row r="33" spans="1:12" s="104" customFormat="1" ht="15">
      <c r="A33" s="20"/>
      <c r="B33" s="831">
        <f>+B30+1</f>
        <v>14</v>
      </c>
      <c r="C33" s="21"/>
      <c r="D33" s="20"/>
      <c r="E33" s="20" t="s">
        <v>158</v>
      </c>
      <c r="G33" s="998" t="s">
        <v>1073</v>
      </c>
      <c r="H33" s="20"/>
      <c r="I33" s="20"/>
      <c r="J33" s="999">
        <f>'WP-AC'!D24</f>
        <v>-810693.1594490513</v>
      </c>
      <c r="L33" s="20"/>
    </row>
    <row r="34" spans="1:12" s="104" customFormat="1" ht="15">
      <c r="A34" s="20"/>
      <c r="B34" s="831">
        <f t="shared" si="0"/>
        <v>15</v>
      </c>
      <c r="C34" s="21"/>
      <c r="D34" s="20"/>
      <c r="E34" s="20" t="s">
        <v>923</v>
      </c>
      <c r="G34" s="998" t="s">
        <v>1074</v>
      </c>
      <c r="H34" s="20"/>
      <c r="I34" s="20"/>
      <c r="J34" s="999">
        <f>'WP-AD'!D24</f>
        <v>-905488.8848207288</v>
      </c>
      <c r="L34" s="20"/>
    </row>
    <row r="35" spans="1:12" s="1006" customFormat="1" ht="15">
      <c r="A35" s="384"/>
      <c r="B35" s="1000">
        <f t="shared" si="0"/>
        <v>16</v>
      </c>
      <c r="C35" s="1001"/>
      <c r="D35" s="384"/>
      <c r="E35" s="384" t="s">
        <v>910</v>
      </c>
      <c r="F35" s="1002"/>
      <c r="G35" s="1003" t="s">
        <v>1075</v>
      </c>
      <c r="H35" s="384"/>
      <c r="I35" s="384"/>
      <c r="J35" s="1004">
        <f>-'WP-AE'!H34</f>
        <v>-98412.72999999998</v>
      </c>
      <c r="K35" s="1002"/>
      <c r="L35" s="1005"/>
    </row>
    <row r="36" spans="1:12" s="104" customFormat="1" ht="15.75" thickBot="1">
      <c r="A36" s="20"/>
      <c r="B36" s="831"/>
      <c r="C36" s="21"/>
      <c r="D36" s="20"/>
      <c r="E36" s="20"/>
      <c r="F36" s="1007"/>
      <c r="G36" s="1007"/>
      <c r="H36" s="20"/>
      <c r="I36" s="20"/>
      <c r="J36" s="1008"/>
      <c r="K36" s="20"/>
      <c r="L36" s="20"/>
    </row>
    <row r="37" spans="1:12" s="104" customFormat="1" ht="16.5" thickBot="1" thickTop="1">
      <c r="A37" s="20"/>
      <c r="B37" s="1009">
        <f>B35+1</f>
        <v>17</v>
      </c>
      <c r="C37" s="1010"/>
      <c r="D37" s="1011"/>
      <c r="E37" s="1012" t="s">
        <v>434</v>
      </c>
      <c r="F37" s="1011"/>
      <c r="G37" s="1011" t="s">
        <v>981</v>
      </c>
      <c r="H37" s="1011"/>
      <c r="I37" s="1011"/>
      <c r="J37" s="1013">
        <f>SUM(J30:J36)</f>
        <v>61722658.82573023</v>
      </c>
      <c r="K37" s="1011"/>
      <c r="L37" s="20"/>
    </row>
    <row r="38" spans="1:12" s="104" customFormat="1" ht="15" thickTop="1">
      <c r="A38" s="20"/>
      <c r="B38" s="1014" t="s">
        <v>922</v>
      </c>
      <c r="C38" s="167" t="s">
        <v>921</v>
      </c>
      <c r="D38" s="1011"/>
      <c r="E38" s="1011"/>
      <c r="F38" s="1011"/>
      <c r="G38" s="1011"/>
      <c r="H38" s="1011"/>
      <c r="I38" s="1011"/>
      <c r="J38" s="1011"/>
      <c r="K38" s="1011"/>
      <c r="L38" s="20"/>
    </row>
    <row r="39" spans="2:11" s="27" customFormat="1" ht="15">
      <c r="B39" s="104" t="s">
        <v>1014</v>
      </c>
      <c r="C39" s="104" t="s">
        <v>1371</v>
      </c>
      <c r="D39" s="104"/>
      <c r="E39" s="104"/>
      <c r="F39" s="104"/>
      <c r="G39" s="104"/>
      <c r="H39" s="104"/>
      <c r="I39" s="104"/>
      <c r="J39" s="104"/>
      <c r="K39" s="104"/>
    </row>
    <row r="40" spans="2:11" s="63" customFormat="1" ht="15">
      <c r="B40" s="64"/>
      <c r="C40" s="64"/>
      <c r="D40" s="64"/>
      <c r="E40" s="64"/>
      <c r="F40" s="64"/>
      <c r="G40" s="64"/>
      <c r="H40" s="64"/>
      <c r="I40" s="64"/>
      <c r="J40" s="64"/>
      <c r="K40" s="64"/>
    </row>
    <row r="41" spans="2:11" s="63" customFormat="1" ht="15">
      <c r="B41" s="64"/>
      <c r="C41" s="64"/>
      <c r="D41" s="64"/>
      <c r="E41" s="64"/>
      <c r="F41" s="64"/>
      <c r="G41" s="64"/>
      <c r="H41" s="64"/>
      <c r="I41" s="64"/>
      <c r="J41" s="64"/>
      <c r="K41" s="64"/>
    </row>
    <row r="42" spans="2:11" ht="15">
      <c r="B42" s="64"/>
      <c r="C42" s="64"/>
      <c r="D42" s="64"/>
      <c r="E42" s="64"/>
      <c r="F42" s="64"/>
      <c r="G42" s="64"/>
      <c r="H42" s="64"/>
      <c r="I42" s="64"/>
      <c r="J42" s="64"/>
      <c r="K42" s="64"/>
    </row>
  </sheetData>
  <sheetProtection/>
  <mergeCells count="5">
    <mergeCell ref="A3:K3"/>
    <mergeCell ref="A4:K4"/>
    <mergeCell ref="A8:K8"/>
    <mergeCell ref="A5:K5"/>
    <mergeCell ref="A7:K7"/>
  </mergeCells>
  <printOptions horizontalCentered="1"/>
  <pageMargins left="0" right="0" top="0.25" bottom="0.25" header="0.5" footer="0.5"/>
  <pageSetup fitToHeight="1" fitToWidth="1" horizontalDpi="600" verticalDpi="600" orientation="landscape" scale="89" r:id="rId2"/>
  <rowBreaks count="1" manualBreakCount="1">
    <brk id="43" max="10" man="1"/>
  </rowBreaks>
  <colBreaks count="2" manualBreakCount="2">
    <brk id="13" max="65535" man="1"/>
    <brk id="14" max="65535" man="1"/>
  </colBreaks>
  <drawing r:id="rId1"/>
</worksheet>
</file>

<file path=xl/worksheets/sheet30.xml><?xml version="1.0" encoding="utf-8"?>
<worksheet xmlns="http://schemas.openxmlformats.org/spreadsheetml/2006/main" xmlns:r="http://schemas.openxmlformats.org/officeDocument/2006/relationships">
  <sheetPr>
    <tabColor rgb="FF0070C0"/>
    <pageSetUpPr fitToPage="1"/>
  </sheetPr>
  <dimension ref="A1:M28"/>
  <sheetViews>
    <sheetView view="pageBreakPreview" zoomScale="70" zoomScaleNormal="80" zoomScaleSheetLayoutView="70" zoomScalePageLayoutView="0" workbookViewId="0" topLeftCell="A1">
      <selection activeCell="B28" sqref="B28"/>
    </sheetView>
  </sheetViews>
  <sheetFormatPr defaultColWidth="16.75390625" defaultRowHeight="12.75"/>
  <cols>
    <col min="1" max="1" width="7.75390625" style="27" customWidth="1"/>
    <col min="2" max="2" width="13.875" style="27" customWidth="1"/>
    <col min="3" max="3" width="2.75390625" style="27" customWidth="1"/>
    <col min="4" max="4" width="9.125" style="27" bestFit="1" customWidth="1"/>
    <col min="5" max="5" width="3.625" style="27" customWidth="1"/>
    <col min="6" max="6" width="12.00390625" style="27" customWidth="1"/>
    <col min="7" max="7" width="3.50390625" style="27" customWidth="1"/>
    <col min="8" max="8" width="15.00390625" style="27" bestFit="1" customWidth="1"/>
    <col min="9" max="9" width="2.75390625" style="27" customWidth="1"/>
    <col min="10" max="10" width="52.50390625" style="27" bestFit="1" customWidth="1"/>
    <col min="11" max="11" width="6.125" style="27" customWidth="1"/>
    <col min="12" max="16384" width="16.75390625" style="27" customWidth="1"/>
  </cols>
  <sheetData>
    <row r="1" spans="1:12" ht="15">
      <c r="A1" s="14" t="s">
        <v>1164</v>
      </c>
      <c r="B1" s="14"/>
      <c r="C1" s="14"/>
      <c r="D1" s="20"/>
      <c r="E1" s="20"/>
      <c r="F1" s="458"/>
      <c r="G1" s="20"/>
      <c r="H1" s="20"/>
      <c r="I1" s="20"/>
      <c r="J1" s="168"/>
      <c r="L1" s="68"/>
    </row>
    <row r="2" spans="1:13" ht="15">
      <c r="A2" s="14"/>
      <c r="B2" s="14"/>
      <c r="C2" s="14"/>
      <c r="D2" s="20"/>
      <c r="E2" s="20"/>
      <c r="F2" s="458"/>
      <c r="G2" s="20"/>
      <c r="H2" s="20"/>
      <c r="I2" s="20"/>
      <c r="J2" s="20"/>
      <c r="K2" s="68"/>
      <c r="L2" s="68"/>
      <c r="M2" s="22"/>
    </row>
    <row r="3" spans="1:13" ht="17.25">
      <c r="A3" s="12"/>
      <c r="B3" s="12"/>
      <c r="C3" s="12"/>
      <c r="D3" s="11"/>
      <c r="E3" s="11"/>
      <c r="F3" s="459"/>
      <c r="G3" s="11"/>
      <c r="H3" s="11"/>
      <c r="I3" s="11"/>
      <c r="J3" s="11"/>
      <c r="K3" s="11"/>
      <c r="L3" s="11"/>
      <c r="M3" s="442"/>
    </row>
    <row r="4" spans="1:13" ht="17.25">
      <c r="A4" s="1531" t="s">
        <v>228</v>
      </c>
      <c r="B4" s="1531"/>
      <c r="C4" s="1531"/>
      <c r="D4" s="1531"/>
      <c r="E4" s="1531"/>
      <c r="F4" s="1531"/>
      <c r="G4" s="1531"/>
      <c r="H4" s="1531"/>
      <c r="I4" s="1531"/>
      <c r="J4" s="1531"/>
      <c r="K4" s="1531"/>
      <c r="L4" s="73"/>
      <c r="M4" s="73"/>
    </row>
    <row r="5" spans="1:13" ht="17.25">
      <c r="A5" s="1531" t="s">
        <v>111</v>
      </c>
      <c r="B5" s="1531"/>
      <c r="C5" s="1531"/>
      <c r="D5" s="1531"/>
      <c r="E5" s="1531"/>
      <c r="F5" s="1531"/>
      <c r="G5" s="1531"/>
      <c r="H5" s="1531"/>
      <c r="I5" s="1531"/>
      <c r="J5" s="1531"/>
      <c r="K5" s="1531"/>
      <c r="L5" s="73"/>
      <c r="M5" s="73"/>
    </row>
    <row r="6" spans="1:13" ht="17.25">
      <c r="A6" s="1532" t="s">
        <v>1377</v>
      </c>
      <c r="B6" s="1532"/>
      <c r="C6" s="1532"/>
      <c r="D6" s="1532"/>
      <c r="E6" s="1532"/>
      <c r="F6" s="1532"/>
      <c r="G6" s="1532"/>
      <c r="H6" s="1532"/>
      <c r="I6" s="1532"/>
      <c r="J6" s="1532"/>
      <c r="K6" s="1532"/>
      <c r="L6" s="73"/>
      <c r="M6" s="73"/>
    </row>
    <row r="7" spans="1:13" ht="17.25">
      <c r="A7" s="11"/>
      <c r="B7" s="11"/>
      <c r="C7" s="11"/>
      <c r="D7" s="11"/>
      <c r="E7" s="11"/>
      <c r="F7" s="23"/>
      <c r="G7" s="11"/>
      <c r="H7" s="11"/>
      <c r="I7" s="11"/>
      <c r="J7" s="11"/>
      <c r="K7" s="11"/>
      <c r="L7" s="11"/>
      <c r="M7" s="11"/>
    </row>
    <row r="8" spans="1:13" ht="17.25">
      <c r="A8" s="1533" t="s">
        <v>1163</v>
      </c>
      <c r="B8" s="1533"/>
      <c r="C8" s="1533"/>
      <c r="D8" s="1533"/>
      <c r="E8" s="1533"/>
      <c r="F8" s="1533"/>
      <c r="G8" s="1533"/>
      <c r="H8" s="1533"/>
      <c r="I8" s="1533"/>
      <c r="J8" s="1533"/>
      <c r="K8" s="1533"/>
      <c r="L8" s="29"/>
      <c r="M8" s="29"/>
    </row>
    <row r="9" spans="1:13" ht="17.25">
      <c r="A9" s="1531" t="s">
        <v>1274</v>
      </c>
      <c r="B9" s="1531"/>
      <c r="C9" s="1531"/>
      <c r="D9" s="1531"/>
      <c r="E9" s="1531"/>
      <c r="F9" s="1531"/>
      <c r="G9" s="1531"/>
      <c r="H9" s="1531"/>
      <c r="I9" s="1531"/>
      <c r="J9" s="1531"/>
      <c r="K9" s="1531"/>
      <c r="L9" s="73"/>
      <c r="M9" s="73"/>
    </row>
    <row r="10" spans="1:13" ht="17.25">
      <c r="A10" s="73"/>
      <c r="B10" s="73"/>
      <c r="C10" s="73"/>
      <c r="D10" s="73"/>
      <c r="E10" s="73"/>
      <c r="F10" s="73"/>
      <c r="G10" s="73"/>
      <c r="H10" s="73"/>
      <c r="I10" s="73"/>
      <c r="J10" s="73"/>
      <c r="K10" s="73"/>
      <c r="L10" s="73"/>
      <c r="M10" s="73"/>
    </row>
    <row r="11" spans="1:13" ht="17.25">
      <c r="A11" s="73"/>
      <c r="B11" s="73"/>
      <c r="C11" s="73"/>
      <c r="D11" s="73"/>
      <c r="E11" s="73"/>
      <c r="F11" s="73"/>
      <c r="G11" s="73"/>
      <c r="H11" s="73"/>
      <c r="I11" s="73"/>
      <c r="J11" s="73"/>
      <c r="K11" s="73"/>
      <c r="L11" s="73"/>
      <c r="M11" s="73"/>
    </row>
    <row r="12" spans="1:13" ht="17.25">
      <c r="A12" s="73"/>
      <c r="B12" s="73"/>
      <c r="C12" s="73"/>
      <c r="D12" s="73"/>
      <c r="E12" s="73"/>
      <c r="F12" s="73"/>
      <c r="G12" s="73"/>
      <c r="H12" s="40"/>
      <c r="I12" s="73"/>
      <c r="J12" s="169"/>
      <c r="K12" s="73"/>
      <c r="L12" s="73"/>
      <c r="M12" s="73"/>
    </row>
    <row r="13" spans="2:10" s="104" customFormat="1" ht="18.75" customHeight="1">
      <c r="B13" s="444"/>
      <c r="C13" s="444"/>
      <c r="D13" s="444"/>
      <c r="E13" s="444"/>
      <c r="F13" s="444"/>
      <c r="G13" s="444"/>
      <c r="H13" s="444"/>
      <c r="I13" s="444"/>
      <c r="J13" s="444"/>
    </row>
    <row r="14" spans="2:10" s="104" customFormat="1" ht="18.75" customHeight="1">
      <c r="B14" s="444" t="s">
        <v>385</v>
      </c>
      <c r="C14" s="444"/>
      <c r="D14" s="444" t="s">
        <v>193</v>
      </c>
      <c r="E14" s="444"/>
      <c r="F14" s="444"/>
      <c r="G14" s="444"/>
      <c r="H14" s="444" t="s">
        <v>349</v>
      </c>
      <c r="I14" s="444"/>
      <c r="J14" s="444"/>
    </row>
    <row r="15" spans="2:10" s="104" customFormat="1" ht="18.75" customHeight="1">
      <c r="B15" s="603" t="s">
        <v>386</v>
      </c>
      <c r="C15" s="604"/>
      <c r="D15" s="603" t="s">
        <v>384</v>
      </c>
      <c r="E15" s="444"/>
      <c r="F15" s="603" t="s">
        <v>2</v>
      </c>
      <c r="G15" s="604"/>
      <c r="H15" s="603" t="s">
        <v>421</v>
      </c>
      <c r="I15" s="604"/>
      <c r="J15" s="603" t="s">
        <v>306</v>
      </c>
    </row>
    <row r="16" spans="2:10" s="104" customFormat="1" ht="18.75" customHeight="1">
      <c r="B16" s="747" t="s">
        <v>360</v>
      </c>
      <c r="C16" s="747"/>
      <c r="D16" s="749" t="s">
        <v>361</v>
      </c>
      <c r="E16" s="748"/>
      <c r="F16" s="749" t="s">
        <v>362</v>
      </c>
      <c r="G16" s="747"/>
      <c r="H16" s="750">
        <v>62000000</v>
      </c>
      <c r="I16" s="751"/>
      <c r="J16" s="747" t="s">
        <v>363</v>
      </c>
    </row>
    <row r="17" spans="2:10" s="104" customFormat="1" ht="18.75" customHeight="1">
      <c r="B17" s="747" t="s">
        <v>364</v>
      </c>
      <c r="C17" s="747"/>
      <c r="D17" s="749" t="s">
        <v>365</v>
      </c>
      <c r="E17" s="748"/>
      <c r="F17" s="749" t="s">
        <v>362</v>
      </c>
      <c r="G17" s="747"/>
      <c r="H17" s="751">
        <v>37000000</v>
      </c>
      <c r="I17" s="751"/>
      <c r="J17" s="747" t="s">
        <v>366</v>
      </c>
    </row>
    <row r="18" spans="2:10" s="104" customFormat="1" ht="18.75" customHeight="1">
      <c r="B18" s="747" t="s">
        <v>364</v>
      </c>
      <c r="C18" s="747"/>
      <c r="D18" s="749" t="s">
        <v>367</v>
      </c>
      <c r="E18" s="747"/>
      <c r="F18" s="749" t="s">
        <v>362</v>
      </c>
      <c r="G18" s="747"/>
      <c r="H18" s="751">
        <v>26000000</v>
      </c>
      <c r="I18" s="751"/>
      <c r="J18" s="747" t="s">
        <v>368</v>
      </c>
    </row>
    <row r="19" spans="2:10" s="104" customFormat="1" ht="18.75" customHeight="1">
      <c r="B19" s="747" t="s">
        <v>369</v>
      </c>
      <c r="C19" s="747"/>
      <c r="D19" s="749" t="s">
        <v>361</v>
      </c>
      <c r="E19" s="747"/>
      <c r="F19" s="749" t="s">
        <v>362</v>
      </c>
      <c r="G19" s="747"/>
      <c r="H19" s="751">
        <v>14816000</v>
      </c>
      <c r="I19" s="751"/>
      <c r="J19" s="747" t="s">
        <v>370</v>
      </c>
    </row>
    <row r="20" spans="2:10" s="104" customFormat="1" ht="18.75" customHeight="1">
      <c r="B20" s="747" t="s">
        <v>371</v>
      </c>
      <c r="C20" s="747"/>
      <c r="D20" s="749" t="s">
        <v>372</v>
      </c>
      <c r="E20" s="747"/>
      <c r="F20" s="749" t="s">
        <v>362</v>
      </c>
      <c r="G20" s="747"/>
      <c r="H20" s="751">
        <v>30000000</v>
      </c>
      <c r="I20" s="751"/>
      <c r="J20" s="747" t="s">
        <v>373</v>
      </c>
    </row>
    <row r="21" spans="2:10" s="104" customFormat="1" ht="18.75" customHeight="1">
      <c r="B21" s="747" t="s">
        <v>371</v>
      </c>
      <c r="C21" s="747"/>
      <c r="D21" s="749" t="s">
        <v>374</v>
      </c>
      <c r="E21" s="747"/>
      <c r="F21" s="749" t="s">
        <v>362</v>
      </c>
      <c r="G21" s="747"/>
      <c r="H21" s="751">
        <v>16000000</v>
      </c>
      <c r="I21" s="751"/>
      <c r="J21" s="747" t="s">
        <v>375</v>
      </c>
    </row>
    <row r="22" spans="2:10" s="104" customFormat="1" ht="18.75" customHeight="1">
      <c r="B22" s="747" t="s">
        <v>371</v>
      </c>
      <c r="C22" s="747"/>
      <c r="D22" s="749" t="s">
        <v>376</v>
      </c>
      <c r="E22" s="747"/>
      <c r="F22" s="749" t="s">
        <v>362</v>
      </c>
      <c r="G22" s="747"/>
      <c r="H22" s="752">
        <v>18000000</v>
      </c>
      <c r="I22" s="751"/>
      <c r="J22" s="747" t="s">
        <v>377</v>
      </c>
    </row>
    <row r="23" spans="2:10" s="104" customFormat="1" ht="18.75" customHeight="1">
      <c r="B23" s="606"/>
      <c r="C23" s="606"/>
      <c r="D23" s="606" t="s">
        <v>378</v>
      </c>
      <c r="E23" s="606"/>
      <c r="F23" s="669" t="s">
        <v>379</v>
      </c>
      <c r="G23" s="606"/>
      <c r="H23" s="608">
        <f>SUM(H16:H22)</f>
        <v>203816000</v>
      </c>
      <c r="I23" s="609"/>
      <c r="J23" s="606" t="s">
        <v>380</v>
      </c>
    </row>
    <row r="24" s="104" customFormat="1" ht="15">
      <c r="H24" s="332"/>
    </row>
    <row r="25" s="104" customFormat="1" ht="15">
      <c r="H25" s="332"/>
    </row>
    <row r="26" spans="2:9" s="104" customFormat="1" ht="15">
      <c r="B26" s="104" t="s">
        <v>382</v>
      </c>
      <c r="H26" s="577">
        <f>H23-H27</f>
        <v>173816000</v>
      </c>
      <c r="I26" s="668"/>
    </row>
    <row r="27" spans="2:9" s="104" customFormat="1" ht="15">
      <c r="B27" s="104" t="s">
        <v>381</v>
      </c>
      <c r="H27" s="577">
        <f>H20</f>
        <v>30000000</v>
      </c>
      <c r="I27" s="668"/>
    </row>
    <row r="28" spans="2:9" s="104" customFormat="1" ht="15">
      <c r="B28" s="104" t="s">
        <v>383</v>
      </c>
      <c r="H28" s="577">
        <v>0</v>
      </c>
      <c r="I28" s="668"/>
    </row>
    <row r="29" s="104" customFormat="1" ht="15"/>
    <row r="30" s="104" customFormat="1" ht="15"/>
  </sheetData>
  <sheetProtection/>
  <mergeCells count="5">
    <mergeCell ref="A4:K4"/>
    <mergeCell ref="A5:K5"/>
    <mergeCell ref="A6:K6"/>
    <mergeCell ref="A8:K8"/>
    <mergeCell ref="A9:K9"/>
  </mergeCells>
  <printOptions horizontalCentered="1"/>
  <pageMargins left="0.7" right="0.7" top="0.75" bottom="0.75" header="0.3" footer="0.3"/>
  <pageSetup fitToHeight="1" fitToWidth="1" horizontalDpi="600" verticalDpi="600" orientation="landscape" scale="96" r:id="rId2"/>
  <colBreaks count="1" manualBreakCount="1">
    <brk id="11" max="29" man="1"/>
  </colBreaks>
  <drawing r:id="rId1"/>
</worksheet>
</file>

<file path=xl/worksheets/sheet31.xml><?xml version="1.0" encoding="utf-8"?>
<worksheet xmlns="http://schemas.openxmlformats.org/spreadsheetml/2006/main" xmlns:r="http://schemas.openxmlformats.org/officeDocument/2006/relationships">
  <sheetPr>
    <tabColor rgb="FF0070C0"/>
  </sheetPr>
  <dimension ref="A1:P22"/>
  <sheetViews>
    <sheetView view="pageBreakPreview" zoomScaleSheetLayoutView="100" zoomScalePageLayoutView="0" workbookViewId="0" topLeftCell="A1">
      <selection activeCell="B28" sqref="B28"/>
    </sheetView>
  </sheetViews>
  <sheetFormatPr defaultColWidth="9.00390625" defaultRowHeight="12.75"/>
  <cols>
    <col min="1" max="1" width="3.00390625" style="27" customWidth="1"/>
    <col min="2" max="2" width="4.25390625" style="27" customWidth="1"/>
    <col min="3" max="3" width="26.50390625" style="27" bestFit="1" customWidth="1"/>
    <col min="4" max="4" width="16.00390625" style="27" customWidth="1"/>
    <col min="5" max="5" width="1.75390625" style="27" customWidth="1"/>
    <col min="6" max="6" width="14.00390625" style="27" customWidth="1"/>
    <col min="7" max="9" width="9.00390625" style="27" customWidth="1"/>
    <col min="10" max="10" width="10.50390625" style="27" bestFit="1" customWidth="1"/>
    <col min="11" max="16384" width="9.00390625" style="27" customWidth="1"/>
  </cols>
  <sheetData>
    <row r="1" spans="1:16" s="565" customFormat="1" ht="15">
      <c r="A1" s="14" t="s">
        <v>1165</v>
      </c>
      <c r="B1" s="113"/>
      <c r="C1" s="113"/>
      <c r="D1" s="572"/>
      <c r="E1" s="572"/>
      <c r="F1" s="113"/>
      <c r="G1" s="113"/>
      <c r="H1" s="113"/>
      <c r="I1" s="113"/>
      <c r="J1" s="113"/>
      <c r="K1" s="113"/>
      <c r="L1" s="179"/>
      <c r="P1" s="180"/>
    </row>
    <row r="2" s="563" customFormat="1" ht="12.75"/>
    <row r="3" spans="1:16" s="563" customFormat="1" ht="17.25">
      <c r="A3" s="116"/>
      <c r="B3" s="117"/>
      <c r="C3" s="117"/>
      <c r="D3" s="584"/>
      <c r="E3" s="584"/>
      <c r="F3" s="117"/>
      <c r="G3" s="117"/>
      <c r="H3" s="117"/>
      <c r="I3" s="117"/>
      <c r="J3" s="117"/>
      <c r="K3" s="117"/>
      <c r="L3" s="117"/>
      <c r="M3" s="117"/>
      <c r="N3" s="117"/>
      <c r="O3" s="117"/>
      <c r="P3" s="445"/>
    </row>
    <row r="4" spans="1:16" s="563" customFormat="1" ht="17.25">
      <c r="A4" s="1579" t="s">
        <v>228</v>
      </c>
      <c r="B4" s="1579"/>
      <c r="C4" s="1579"/>
      <c r="D4" s="1579"/>
      <c r="E4" s="1579"/>
      <c r="F4" s="1579"/>
      <c r="G4" s="182"/>
      <c r="H4" s="182"/>
      <c r="I4" s="182"/>
      <c r="J4" s="182"/>
      <c r="K4" s="182"/>
      <c r="L4" s="182"/>
      <c r="M4" s="182"/>
      <c r="N4" s="182"/>
      <c r="O4" s="182"/>
      <c r="P4" s="182"/>
    </row>
    <row r="5" spans="1:16" s="563" customFormat="1" ht="17.25">
      <c r="A5" s="1579" t="s">
        <v>111</v>
      </c>
      <c r="B5" s="1579"/>
      <c r="C5" s="1579"/>
      <c r="D5" s="1579"/>
      <c r="E5" s="1579"/>
      <c r="F5" s="1579"/>
      <c r="G5" s="182"/>
      <c r="H5" s="182"/>
      <c r="I5" s="182"/>
      <c r="J5" s="182"/>
      <c r="K5" s="182"/>
      <c r="L5" s="182"/>
      <c r="M5" s="182"/>
      <c r="N5" s="182"/>
      <c r="O5" s="182"/>
      <c r="P5" s="182"/>
    </row>
    <row r="6" spans="1:16" s="563" customFormat="1" ht="17.25">
      <c r="A6" s="1580" t="s">
        <v>1377</v>
      </c>
      <c r="B6" s="1580"/>
      <c r="C6" s="1580"/>
      <c r="D6" s="1580"/>
      <c r="E6" s="1580"/>
      <c r="F6" s="1580"/>
      <c r="G6" s="182"/>
      <c r="H6" s="182"/>
      <c r="I6" s="182"/>
      <c r="J6" s="182"/>
      <c r="K6" s="182"/>
      <c r="L6" s="182"/>
      <c r="M6" s="182"/>
      <c r="N6" s="182"/>
      <c r="O6" s="182"/>
      <c r="P6" s="182"/>
    </row>
    <row r="7" spans="1:16" s="563" customFormat="1" ht="12" customHeight="1">
      <c r="A7" s="117"/>
      <c r="B7" s="117"/>
      <c r="C7" s="117"/>
      <c r="D7" s="120"/>
      <c r="E7" s="120"/>
      <c r="F7" s="117"/>
      <c r="G7" s="117"/>
      <c r="H7" s="117"/>
      <c r="I7" s="117"/>
      <c r="J7" s="117"/>
      <c r="K7" s="117"/>
      <c r="L7" s="117"/>
      <c r="M7" s="117"/>
      <c r="N7" s="117"/>
      <c r="O7" s="117"/>
      <c r="P7" s="117"/>
    </row>
    <row r="8" spans="1:16" s="563" customFormat="1" ht="17.25">
      <c r="A8" s="1581" t="s">
        <v>1166</v>
      </c>
      <c r="B8" s="1581"/>
      <c r="C8" s="1581"/>
      <c r="D8" s="1581"/>
      <c r="E8" s="1581"/>
      <c r="F8" s="1581"/>
      <c r="G8" s="183"/>
      <c r="H8" s="183"/>
      <c r="I8" s="183"/>
      <c r="J8" s="183"/>
      <c r="K8" s="183"/>
      <c r="L8" s="183"/>
      <c r="M8" s="183"/>
      <c r="N8" s="183"/>
      <c r="O8" s="183"/>
      <c r="P8" s="183"/>
    </row>
    <row r="9" spans="1:16" s="563" customFormat="1" ht="17.25">
      <c r="A9" s="1579" t="s">
        <v>855</v>
      </c>
      <c r="B9" s="1579"/>
      <c r="C9" s="1579"/>
      <c r="D9" s="1579"/>
      <c r="E9" s="1579"/>
      <c r="F9" s="1579"/>
      <c r="G9" s="182"/>
      <c r="H9" s="182"/>
      <c r="I9" s="182"/>
      <c r="J9" s="182"/>
      <c r="K9" s="182"/>
      <c r="L9" s="182"/>
      <c r="M9" s="182"/>
      <c r="N9" s="182"/>
      <c r="O9" s="182"/>
      <c r="P9" s="182"/>
    </row>
    <row r="12" ht="13.5">
      <c r="C12" s="587" t="s">
        <v>586</v>
      </c>
    </row>
    <row r="13" ht="13.5">
      <c r="C13" s="587"/>
    </row>
    <row r="15" spans="4:6" ht="12.75">
      <c r="D15" s="784">
        <v>2015</v>
      </c>
      <c r="E15" s="785"/>
      <c r="F15" s="784">
        <v>2014</v>
      </c>
    </row>
    <row r="16" spans="4:6" ht="12.75">
      <c r="D16" s="588" t="s">
        <v>421</v>
      </c>
      <c r="F16" s="588" t="s">
        <v>421</v>
      </c>
    </row>
    <row r="17" ht="13.5">
      <c r="C17" s="589"/>
    </row>
    <row r="18" spans="3:6" ht="13.5">
      <c r="C18" s="589" t="s">
        <v>561</v>
      </c>
      <c r="D18" s="1467">
        <v>160519715</v>
      </c>
      <c r="F18" s="1467">
        <v>154413971</v>
      </c>
    </row>
    <row r="19" spans="3:6" ht="13.5">
      <c r="C19" s="589" t="s">
        <v>562</v>
      </c>
      <c r="D19" s="1467">
        <v>98124203</v>
      </c>
      <c r="F19" s="1467">
        <v>93786811</v>
      </c>
    </row>
    <row r="20" spans="3:6" ht="13.5">
      <c r="C20" s="589" t="s">
        <v>563</v>
      </c>
      <c r="D20" s="1468">
        <v>4215005</v>
      </c>
      <c r="F20" s="1468">
        <v>4215005</v>
      </c>
    </row>
    <row r="21" spans="3:6" ht="13.5">
      <c r="C21" s="587" t="s">
        <v>4</v>
      </c>
      <c r="D21" s="590">
        <f>SUM(D18:D20)</f>
        <v>262858923</v>
      </c>
      <c r="F21" s="590">
        <f>SUM(F17:F20)</f>
        <v>252415787</v>
      </c>
    </row>
    <row r="22" ht="13.5">
      <c r="D22" s="589"/>
    </row>
  </sheetData>
  <sheetProtection/>
  <mergeCells count="5">
    <mergeCell ref="A8:F8"/>
    <mergeCell ref="A9:F9"/>
    <mergeCell ref="A4:F4"/>
    <mergeCell ref="A5:F5"/>
    <mergeCell ref="A6:F6"/>
  </mergeCells>
  <printOptions horizontalCentered="1"/>
  <pageMargins left="0.7" right="0.7" top="0.75" bottom="0.7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tabColor rgb="FFFFC000"/>
    <pageSetUpPr fitToPage="1"/>
  </sheetPr>
  <dimension ref="A1:N52"/>
  <sheetViews>
    <sheetView view="pageBreakPreview" zoomScaleNormal="70" zoomScaleSheetLayoutView="100" zoomScalePageLayoutView="0" workbookViewId="0" topLeftCell="A4">
      <selection activeCell="B28" sqref="B28"/>
    </sheetView>
  </sheetViews>
  <sheetFormatPr defaultColWidth="9.00390625" defaultRowHeight="12.75"/>
  <cols>
    <col min="1" max="1" width="2.375" style="13" customWidth="1"/>
    <col min="2" max="2" width="1.37890625" style="13" customWidth="1"/>
    <col min="3" max="3" width="2.875" style="13" customWidth="1"/>
    <col min="4" max="4" width="6.375" style="13" customWidth="1"/>
    <col min="5" max="5" width="7.50390625" style="13" customWidth="1"/>
    <col min="6" max="6" width="22.125" style="13" customWidth="1"/>
    <col min="7" max="7" width="4.00390625" style="13" customWidth="1"/>
    <col min="8" max="8" width="12.50390625" style="13" bestFit="1" customWidth="1"/>
    <col min="9" max="9" width="14.00390625" style="13" customWidth="1"/>
    <col min="10" max="10" width="12.50390625" style="13" bestFit="1" customWidth="1"/>
    <col min="11" max="11" width="1.12109375" style="13" customWidth="1"/>
    <col min="12" max="12" width="14.25390625" style="13" bestFit="1" customWidth="1"/>
    <col min="13" max="13" width="1.25" style="13" customWidth="1"/>
    <col min="14" max="14" width="12.50390625" style="13" bestFit="1" customWidth="1"/>
    <col min="15" max="16384" width="9.00390625" style="13" customWidth="1"/>
  </cols>
  <sheetData>
    <row r="1" spans="1:14" s="17" customFormat="1" ht="15">
      <c r="A1" s="14" t="s">
        <v>1167</v>
      </c>
      <c r="B1" s="20"/>
      <c r="C1" s="20"/>
      <c r="D1" s="20"/>
      <c r="E1" s="20"/>
      <c r="F1" s="20"/>
      <c r="G1" s="20"/>
      <c r="H1" s="20"/>
      <c r="I1" s="20"/>
      <c r="J1" s="20"/>
      <c r="K1" s="20"/>
      <c r="L1" s="20"/>
      <c r="M1" s="20"/>
      <c r="N1" s="20"/>
    </row>
    <row r="3" spans="1:14" ht="17.25">
      <c r="A3" s="12"/>
      <c r="B3" s="11"/>
      <c r="C3" s="11"/>
      <c r="D3" s="11"/>
      <c r="E3" s="11"/>
      <c r="F3" s="11"/>
      <c r="G3" s="11"/>
      <c r="H3" s="11"/>
      <c r="I3" s="11"/>
      <c r="J3" s="11"/>
      <c r="K3" s="11"/>
      <c r="L3" s="11"/>
      <c r="M3" s="11"/>
      <c r="N3" s="11"/>
    </row>
    <row r="4" spans="1:14" ht="17.25">
      <c r="A4" s="1531" t="s">
        <v>228</v>
      </c>
      <c r="B4" s="1531"/>
      <c r="C4" s="1531"/>
      <c r="D4" s="1531"/>
      <c r="E4" s="1531"/>
      <c r="F4" s="1531"/>
      <c r="G4" s="1531"/>
      <c r="H4" s="1531"/>
      <c r="I4" s="1531"/>
      <c r="J4" s="1531"/>
      <c r="K4" s="1531"/>
      <c r="L4" s="1531"/>
      <c r="M4" s="1531"/>
      <c r="N4" s="1531"/>
    </row>
    <row r="5" spans="1:14" ht="17.25">
      <c r="A5" s="1531" t="s">
        <v>111</v>
      </c>
      <c r="B5" s="1531"/>
      <c r="C5" s="1531"/>
      <c r="D5" s="1531"/>
      <c r="E5" s="1531"/>
      <c r="F5" s="1531"/>
      <c r="G5" s="1531"/>
      <c r="H5" s="1531"/>
      <c r="I5" s="1531"/>
      <c r="J5" s="1531"/>
      <c r="K5" s="1531"/>
      <c r="L5" s="1531"/>
      <c r="M5" s="1531"/>
      <c r="N5" s="1531"/>
    </row>
    <row r="6" spans="1:14" ht="17.25">
      <c r="A6" s="1532" t="s">
        <v>1377</v>
      </c>
      <c r="B6" s="1532"/>
      <c r="C6" s="1532"/>
      <c r="D6" s="1532"/>
      <c r="E6" s="1532"/>
      <c r="F6" s="1532"/>
      <c r="G6" s="1532"/>
      <c r="H6" s="1532"/>
      <c r="I6" s="1532"/>
      <c r="J6" s="1532"/>
      <c r="K6" s="1532"/>
      <c r="L6" s="1532"/>
      <c r="M6" s="1532"/>
      <c r="N6" s="1532"/>
    </row>
    <row r="7" spans="1:14" ht="12" customHeight="1">
      <c r="A7" s="11"/>
      <c r="B7" s="11"/>
      <c r="C7" s="11"/>
      <c r="D7" s="11"/>
      <c r="E7" s="11"/>
      <c r="F7" s="11"/>
      <c r="G7" s="11"/>
      <c r="H7" s="11"/>
      <c r="I7" s="11"/>
      <c r="J7" s="11"/>
      <c r="K7" s="11"/>
      <c r="L7" s="11"/>
      <c r="M7" s="11"/>
      <c r="N7" s="11"/>
    </row>
    <row r="8" spans="1:14" ht="17.25">
      <c r="A8" s="1533" t="s">
        <v>1168</v>
      </c>
      <c r="B8" s="1533"/>
      <c r="C8" s="1533"/>
      <c r="D8" s="1533"/>
      <c r="E8" s="1533"/>
      <c r="F8" s="1533"/>
      <c r="G8" s="1533"/>
      <c r="H8" s="1533"/>
      <c r="I8" s="1533"/>
      <c r="J8" s="1533"/>
      <c r="K8" s="1533"/>
      <c r="L8" s="1533"/>
      <c r="M8" s="1533"/>
      <c r="N8" s="1533"/>
    </row>
    <row r="9" spans="1:14" ht="17.25">
      <c r="A9" s="1531" t="s">
        <v>355</v>
      </c>
      <c r="B9" s="1531"/>
      <c r="C9" s="1531"/>
      <c r="D9" s="1531"/>
      <c r="E9" s="1531"/>
      <c r="F9" s="1531"/>
      <c r="G9" s="1531"/>
      <c r="H9" s="1531"/>
      <c r="I9" s="1531"/>
      <c r="J9" s="1531"/>
      <c r="K9" s="1531"/>
      <c r="L9" s="1531"/>
      <c r="M9" s="1531"/>
      <c r="N9" s="1531"/>
    </row>
    <row r="11" s="27" customFormat="1" ht="12.75"/>
    <row r="12" spans="8:14" s="27" customFormat="1" ht="13.5">
      <c r="H12" s="500" t="s">
        <v>468</v>
      </c>
      <c r="I12" s="500" t="s">
        <v>468</v>
      </c>
      <c r="J12" s="500" t="s">
        <v>570</v>
      </c>
      <c r="K12" s="500"/>
      <c r="L12" s="500"/>
      <c r="M12" s="500"/>
      <c r="N12" s="500"/>
    </row>
    <row r="13" spans="4:14" s="27" customFormat="1" ht="15">
      <c r="D13" s="501" t="s">
        <v>311</v>
      </c>
      <c r="E13" s="502"/>
      <c r="F13" s="502"/>
      <c r="G13" s="502"/>
      <c r="H13" s="500" t="s">
        <v>952</v>
      </c>
      <c r="I13" s="500" t="s">
        <v>952</v>
      </c>
      <c r="J13" s="500" t="s">
        <v>469</v>
      </c>
      <c r="K13" s="500"/>
      <c r="L13" s="500" t="s">
        <v>35</v>
      </c>
      <c r="M13" s="500"/>
      <c r="N13" s="500" t="s">
        <v>419</v>
      </c>
    </row>
    <row r="14" spans="4:14" s="27" customFormat="1" ht="15">
      <c r="D14" s="503" t="s">
        <v>259</v>
      </c>
      <c r="E14" s="504"/>
      <c r="F14" s="505" t="s">
        <v>306</v>
      </c>
      <c r="G14" s="504"/>
      <c r="H14" s="768">
        <v>42369</v>
      </c>
      <c r="I14" s="768">
        <v>42004</v>
      </c>
      <c r="J14" s="1507" t="s">
        <v>1387</v>
      </c>
      <c r="K14" s="506"/>
      <c r="L14" s="507" t="s">
        <v>569</v>
      </c>
      <c r="M14" s="506"/>
      <c r="N14" s="507" t="s">
        <v>953</v>
      </c>
    </row>
    <row r="15" spans="4:14" s="27" customFormat="1" ht="13.5">
      <c r="D15" s="767">
        <v>1100</v>
      </c>
      <c r="E15" s="767"/>
      <c r="F15" s="767" t="s">
        <v>470</v>
      </c>
      <c r="G15" s="508"/>
      <c r="H15" s="1469">
        <v>18453109</v>
      </c>
      <c r="I15" s="1469">
        <v>20675397</v>
      </c>
      <c r="J15" s="509"/>
      <c r="K15" s="509"/>
      <c r="L15" s="510"/>
      <c r="N15" s="511"/>
    </row>
    <row r="16" spans="4:14" s="27" customFormat="1" ht="13.5">
      <c r="D16" s="767">
        <v>1200</v>
      </c>
      <c r="E16" s="767"/>
      <c r="F16" s="767" t="s">
        <v>471</v>
      </c>
      <c r="G16" s="508"/>
      <c r="H16" s="1469">
        <v>12902035</v>
      </c>
      <c r="I16" s="1469">
        <v>11914250</v>
      </c>
      <c r="J16" s="509"/>
      <c r="K16" s="509"/>
      <c r="L16" s="510"/>
      <c r="N16" s="511"/>
    </row>
    <row r="17" spans="4:14" s="27" customFormat="1" ht="13.5">
      <c r="D17" s="767">
        <v>3100</v>
      </c>
      <c r="E17" s="767"/>
      <c r="F17" s="767" t="s">
        <v>472</v>
      </c>
      <c r="G17" s="508"/>
      <c r="H17" s="1469">
        <v>8484836</v>
      </c>
      <c r="I17" s="1469">
        <v>8057633</v>
      </c>
      <c r="J17" s="509"/>
      <c r="K17" s="509"/>
      <c r="L17" s="510"/>
      <c r="N17" s="511"/>
    </row>
    <row r="18" spans="4:14" s="27" customFormat="1" ht="13.5">
      <c r="D18" s="767">
        <v>3200</v>
      </c>
      <c r="E18" s="767"/>
      <c r="F18" s="767" t="s">
        <v>251</v>
      </c>
      <c r="G18" s="508"/>
      <c r="H18" s="1469">
        <v>7186940</v>
      </c>
      <c r="I18" s="1469">
        <v>13649111</v>
      </c>
      <c r="J18" s="509"/>
      <c r="K18" s="509"/>
      <c r="L18" s="510"/>
      <c r="N18" s="511"/>
    </row>
    <row r="19" spans="4:14" s="27" customFormat="1" ht="13.5">
      <c r="D19" s="767">
        <v>1300</v>
      </c>
      <c r="E19" s="767"/>
      <c r="F19" s="767" t="s">
        <v>473</v>
      </c>
      <c r="G19" s="508"/>
      <c r="H19" s="1469">
        <v>8929006</v>
      </c>
      <c r="I19" s="1469">
        <v>8639162</v>
      </c>
      <c r="J19" s="509"/>
      <c r="K19" s="509"/>
      <c r="L19" s="510"/>
      <c r="N19" s="511"/>
    </row>
    <row r="20" spans="4:14" s="27" customFormat="1" ht="13.5">
      <c r="D20" s="767">
        <v>3300</v>
      </c>
      <c r="E20" s="767"/>
      <c r="F20" s="767" t="s">
        <v>474</v>
      </c>
      <c r="G20" s="508"/>
      <c r="H20" s="1469">
        <v>25333037</v>
      </c>
      <c r="I20" s="1469">
        <v>25079941</v>
      </c>
      <c r="J20" s="509"/>
      <c r="K20" s="509"/>
      <c r="L20" s="510"/>
      <c r="N20" s="511"/>
    </row>
    <row r="21" spans="4:14" s="27" customFormat="1" ht="15">
      <c r="D21" s="767">
        <v>2100</v>
      </c>
      <c r="E21" s="767"/>
      <c r="F21" s="767" t="s">
        <v>475</v>
      </c>
      <c r="G21" s="508"/>
      <c r="H21" s="1470">
        <v>5765384</v>
      </c>
      <c r="I21" s="1470">
        <v>5503952</v>
      </c>
      <c r="J21" s="509"/>
      <c r="K21" s="509"/>
      <c r="L21" s="510"/>
      <c r="N21" s="511"/>
    </row>
    <row r="22" spans="4:14" s="27" customFormat="1" ht="13.5">
      <c r="D22" s="508"/>
      <c r="E22" s="508"/>
      <c r="F22" s="508" t="s">
        <v>1337</v>
      </c>
      <c r="G22" s="508"/>
      <c r="H22" s="509">
        <f>SUM(H15:H21)</f>
        <v>87054347</v>
      </c>
      <c r="I22" s="509">
        <f>SUM(I15:I21)</f>
        <v>93519446</v>
      </c>
      <c r="J22" s="509"/>
      <c r="K22" s="509"/>
      <c r="L22" s="510"/>
      <c r="N22" s="511"/>
    </row>
    <row r="23" spans="4:14" s="27" customFormat="1" ht="13.5">
      <c r="D23" s="508"/>
      <c r="E23" s="508"/>
      <c r="F23" s="508"/>
      <c r="G23" s="508"/>
      <c r="H23" s="509"/>
      <c r="I23" s="509"/>
      <c r="J23" s="509"/>
      <c r="K23" s="509"/>
      <c r="L23" s="510"/>
      <c r="N23" s="511"/>
    </row>
    <row r="24" spans="4:14" s="27" customFormat="1" ht="13.5">
      <c r="D24" s="767" t="s">
        <v>1336</v>
      </c>
      <c r="E24" s="767"/>
      <c r="F24" s="767"/>
      <c r="G24" s="508"/>
      <c r="H24" s="1469">
        <v>-682635</v>
      </c>
      <c r="I24" s="1469">
        <v>-682635</v>
      </c>
      <c r="J24" s="509"/>
      <c r="K24" s="509"/>
      <c r="L24" s="510"/>
      <c r="N24" s="511"/>
    </row>
    <row r="25" spans="4:14" s="27" customFormat="1" ht="15">
      <c r="D25" s="767" t="s">
        <v>1335</v>
      </c>
      <c r="E25" s="767"/>
      <c r="F25" s="767"/>
      <c r="G25" s="508"/>
      <c r="H25" s="1471">
        <v>-4000000</v>
      </c>
      <c r="I25" s="1471">
        <v>-2000000</v>
      </c>
      <c r="J25" s="1417"/>
      <c r="K25" s="1417"/>
      <c r="L25" s="1418"/>
      <c r="M25" s="1417"/>
      <c r="N25" s="1417"/>
    </row>
    <row r="26" spans="4:14" s="27" customFormat="1" ht="15">
      <c r="D26" s="508"/>
      <c r="E26" s="508"/>
      <c r="F26" s="508" t="s">
        <v>1338</v>
      </c>
      <c r="G26" s="508"/>
      <c r="H26" s="1438">
        <f>SUM(H24:H25)</f>
        <v>-4682635</v>
      </c>
      <c r="I26" s="1438">
        <f>SUM(I24:I25)</f>
        <v>-2682635</v>
      </c>
      <c r="J26" s="1417"/>
      <c r="K26" s="1417"/>
      <c r="L26" s="1418"/>
      <c r="M26" s="1417"/>
      <c r="N26" s="1417"/>
    </row>
    <row r="27" spans="4:14" s="27" customFormat="1" ht="15">
      <c r="D27" s="508"/>
      <c r="E27" s="508"/>
      <c r="F27" s="508"/>
      <c r="G27" s="508"/>
      <c r="H27" s="1438"/>
      <c r="I27" s="1438"/>
      <c r="J27" s="1417"/>
      <c r="K27" s="1417"/>
      <c r="L27" s="1418"/>
      <c r="M27" s="1417"/>
      <c r="N27" s="1417"/>
    </row>
    <row r="28" spans="4:14" s="27" customFormat="1" ht="14.25" thickBot="1">
      <c r="D28" s="512"/>
      <c r="E28" s="512"/>
      <c r="F28" s="512" t="s">
        <v>4</v>
      </c>
      <c r="G28" s="512"/>
      <c r="H28" s="513">
        <f>H22+H26</f>
        <v>82371712</v>
      </c>
      <c r="I28" s="513">
        <f>I22+I26</f>
        <v>90836811</v>
      </c>
      <c r="J28" s="513">
        <f>AVERAGE(H28,I28)</f>
        <v>86604261.5</v>
      </c>
      <c r="K28" s="513"/>
      <c r="L28" s="514">
        <f>'E1-Labor Ratio'!H21</f>
        <v>0.27609832339076545</v>
      </c>
      <c r="M28" s="513"/>
      <c r="N28" s="513">
        <f>J28*L28</f>
        <v>23911291.39864542</v>
      </c>
    </row>
    <row r="29" s="27" customFormat="1" ht="13.5" thickTop="1"/>
    <row r="30" spans="8:10" s="27" customFormat="1" ht="12.75">
      <c r="H30" s="515"/>
      <c r="I30" s="515"/>
      <c r="J30" s="515"/>
    </row>
    <row r="31" s="27" customFormat="1" ht="12.75"/>
    <row r="32" s="27" customFormat="1" ht="12.75"/>
    <row r="35" ht="14.25">
      <c r="B35" s="48"/>
    </row>
    <row r="36" ht="14.25">
      <c r="B36" s="49"/>
    </row>
    <row r="37" ht="14.25">
      <c r="B37" s="49"/>
    </row>
    <row r="38" ht="14.25">
      <c r="B38" s="49"/>
    </row>
    <row r="39" ht="14.25">
      <c r="B39" s="49"/>
    </row>
    <row r="40" ht="14.25">
      <c r="B40" s="49"/>
    </row>
    <row r="41" ht="14.25">
      <c r="B41" s="49"/>
    </row>
    <row r="42" ht="14.25">
      <c r="B42" s="49"/>
    </row>
    <row r="43" ht="14.25">
      <c r="B43" s="49"/>
    </row>
    <row r="44" ht="14.25">
      <c r="B44" s="49"/>
    </row>
    <row r="45" ht="14.25">
      <c r="B45" s="48"/>
    </row>
    <row r="46" ht="14.25">
      <c r="B46" s="49"/>
    </row>
    <row r="47" ht="14.25">
      <c r="B47" s="49"/>
    </row>
    <row r="48" ht="14.25">
      <c r="B48" s="49"/>
    </row>
    <row r="49" ht="14.25">
      <c r="B49" s="48"/>
    </row>
    <row r="50" ht="14.25">
      <c r="B50" s="48"/>
    </row>
    <row r="51" ht="14.25">
      <c r="B51" s="48"/>
    </row>
    <row r="52" ht="14.25">
      <c r="B52" s="48"/>
    </row>
  </sheetData>
  <sheetProtection/>
  <mergeCells count="5">
    <mergeCell ref="A4:N4"/>
    <mergeCell ref="A5:N5"/>
    <mergeCell ref="A9:N9"/>
    <mergeCell ref="A6:N6"/>
    <mergeCell ref="A8:N8"/>
  </mergeCells>
  <printOptions horizontalCentered="1"/>
  <pageMargins left="0.45" right="0.45" top="0.75" bottom="0.75" header="0.3" footer="0.3"/>
  <pageSetup fitToHeight="1" fitToWidth="1" horizontalDpi="600" verticalDpi="600" orientation="portrait" scale="86" r:id="rId2"/>
  <ignoredErrors>
    <ignoredError sqref="H22:I22" formulaRange="1"/>
  </ignoredErrors>
  <drawing r:id="rId1"/>
</worksheet>
</file>

<file path=xl/worksheets/sheet33.xml><?xml version="1.0" encoding="utf-8"?>
<worksheet xmlns="http://schemas.openxmlformats.org/spreadsheetml/2006/main" xmlns:r="http://schemas.openxmlformats.org/officeDocument/2006/relationships">
  <sheetPr>
    <tabColor rgb="FFFFC000"/>
    <pageSetUpPr fitToPage="1"/>
  </sheetPr>
  <dimension ref="A1:Q29"/>
  <sheetViews>
    <sheetView view="pageBreakPreview" zoomScaleSheetLayoutView="100" zoomScalePageLayoutView="0" workbookViewId="0" topLeftCell="A1">
      <selection activeCell="B28" sqref="B28"/>
    </sheetView>
  </sheetViews>
  <sheetFormatPr defaultColWidth="9.00390625" defaultRowHeight="12.75"/>
  <cols>
    <col min="1" max="1" width="9.00390625" style="34" customWidth="1"/>
    <col min="2" max="2" width="11.375" style="34" customWidth="1"/>
    <col min="3" max="3" width="16.375" style="34" customWidth="1"/>
    <col min="4" max="4" width="16.125" style="34" customWidth="1"/>
    <col min="5" max="5" width="10.75390625" style="34" customWidth="1"/>
    <col min="6" max="6" width="12.625" style="34" bestFit="1" customWidth="1"/>
    <col min="7" max="7" width="13.50390625" style="34" customWidth="1"/>
    <col min="8" max="16" width="9.00390625" style="34" customWidth="1"/>
    <col min="17" max="17" width="11.25390625" style="34" bestFit="1" customWidth="1"/>
    <col min="18" max="16384" width="9.00390625" style="34" customWidth="1"/>
  </cols>
  <sheetData>
    <row r="1" spans="1:7" s="565" customFormat="1" ht="15">
      <c r="A1" s="14" t="s">
        <v>1169</v>
      </c>
      <c r="B1" s="572"/>
      <c r="C1" s="113"/>
      <c r="D1" s="113"/>
      <c r="E1" s="113"/>
      <c r="G1" s="168"/>
    </row>
    <row r="2" spans="1:7" s="563" customFormat="1" ht="17.25">
      <c r="A2" s="116"/>
      <c r="B2" s="584"/>
      <c r="C2" s="117"/>
      <c r="D2" s="117"/>
      <c r="E2" s="117"/>
      <c r="F2" s="117"/>
      <c r="G2" s="445"/>
    </row>
    <row r="3" spans="1:7" s="563" customFormat="1" ht="17.25">
      <c r="A3" s="1579" t="s">
        <v>228</v>
      </c>
      <c r="B3" s="1579"/>
      <c r="C3" s="1579"/>
      <c r="D3" s="1579"/>
      <c r="E3" s="1579"/>
      <c r="F3" s="1579"/>
      <c r="G3" s="1579"/>
    </row>
    <row r="4" spans="1:7" s="563" customFormat="1" ht="17.25">
      <c r="A4" s="1579" t="s">
        <v>111</v>
      </c>
      <c r="B4" s="1579"/>
      <c r="C4" s="1579"/>
      <c r="D4" s="1579"/>
      <c r="E4" s="1579"/>
      <c r="F4" s="1579"/>
      <c r="G4" s="1579"/>
    </row>
    <row r="5" spans="1:7" s="563" customFormat="1" ht="17.25">
      <c r="A5" s="1580" t="s">
        <v>1377</v>
      </c>
      <c r="B5" s="1580"/>
      <c r="C5" s="1580"/>
      <c r="D5" s="1580"/>
      <c r="E5" s="1580"/>
      <c r="F5" s="1580"/>
      <c r="G5" s="1580"/>
    </row>
    <row r="6" spans="1:7" s="563" customFormat="1" ht="12" customHeight="1">
      <c r="A6" s="117"/>
      <c r="B6" s="120"/>
      <c r="C6" s="117"/>
      <c r="D6" s="117"/>
      <c r="E6" s="117"/>
      <c r="F6" s="117"/>
      <c r="G6" s="117"/>
    </row>
    <row r="7" spans="1:7" s="563" customFormat="1" ht="17.25">
      <c r="A7" s="1581" t="s">
        <v>1170</v>
      </c>
      <c r="B7" s="1581"/>
      <c r="C7" s="1581"/>
      <c r="D7" s="1581"/>
      <c r="E7" s="1581"/>
      <c r="F7" s="1581"/>
      <c r="G7" s="1581"/>
    </row>
    <row r="8" spans="1:7" ht="17.25">
      <c r="A8" s="1579" t="s">
        <v>346</v>
      </c>
      <c r="B8" s="1579"/>
      <c r="C8" s="1579"/>
      <c r="D8" s="1579"/>
      <c r="E8" s="1579"/>
      <c r="F8" s="1579"/>
      <c r="G8" s="1579"/>
    </row>
    <row r="9" spans="1:7" ht="17.25">
      <c r="A9" s="445"/>
      <c r="B9" s="445"/>
      <c r="C9" s="445"/>
      <c r="D9" s="445"/>
      <c r="E9" s="445"/>
      <c r="F9" s="445"/>
      <c r="G9" s="445"/>
    </row>
    <row r="11" spans="1:7" ht="12.75">
      <c r="A11" s="670"/>
      <c r="B11" s="670"/>
      <c r="C11" s="670"/>
      <c r="D11" s="670"/>
      <c r="E11" s="670"/>
      <c r="F11" s="670"/>
      <c r="G11" s="670"/>
    </row>
    <row r="12" spans="2:6" ht="12.75">
      <c r="B12" s="33"/>
      <c r="C12" s="33"/>
      <c r="D12" s="42" t="s">
        <v>344</v>
      </c>
      <c r="E12" s="33"/>
      <c r="F12" s="42" t="s">
        <v>69</v>
      </c>
    </row>
    <row r="13" spans="2:6" ht="12.75">
      <c r="B13" s="110" t="s">
        <v>386</v>
      </c>
      <c r="C13" s="33"/>
      <c r="D13" s="110" t="s">
        <v>947</v>
      </c>
      <c r="E13" s="33"/>
      <c r="F13" s="110" t="s">
        <v>948</v>
      </c>
    </row>
    <row r="14" spans="2:6" ht="12.75">
      <c r="B14" s="450"/>
      <c r="C14" s="33"/>
      <c r="D14" s="450"/>
      <c r="E14" s="33"/>
      <c r="F14" s="450"/>
    </row>
    <row r="16" spans="2:6" ht="13.5">
      <c r="B16" s="772">
        <v>42004</v>
      </c>
      <c r="D16" s="774">
        <v>0</v>
      </c>
      <c r="E16" s="671"/>
      <c r="F16" s="774">
        <v>6220697.88</v>
      </c>
    </row>
    <row r="17" spans="2:6" ht="13.5">
      <c r="B17" s="773"/>
      <c r="D17" s="775"/>
      <c r="E17" s="672"/>
      <c r="F17" s="775"/>
    </row>
    <row r="18" spans="2:17" ht="13.5">
      <c r="B18" s="772">
        <v>42369</v>
      </c>
      <c r="D18" s="776">
        <v>0</v>
      </c>
      <c r="E18" s="672"/>
      <c r="F18" s="1508">
        <v>6334220.93</v>
      </c>
      <c r="Q18" s="218"/>
    </row>
    <row r="19" spans="4:17" ht="13.5">
      <c r="D19" s="672"/>
      <c r="E19" s="672"/>
      <c r="F19" s="672"/>
      <c r="Q19" s="218"/>
    </row>
    <row r="20" ht="12.75">
      <c r="Q20" s="218"/>
    </row>
    <row r="21" spans="2:17" ht="13.5">
      <c r="B21" s="33" t="s">
        <v>1328</v>
      </c>
      <c r="C21" s="673"/>
      <c r="D21" s="674">
        <f>IF(D16&gt;0,AVERAGE(D16,D18),0)</f>
        <v>0</v>
      </c>
      <c r="E21" s="675"/>
      <c r="F21" s="674">
        <f>+(F16+F18)/2</f>
        <v>6277459.404999999</v>
      </c>
      <c r="G21" s="62"/>
      <c r="Q21" s="218"/>
    </row>
    <row r="22" spans="7:17" ht="12.75">
      <c r="G22" s="62"/>
      <c r="Q22" s="218"/>
    </row>
    <row r="23" ht="12.75">
      <c r="Q23" s="218"/>
    </row>
    <row r="24" ht="12.75">
      <c r="Q24" s="218"/>
    </row>
    <row r="25" ht="12.75">
      <c r="Q25" s="218"/>
    </row>
    <row r="26" ht="12.75">
      <c r="Q26" s="218"/>
    </row>
    <row r="27" ht="12.75">
      <c r="Q27" s="218"/>
    </row>
    <row r="28" ht="12.75">
      <c r="Q28" s="218"/>
    </row>
    <row r="29" ht="12.75">
      <c r="Q29" s="218"/>
    </row>
  </sheetData>
  <sheetProtection/>
  <mergeCells count="5">
    <mergeCell ref="A3:G3"/>
    <mergeCell ref="A4:G4"/>
    <mergeCell ref="A8:G8"/>
    <mergeCell ref="A5:G5"/>
    <mergeCell ref="A7:G7"/>
  </mergeCells>
  <printOptions horizontalCentered="1"/>
  <pageMargins left="0.2" right="0.2" top="0.5" bottom="0.5" header="0.3" footer="0.3"/>
  <pageSetup fitToHeight="1" fitToWidth="1"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sheetPr>
    <tabColor rgb="FF7030A0"/>
    <pageSetUpPr fitToPage="1"/>
  </sheetPr>
  <dimension ref="A1:W43"/>
  <sheetViews>
    <sheetView tabSelected="1" view="pageBreakPreview" zoomScaleNormal="80" zoomScaleSheetLayoutView="100" zoomScalePageLayoutView="0" workbookViewId="0" topLeftCell="C19">
      <selection activeCell="K28" sqref="K28"/>
    </sheetView>
  </sheetViews>
  <sheetFormatPr defaultColWidth="9.00390625" defaultRowHeight="12.75"/>
  <cols>
    <col min="1" max="1" width="5.875" style="653" customWidth="1"/>
    <col min="2" max="2" width="5.25390625" style="654" customWidth="1"/>
    <col min="3" max="3" width="23.75390625" style="653" customWidth="1"/>
    <col min="4" max="4" width="1.75390625" style="653" customWidth="1"/>
    <col min="5" max="5" width="19.00390625" style="653" customWidth="1"/>
    <col min="6" max="6" width="2.625" style="653" bestFit="1" customWidth="1"/>
    <col min="7" max="7" width="9.625" style="653" customWidth="1"/>
    <col min="8" max="8" width="2.875" style="653" customWidth="1"/>
    <col min="9" max="9" width="10.625" style="653" customWidth="1"/>
    <col min="10" max="10" width="2.875" style="653" customWidth="1"/>
    <col min="11" max="11" width="9.00390625" style="653" bestFit="1" customWidth="1"/>
    <col min="12" max="12" width="2.875" style="653" customWidth="1"/>
    <col min="13" max="13" width="11.375" style="653" customWidth="1"/>
    <col min="14" max="14" width="6.375" style="653" customWidth="1"/>
    <col min="15" max="15" width="9.625" style="653" customWidth="1"/>
    <col min="16" max="16" width="11.125" style="653" customWidth="1"/>
    <col min="17" max="251" width="9.00390625" style="653" customWidth="1"/>
    <col min="252" max="252" width="22.375" style="653" customWidth="1"/>
    <col min="253" max="253" width="1.75390625" style="653" customWidth="1"/>
    <col min="254" max="254" width="15.50390625" style="653" customWidth="1"/>
    <col min="255" max="255" width="1.875" style="653" customWidth="1"/>
    <col min="256" max="16384" width="17.00390625" style="653" customWidth="1"/>
  </cols>
  <sheetData>
    <row r="1" spans="1:16" s="61" customFormat="1" ht="15">
      <c r="A1" s="61" t="s">
        <v>1171</v>
      </c>
      <c r="P1" s="168"/>
    </row>
    <row r="2" spans="2:23" s="27" customFormat="1" ht="17.25">
      <c r="B2" s="693"/>
      <c r="D2" s="40"/>
      <c r="E2" s="40"/>
      <c r="F2" s="40"/>
      <c r="G2" s="40"/>
      <c r="H2" s="40"/>
      <c r="I2" s="40"/>
      <c r="J2" s="40"/>
      <c r="K2" s="40"/>
      <c r="L2" s="40"/>
      <c r="M2" s="40"/>
      <c r="N2" s="40"/>
      <c r="P2" s="40"/>
      <c r="Q2" s="40"/>
      <c r="R2" s="40"/>
      <c r="S2" s="40"/>
      <c r="T2" s="40"/>
      <c r="U2" s="40"/>
      <c r="V2" s="40"/>
      <c r="W2" s="40"/>
    </row>
    <row r="3" spans="1:23" s="27" customFormat="1" ht="17.25">
      <c r="A3" s="1601" t="s">
        <v>228</v>
      </c>
      <c r="B3" s="1601"/>
      <c r="C3" s="1601"/>
      <c r="D3" s="1601"/>
      <c r="E3" s="1601"/>
      <c r="F3" s="1601"/>
      <c r="G3" s="1601"/>
      <c r="H3" s="1601"/>
      <c r="I3" s="1601"/>
      <c r="J3" s="1601"/>
      <c r="K3" s="1601"/>
      <c r="L3" s="1601"/>
      <c r="M3" s="1601"/>
      <c r="N3" s="1601"/>
      <c r="O3" s="1601"/>
      <c r="P3" s="1601"/>
      <c r="Q3" s="40"/>
      <c r="R3" s="40"/>
      <c r="S3" s="40"/>
      <c r="T3" s="40"/>
      <c r="U3" s="40"/>
      <c r="V3" s="40"/>
      <c r="W3" s="40"/>
    </row>
    <row r="4" spans="1:23" s="27" customFormat="1" ht="17.25">
      <c r="A4" s="1601" t="s">
        <v>111</v>
      </c>
      <c r="B4" s="1601"/>
      <c r="C4" s="1601"/>
      <c r="D4" s="1601"/>
      <c r="E4" s="1601"/>
      <c r="F4" s="1601"/>
      <c r="G4" s="1601"/>
      <c r="H4" s="1601"/>
      <c r="I4" s="1601"/>
      <c r="J4" s="1601"/>
      <c r="K4" s="1601"/>
      <c r="L4" s="1601"/>
      <c r="M4" s="1601"/>
      <c r="N4" s="1601"/>
      <c r="O4" s="1601"/>
      <c r="P4" s="1601"/>
      <c r="Q4" s="40"/>
      <c r="R4" s="40"/>
      <c r="S4" s="40"/>
      <c r="T4" s="40"/>
      <c r="U4" s="40"/>
      <c r="V4" s="40"/>
      <c r="W4" s="40"/>
    </row>
    <row r="5" spans="1:16" s="27" customFormat="1" ht="17.25">
      <c r="A5" s="1595" t="s">
        <v>1377</v>
      </c>
      <c r="B5" s="1595"/>
      <c r="C5" s="1595"/>
      <c r="D5" s="1595"/>
      <c r="E5" s="1595"/>
      <c r="F5" s="1595"/>
      <c r="G5" s="1595"/>
      <c r="H5" s="1595"/>
      <c r="I5" s="1595"/>
      <c r="J5" s="1595"/>
      <c r="K5" s="1595"/>
      <c r="L5" s="1595"/>
      <c r="M5" s="1595"/>
      <c r="N5" s="1595"/>
      <c r="O5" s="1595"/>
      <c r="P5" s="1595"/>
    </row>
    <row r="6" spans="17:23" s="27" customFormat="1" ht="17.25">
      <c r="Q6" s="69"/>
      <c r="R6" s="69"/>
      <c r="S6" s="69"/>
      <c r="T6" s="69"/>
      <c r="U6" s="69"/>
      <c r="V6" s="69"/>
      <c r="W6" s="69"/>
    </row>
    <row r="7" spans="1:16" s="61" customFormat="1" ht="17.25">
      <c r="A7" s="1602" t="s">
        <v>1172</v>
      </c>
      <c r="B7" s="1602"/>
      <c r="C7" s="1602"/>
      <c r="D7" s="1602"/>
      <c r="E7" s="1602"/>
      <c r="F7" s="1602"/>
      <c r="G7" s="1602"/>
      <c r="H7" s="1602"/>
      <c r="I7" s="1602"/>
      <c r="J7" s="1602"/>
      <c r="K7" s="1602"/>
      <c r="L7" s="1602"/>
      <c r="M7" s="1602"/>
      <c r="N7" s="1602"/>
      <c r="O7" s="1602"/>
      <c r="P7" s="1602"/>
    </row>
    <row r="8" spans="1:16" s="61" customFormat="1" ht="17.25">
      <c r="A8" s="1601" t="s">
        <v>353</v>
      </c>
      <c r="B8" s="1601"/>
      <c r="C8" s="1601"/>
      <c r="D8" s="1601"/>
      <c r="E8" s="1601"/>
      <c r="F8" s="1601"/>
      <c r="G8" s="1601"/>
      <c r="H8" s="1601"/>
      <c r="I8" s="1601"/>
      <c r="J8" s="1601"/>
      <c r="K8" s="1601"/>
      <c r="L8" s="1601"/>
      <c r="M8" s="1601"/>
      <c r="N8" s="1601"/>
      <c r="O8" s="1601"/>
      <c r="P8" s="1601"/>
    </row>
    <row r="11" spans="3:15" ht="15">
      <c r="C11" s="61"/>
      <c r="D11" s="61"/>
      <c r="E11" s="655"/>
      <c r="F11" s="655"/>
      <c r="G11" s="655" t="s">
        <v>560</v>
      </c>
      <c r="H11" s="655"/>
      <c r="I11" s="655" t="s">
        <v>1363</v>
      </c>
      <c r="J11" s="655"/>
      <c r="K11" s="655" t="s">
        <v>1362</v>
      </c>
      <c r="L11" s="655"/>
      <c r="M11" s="655" t="s">
        <v>193</v>
      </c>
      <c r="N11" s="655"/>
      <c r="O11" s="655" t="s">
        <v>194</v>
      </c>
    </row>
    <row r="12" spans="3:15" ht="15">
      <c r="C12" s="656" t="s">
        <v>195</v>
      </c>
      <c r="D12" s="657"/>
      <c r="E12" s="656" t="s">
        <v>421</v>
      </c>
      <c r="F12" s="655"/>
      <c r="G12" s="656" t="s">
        <v>450</v>
      </c>
      <c r="H12" s="655"/>
      <c r="I12" s="656" t="s">
        <v>1334</v>
      </c>
      <c r="J12" s="655"/>
      <c r="K12" s="656" t="s">
        <v>450</v>
      </c>
      <c r="L12" s="655"/>
      <c r="M12" s="656" t="s">
        <v>451</v>
      </c>
      <c r="N12" s="655"/>
      <c r="O12" s="656" t="s">
        <v>193</v>
      </c>
    </row>
    <row r="14" spans="2:15" ht="15">
      <c r="B14" s="654">
        <v>1</v>
      </c>
      <c r="C14" s="653" t="s">
        <v>197</v>
      </c>
      <c r="E14" s="658">
        <f>+E31</f>
        <v>1099354601.5</v>
      </c>
      <c r="G14" s="659">
        <f>IF($E$20&gt;0,E14/$E$20,0)</f>
        <v>0.21440970772304016</v>
      </c>
      <c r="I14" s="659">
        <v>0.4</v>
      </c>
      <c r="K14" s="659">
        <f>1-K18</f>
        <v>0.4</v>
      </c>
      <c r="M14" s="659">
        <f>E32</f>
        <v>0.04768816130706849</v>
      </c>
      <c r="N14" s="660" t="s">
        <v>446</v>
      </c>
      <c r="O14" s="661">
        <f>K14*M14</f>
        <v>0.019075264522827397</v>
      </c>
    </row>
    <row r="15" spans="5:15" ht="15">
      <c r="E15" s="658"/>
      <c r="G15" s="662"/>
      <c r="K15" s="662"/>
      <c r="M15" s="659"/>
      <c r="N15" s="660"/>
      <c r="O15" s="661"/>
    </row>
    <row r="16" spans="2:15" ht="15">
      <c r="B16" s="654">
        <v>2</v>
      </c>
      <c r="C16" s="653" t="s">
        <v>198</v>
      </c>
      <c r="E16" s="658">
        <v>0</v>
      </c>
      <c r="G16" s="659">
        <f>IF($E$20&gt;0,E16/$E$20,0)</f>
        <v>0</v>
      </c>
      <c r="I16" s="662">
        <v>0</v>
      </c>
      <c r="K16" s="662">
        <f>I16</f>
        <v>0</v>
      </c>
      <c r="M16" s="659">
        <f>E37</f>
        <v>0</v>
      </c>
      <c r="N16" s="660" t="s">
        <v>447</v>
      </c>
      <c r="O16" s="661">
        <f>K16*M16</f>
        <v>0</v>
      </c>
    </row>
    <row r="17" spans="5:15" ht="15" thickBot="1">
      <c r="E17" s="658"/>
      <c r="G17" s="662"/>
      <c r="I17" s="662"/>
      <c r="K17" s="662"/>
      <c r="M17" s="661"/>
      <c r="N17" s="660"/>
      <c r="O17" s="661"/>
    </row>
    <row r="18" spans="2:15" ht="15" thickBot="1">
      <c r="B18" s="654">
        <v>3</v>
      </c>
      <c r="C18" s="653" t="s">
        <v>199</v>
      </c>
      <c r="E18" s="1439">
        <f>+E24</f>
        <v>4028000000</v>
      </c>
      <c r="F18" s="653" t="s">
        <v>445</v>
      </c>
      <c r="G18" s="663">
        <f>IF($E$20&gt;0,E18/$E$20,0)</f>
        <v>0.7855902922769599</v>
      </c>
      <c r="I18" s="663">
        <v>0.6</v>
      </c>
      <c r="K18" s="663">
        <f>MIN(G18,I18)</f>
        <v>0.6</v>
      </c>
      <c r="L18" s="653" t="s">
        <v>448</v>
      </c>
      <c r="M18" s="1443">
        <f>8.65%+0.5%</f>
        <v>0.09150000000000001</v>
      </c>
      <c r="N18" s="653" t="s">
        <v>982</v>
      </c>
      <c r="O18" s="663">
        <f>K18*M18</f>
        <v>0.054900000000000004</v>
      </c>
    </row>
    <row r="19" spans="5:15" ht="15">
      <c r="E19" s="658"/>
      <c r="G19" s="662"/>
      <c r="I19" s="662"/>
      <c r="K19" s="662"/>
      <c r="M19" s="660"/>
      <c r="N19" s="660"/>
      <c r="O19" s="661"/>
    </row>
    <row r="20" spans="2:15" ht="15">
      <c r="B20" s="654">
        <v>4</v>
      </c>
      <c r="C20" s="653" t="s">
        <v>200</v>
      </c>
      <c r="E20" s="658">
        <f>SUM(E14:E18)</f>
        <v>5127354601.5</v>
      </c>
      <c r="G20" s="662">
        <f>SUM(G14:G18)</f>
        <v>1</v>
      </c>
      <c r="I20" s="662">
        <f>SUM(I14:I18)</f>
        <v>1</v>
      </c>
      <c r="K20" s="662">
        <f>SUM(K14:K18)</f>
        <v>1</v>
      </c>
      <c r="M20" s="660"/>
      <c r="N20" s="660"/>
      <c r="O20" s="659">
        <f>SUM(O14:O18)</f>
        <v>0.0739752645228274</v>
      </c>
    </row>
    <row r="21" ht="15">
      <c r="O21" s="661"/>
    </row>
    <row r="22" spans="2:15" ht="15">
      <c r="B22" s="654" t="s">
        <v>424</v>
      </c>
      <c r="G22" s="661"/>
      <c r="O22" s="661"/>
    </row>
    <row r="23" spans="3:15" ht="15">
      <c r="C23" s="653" t="s">
        <v>452</v>
      </c>
      <c r="O23" s="661"/>
    </row>
    <row r="24" spans="2:7" ht="15">
      <c r="B24" s="654">
        <v>5</v>
      </c>
      <c r="C24" s="653" t="s">
        <v>201</v>
      </c>
      <c r="E24" s="658">
        <f>+('WP-DB'!F28+'WP-DB'!E28)/2</f>
        <v>4028000000</v>
      </c>
      <c r="G24" s="664" t="s">
        <v>1285</v>
      </c>
    </row>
    <row r="25" spans="2:7" ht="15">
      <c r="B25" s="654">
        <v>6</v>
      </c>
      <c r="C25" s="653" t="s">
        <v>202</v>
      </c>
      <c r="E25" s="658"/>
      <c r="G25" s="664" t="s">
        <v>1285</v>
      </c>
    </row>
    <row r="26" spans="2:7" ht="15" thickBot="1">
      <c r="B26" s="654">
        <v>7</v>
      </c>
      <c r="C26" s="653" t="s">
        <v>203</v>
      </c>
      <c r="E26" s="1439"/>
      <c r="G26" s="664" t="s">
        <v>1285</v>
      </c>
    </row>
    <row r="27" spans="2:7" ht="15">
      <c r="B27" s="654">
        <v>8</v>
      </c>
      <c r="C27" s="654" t="s">
        <v>199</v>
      </c>
      <c r="E27" s="658">
        <f>SUM(E24:E26)</f>
        <v>4028000000</v>
      </c>
      <c r="G27" s="664"/>
    </row>
    <row r="28" spans="5:7" ht="15">
      <c r="E28" s="658"/>
      <c r="G28" s="664"/>
    </row>
    <row r="29" spans="3:7" ht="15">
      <c r="C29" s="653" t="s">
        <v>453</v>
      </c>
      <c r="E29" s="658"/>
      <c r="G29" s="664"/>
    </row>
    <row r="30" spans="2:7" ht="15">
      <c r="B30" s="654">
        <v>9</v>
      </c>
      <c r="C30" s="653" t="s">
        <v>204</v>
      </c>
      <c r="E30" s="658">
        <f>'WP-DB'!E20</f>
        <v>52426199.57</v>
      </c>
      <c r="G30" s="664" t="s">
        <v>1285</v>
      </c>
    </row>
    <row r="31" spans="2:7" ht="15" thickBot="1">
      <c r="B31" s="654">
        <v>10</v>
      </c>
      <c r="C31" s="653" t="s">
        <v>205</v>
      </c>
      <c r="E31" s="1439">
        <f>+('WP-DB'!F26+'WP-DB'!E26)/2</f>
        <v>1099354601.5</v>
      </c>
      <c r="G31" s="664" t="s">
        <v>1285</v>
      </c>
    </row>
    <row r="32" spans="2:7" ht="15">
      <c r="B32" s="654">
        <v>11</v>
      </c>
      <c r="C32" s="654" t="s">
        <v>986</v>
      </c>
      <c r="E32" s="659">
        <f>E30/E31</f>
        <v>0.04768816130706849</v>
      </c>
      <c r="G32" s="664"/>
    </row>
    <row r="33" spans="5:7" ht="15">
      <c r="E33" s="665"/>
      <c r="G33" s="664"/>
    </row>
    <row r="34" spans="3:7" ht="15">
      <c r="C34" s="653" t="s">
        <v>454</v>
      </c>
      <c r="E34" s="658"/>
      <c r="G34" s="664"/>
    </row>
    <row r="35" spans="2:7" ht="15">
      <c r="B35" s="654">
        <v>12</v>
      </c>
      <c r="C35" s="653" t="s">
        <v>985</v>
      </c>
      <c r="E35" s="658">
        <v>0</v>
      </c>
      <c r="G35" s="664" t="s">
        <v>1285</v>
      </c>
    </row>
    <row r="36" spans="2:7" ht="15" thickBot="1">
      <c r="B36" s="654">
        <v>13</v>
      </c>
      <c r="C36" s="653" t="s">
        <v>198</v>
      </c>
      <c r="E36" s="1439">
        <f>E16</f>
        <v>0</v>
      </c>
      <c r="G36" s="664" t="s">
        <v>1285</v>
      </c>
    </row>
    <row r="37" spans="2:7" ht="15">
      <c r="B37" s="654">
        <v>14</v>
      </c>
      <c r="C37" s="654" t="s">
        <v>206</v>
      </c>
      <c r="E37" s="659">
        <v>0</v>
      </c>
      <c r="G37" s="664"/>
    </row>
    <row r="38" spans="3:7" ht="15">
      <c r="C38" s="654"/>
      <c r="E38" s="659"/>
      <c r="G38" s="664"/>
    </row>
    <row r="39" spans="2:7" ht="27" customHeight="1">
      <c r="B39" s="654">
        <v>15</v>
      </c>
      <c r="C39" s="1524" t="s">
        <v>1388</v>
      </c>
      <c r="E39" s="659"/>
      <c r="G39" s="664"/>
    </row>
    <row r="40" spans="3:7" ht="15">
      <c r="C40" s="793"/>
      <c r="E40" s="659"/>
      <c r="G40" s="664"/>
    </row>
    <row r="41" spans="2:7" ht="15">
      <c r="B41" s="654">
        <v>16</v>
      </c>
      <c r="C41" s="1525" t="s">
        <v>1360</v>
      </c>
      <c r="E41" s="659"/>
      <c r="G41" s="664"/>
    </row>
    <row r="42" spans="3:7" ht="15">
      <c r="C42" s="1525" t="s">
        <v>1361</v>
      </c>
      <c r="E42" s="658"/>
      <c r="G42" s="664"/>
    </row>
    <row r="43" spans="5:7" ht="15">
      <c r="E43" s="666"/>
      <c r="G43" s="667"/>
    </row>
  </sheetData>
  <sheetProtection/>
  <mergeCells count="5">
    <mergeCell ref="A7:P7"/>
    <mergeCell ref="A3:P3"/>
    <mergeCell ref="A4:P4"/>
    <mergeCell ref="A8:P8"/>
    <mergeCell ref="A5:P5"/>
  </mergeCells>
  <printOptions horizontalCentered="1"/>
  <pageMargins left="0.25" right="0.25" top="0.5" bottom="0.5" header="0.5" footer="0.5"/>
  <pageSetup fitToHeight="3" fitToWidth="1" horizontalDpi="600" verticalDpi="600" orientation="portrait" scale="77" r:id="rId2"/>
  <drawing r:id="rId1"/>
</worksheet>
</file>

<file path=xl/worksheets/sheet35.xml><?xml version="1.0" encoding="utf-8"?>
<worksheet xmlns="http://schemas.openxmlformats.org/spreadsheetml/2006/main" xmlns:r="http://schemas.openxmlformats.org/officeDocument/2006/relationships">
  <sheetPr>
    <tabColor rgb="FF7030A0"/>
    <pageSetUpPr fitToPage="1"/>
  </sheetPr>
  <dimension ref="A1:J36"/>
  <sheetViews>
    <sheetView view="pageBreakPreview" zoomScaleNormal="90" zoomScaleSheetLayoutView="100" zoomScalePageLayoutView="0" workbookViewId="0" topLeftCell="A10">
      <selection activeCell="B28" sqref="B28"/>
    </sheetView>
  </sheetViews>
  <sheetFormatPr defaultColWidth="9.00390625" defaultRowHeight="12.75"/>
  <cols>
    <col min="1" max="1" width="7.25390625" style="652" customWidth="1"/>
    <col min="2" max="2" width="5.625" style="652" customWidth="1"/>
    <col min="3" max="3" width="54.00390625" style="652" bestFit="1" customWidth="1"/>
    <col min="4" max="4" width="1.37890625" style="652" customWidth="1"/>
    <col min="5" max="6" width="18.375" style="652" bestFit="1" customWidth="1"/>
    <col min="7" max="7" width="2.375" style="652" customWidth="1"/>
    <col min="8" max="8" width="15.50390625" style="652" customWidth="1"/>
    <col min="9" max="9" width="2.375" style="652" customWidth="1"/>
    <col min="10" max="10" width="10.00390625" style="652" bestFit="1" customWidth="1"/>
    <col min="11" max="16384" width="9.00390625" style="652" customWidth="1"/>
  </cols>
  <sheetData>
    <row r="1" spans="1:10" s="104" customFormat="1" ht="15">
      <c r="A1" s="14" t="s">
        <v>1173</v>
      </c>
      <c r="C1" s="458"/>
      <c r="J1" s="68"/>
    </row>
    <row r="2" s="27" customFormat="1" ht="12.75"/>
    <row r="3" spans="2:9" s="27" customFormat="1" ht="17.25">
      <c r="B3" s="11"/>
      <c r="D3" s="11"/>
      <c r="F3" s="11"/>
      <c r="G3" s="11"/>
      <c r="H3" s="11"/>
      <c r="I3" s="11"/>
    </row>
    <row r="4" spans="1:10" s="27" customFormat="1" ht="17.25">
      <c r="A4" s="1531" t="s">
        <v>228</v>
      </c>
      <c r="B4" s="1531"/>
      <c r="C4" s="1531"/>
      <c r="D4" s="1531"/>
      <c r="E4" s="1531"/>
      <c r="F4" s="1531"/>
      <c r="G4" s="1531"/>
      <c r="H4" s="73"/>
      <c r="I4" s="73"/>
      <c r="J4" s="73"/>
    </row>
    <row r="5" spans="1:10" s="27" customFormat="1" ht="17.25">
      <c r="A5" s="1531" t="s">
        <v>111</v>
      </c>
      <c r="B5" s="1531"/>
      <c r="C5" s="1531"/>
      <c r="D5" s="1531"/>
      <c r="E5" s="1531"/>
      <c r="F5" s="1531"/>
      <c r="G5" s="1531"/>
      <c r="H5" s="73"/>
      <c r="I5" s="73"/>
      <c r="J5" s="73"/>
    </row>
    <row r="6" spans="1:10" s="27" customFormat="1" ht="17.25">
      <c r="A6" s="1532" t="s">
        <v>1377</v>
      </c>
      <c r="B6" s="1532"/>
      <c r="C6" s="1532"/>
      <c r="D6" s="1532"/>
      <c r="E6" s="1532"/>
      <c r="F6" s="1532"/>
      <c r="G6" s="1532"/>
      <c r="H6" s="73"/>
      <c r="I6" s="73"/>
      <c r="J6" s="73"/>
    </row>
    <row r="7" spans="1:10" s="27" customFormat="1" ht="17.25">
      <c r="A7" s="442"/>
      <c r="B7" s="442"/>
      <c r="C7" s="442"/>
      <c r="D7" s="442"/>
      <c r="E7" s="442"/>
      <c r="F7" s="442"/>
      <c r="G7" s="442"/>
      <c r="H7" s="442"/>
      <c r="I7" s="442"/>
      <c r="J7" s="442"/>
    </row>
    <row r="8" spans="1:10" s="27" customFormat="1" ht="17.25">
      <c r="A8" s="1533" t="s">
        <v>1174</v>
      </c>
      <c r="B8" s="1533"/>
      <c r="C8" s="1533"/>
      <c r="D8" s="1533"/>
      <c r="E8" s="1533"/>
      <c r="F8" s="1533"/>
      <c r="G8" s="1533"/>
      <c r="H8" s="29"/>
      <c r="I8" s="29"/>
      <c r="J8" s="29"/>
    </row>
    <row r="9" spans="1:10" s="27" customFormat="1" ht="17.25">
      <c r="A9" s="1531" t="s">
        <v>192</v>
      </c>
      <c r="B9" s="1531"/>
      <c r="C9" s="1531"/>
      <c r="D9" s="1531"/>
      <c r="E9" s="1531"/>
      <c r="F9" s="1531"/>
      <c r="G9" s="1531"/>
      <c r="H9" s="73"/>
      <c r="I9" s="73"/>
      <c r="J9" s="73"/>
    </row>
    <row r="10" spans="1:10" s="27" customFormat="1" ht="17.25">
      <c r="A10" s="1531" t="s">
        <v>352</v>
      </c>
      <c r="B10" s="1531"/>
      <c r="C10" s="1531"/>
      <c r="D10" s="1531"/>
      <c r="E10" s="1531"/>
      <c r="F10" s="1531"/>
      <c r="G10" s="1531"/>
      <c r="H10" s="73"/>
      <c r="I10" s="73"/>
      <c r="J10" s="73"/>
    </row>
    <row r="11" spans="1:10" s="27" customFormat="1" ht="17.25">
      <c r="A11" s="443"/>
      <c r="B11" s="443"/>
      <c r="C11" s="443"/>
      <c r="D11" s="443"/>
      <c r="E11" s="443"/>
      <c r="F11" s="443"/>
      <c r="G11" s="443"/>
      <c r="H11" s="443"/>
      <c r="I11" s="443"/>
      <c r="J11" s="443"/>
    </row>
    <row r="12" s="27" customFormat="1" ht="12.75"/>
    <row r="13" spans="5:6" s="643" customFormat="1" ht="15">
      <c r="E13" s="644"/>
      <c r="F13" s="644"/>
    </row>
    <row r="14" spans="5:8" s="643" customFormat="1" ht="15">
      <c r="E14" s="1472" t="s">
        <v>1381</v>
      </c>
      <c r="F14" s="1472" t="s">
        <v>946</v>
      </c>
      <c r="H14" s="645"/>
    </row>
    <row r="15" spans="5:8" s="643" customFormat="1" ht="15">
      <c r="E15" s="1473"/>
      <c r="F15" s="1473"/>
      <c r="H15" s="645"/>
    </row>
    <row r="16" spans="2:6" s="643" customFormat="1" ht="15">
      <c r="B16" s="646" t="s">
        <v>245</v>
      </c>
      <c r="E16" s="1474"/>
      <c r="F16" s="1474"/>
    </row>
    <row r="17" spans="3:6" s="643" customFormat="1" ht="15">
      <c r="C17" s="643" t="s">
        <v>757</v>
      </c>
      <c r="E17" s="743">
        <v>55097874.26</v>
      </c>
      <c r="F17" s="743">
        <v>59050004.4</v>
      </c>
    </row>
    <row r="18" spans="3:6" s="643" customFormat="1" ht="16.5">
      <c r="C18" s="643" t="s">
        <v>246</v>
      </c>
      <c r="E18" s="745">
        <v>-2671674.69</v>
      </c>
      <c r="F18" s="745">
        <v>-2719707</v>
      </c>
    </row>
    <row r="19" spans="5:6" s="643" customFormat="1" ht="15">
      <c r="E19" s="744"/>
      <c r="F19" s="744"/>
    </row>
    <row r="20" spans="2:8" s="643" customFormat="1" ht="15">
      <c r="B20" s="646" t="s">
        <v>247</v>
      </c>
      <c r="C20" s="646"/>
      <c r="E20" s="746">
        <f>SUM(E17:E18)</f>
        <v>52426199.57</v>
      </c>
      <c r="F20" s="746">
        <f>SUM(F17:F18)</f>
        <v>56330297.4</v>
      </c>
      <c r="H20" s="646"/>
    </row>
    <row r="21" spans="5:6" s="643" customFormat="1" ht="15">
      <c r="E21" s="744"/>
      <c r="F21" s="744"/>
    </row>
    <row r="22" spans="2:6" s="643" customFormat="1" ht="15">
      <c r="B22" s="646" t="s">
        <v>248</v>
      </c>
      <c r="E22" s="744"/>
      <c r="F22" s="744"/>
    </row>
    <row r="23" spans="3:6" s="643" customFormat="1" ht="15">
      <c r="C23" s="643" t="s">
        <v>205</v>
      </c>
      <c r="E23" s="743">
        <v>872152264</v>
      </c>
      <c r="F23" s="743">
        <v>1055276939</v>
      </c>
    </row>
    <row r="24" spans="3:6" s="643" customFormat="1" ht="16.5">
      <c r="C24" s="643" t="s">
        <v>756</v>
      </c>
      <c r="E24" s="745">
        <v>181095000</v>
      </c>
      <c r="F24" s="745">
        <v>90185000</v>
      </c>
    </row>
    <row r="25" spans="5:6" s="643" customFormat="1" ht="15">
      <c r="E25" s="647"/>
      <c r="F25" s="647"/>
    </row>
    <row r="26" spans="2:8" s="643" customFormat="1" ht="15.75" thickBot="1">
      <c r="B26" s="646" t="s">
        <v>313</v>
      </c>
      <c r="C26" s="646"/>
      <c r="E26" s="648">
        <f>SUM(E23:E24)</f>
        <v>1053247264</v>
      </c>
      <c r="F26" s="648">
        <f>SUM(F23:F24)</f>
        <v>1145461939</v>
      </c>
      <c r="H26" s="646"/>
    </row>
    <row r="27" spans="5:8" s="643" customFormat="1" ht="15.75" thickTop="1">
      <c r="E27" s="649"/>
      <c r="F27" s="649"/>
      <c r="H27" s="646"/>
    </row>
    <row r="28" spans="2:8" s="643" customFormat="1" ht="15">
      <c r="B28" s="646" t="s">
        <v>312</v>
      </c>
      <c r="C28" s="646"/>
      <c r="E28" s="650">
        <f>'WP-AR-IS'!G53*1000000</f>
        <v>4065000000</v>
      </c>
      <c r="F28" s="650">
        <f>'WP-AR-IS'!H53*1000000</f>
        <v>3991000000</v>
      </c>
      <c r="H28" s="646"/>
    </row>
    <row r="29" s="643" customFormat="1" ht="15"/>
    <row r="30" spans="2:3" s="643" customFormat="1" ht="15">
      <c r="B30" s="646"/>
      <c r="C30" s="646"/>
    </row>
    <row r="31" s="643" customFormat="1" ht="15">
      <c r="B31" s="651"/>
    </row>
    <row r="32" s="643" customFormat="1" ht="15"/>
    <row r="36" spans="2:3" ht="17.25">
      <c r="B36" s="66"/>
      <c r="C36" s="66"/>
    </row>
  </sheetData>
  <sheetProtection/>
  <mergeCells count="6">
    <mergeCell ref="A10:G10"/>
    <mergeCell ref="A4:G4"/>
    <mergeCell ref="A5:G5"/>
    <mergeCell ref="A6:G6"/>
    <mergeCell ref="A8:G8"/>
    <mergeCell ref="A9:G9"/>
  </mergeCells>
  <printOptions horizontalCentered="1"/>
  <pageMargins left="0.2" right="0.2" top="0.5" bottom="0.25" header="0.3" footer="0.3"/>
  <pageSetup fitToHeight="1" fitToWidth="1" horizontalDpi="600" verticalDpi="600" orientation="portrait" scale="98" r:id="rId2"/>
  <drawing r:id="rId1"/>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IV38"/>
  <sheetViews>
    <sheetView zoomScaleSheetLayoutView="100" zoomScalePageLayoutView="0" workbookViewId="0" topLeftCell="A19">
      <selection activeCell="B28" sqref="B28"/>
    </sheetView>
  </sheetViews>
  <sheetFormatPr defaultColWidth="9.00390625" defaultRowHeight="12.75"/>
  <cols>
    <col min="1" max="1" width="2.375" style="615" customWidth="1"/>
    <col min="2" max="2" width="10.75390625" style="615" bestFit="1" customWidth="1"/>
    <col min="3" max="3" width="4.00390625" style="615" customWidth="1"/>
    <col min="4" max="4" width="38.125" style="616" bestFit="1" customWidth="1"/>
    <col min="5" max="5" width="3.75390625" style="616" customWidth="1"/>
    <col min="6" max="6" width="15.00390625" style="616" bestFit="1" customWidth="1"/>
    <col min="7" max="7" width="3.75390625" style="616" customWidth="1"/>
    <col min="8" max="8" width="10.00390625" style="616" bestFit="1" customWidth="1"/>
    <col min="9" max="9" width="10.875" style="616" customWidth="1"/>
    <col min="10" max="10" width="1.4921875" style="615" customWidth="1"/>
    <col min="11" max="239" width="9.00390625" style="615" customWidth="1"/>
    <col min="240" max="240" width="18.875" style="615" bestFit="1" customWidth="1"/>
    <col min="241" max="241" width="13.00390625" style="615" bestFit="1" customWidth="1"/>
    <col min="242" max="242" width="14.375" style="615" customWidth="1"/>
    <col min="243" max="243" width="12.00390625" style="615" customWidth="1"/>
    <col min="244" max="244" width="12.125" style="615" customWidth="1"/>
    <col min="245" max="245" width="8.625" style="615" customWidth="1"/>
    <col min="246" max="246" width="8.00390625" style="615" customWidth="1"/>
    <col min="247" max="247" width="12.125" style="615" customWidth="1"/>
    <col min="248" max="249" width="11.125" style="615" customWidth="1"/>
    <col min="250" max="250" width="9.75390625" style="615" customWidth="1"/>
    <col min="251" max="251" width="10.75390625" style="615" bestFit="1" customWidth="1"/>
    <col min="252" max="252" width="12.125" style="615" bestFit="1" customWidth="1"/>
    <col min="253" max="253" width="10.125" style="615" customWidth="1"/>
    <col min="254" max="254" width="10.50390625" style="615" bestFit="1" customWidth="1"/>
    <col min="255" max="16384" width="9.00390625" style="615" customWidth="1"/>
  </cols>
  <sheetData>
    <row r="1" spans="1:9" s="104" customFormat="1" ht="15">
      <c r="A1" s="14" t="s">
        <v>1176</v>
      </c>
      <c r="D1" s="20"/>
      <c r="F1" s="20"/>
      <c r="G1" s="20"/>
      <c r="H1" s="20"/>
      <c r="I1" s="168"/>
    </row>
    <row r="2" spans="3:10" s="27" customFormat="1" ht="15">
      <c r="C2" s="20"/>
      <c r="D2" s="20"/>
      <c r="F2" s="20"/>
      <c r="G2" s="20"/>
      <c r="H2" s="20"/>
      <c r="I2" s="20"/>
      <c r="J2" s="20"/>
    </row>
    <row r="3" spans="1:18" s="27" customFormat="1" ht="15">
      <c r="A3" s="1538" t="s">
        <v>227</v>
      </c>
      <c r="B3" s="1538"/>
      <c r="C3" s="1538"/>
      <c r="D3" s="1538"/>
      <c r="E3" s="1538"/>
      <c r="F3" s="1538"/>
      <c r="G3" s="1538"/>
      <c r="H3" s="1538"/>
      <c r="I3" s="1538"/>
      <c r="J3" s="58"/>
      <c r="K3" s="58"/>
      <c r="L3" s="58"/>
      <c r="M3" s="58"/>
      <c r="N3" s="58"/>
      <c r="O3" s="58"/>
      <c r="P3" s="58"/>
      <c r="Q3" s="58"/>
      <c r="R3" s="58"/>
    </row>
    <row r="4" spans="1:18" s="27" customFormat="1" ht="15">
      <c r="A4" s="1538" t="s">
        <v>111</v>
      </c>
      <c r="B4" s="1538"/>
      <c r="C4" s="1538"/>
      <c r="D4" s="1538"/>
      <c r="E4" s="1538"/>
      <c r="F4" s="1538"/>
      <c r="G4" s="1538"/>
      <c r="H4" s="1538"/>
      <c r="I4" s="1538"/>
      <c r="J4" s="58"/>
      <c r="K4" s="58"/>
      <c r="L4" s="58"/>
      <c r="M4" s="58"/>
      <c r="N4" s="58"/>
      <c r="O4" s="58"/>
      <c r="P4" s="58"/>
      <c r="Q4" s="58"/>
      <c r="R4" s="58"/>
    </row>
    <row r="5" spans="1:9" s="27" customFormat="1" ht="15">
      <c r="A5" s="1534" t="s">
        <v>1377</v>
      </c>
      <c r="B5" s="1534"/>
      <c r="C5" s="1534"/>
      <c r="D5" s="1534"/>
      <c r="E5" s="1534"/>
      <c r="F5" s="1534"/>
      <c r="G5" s="1534"/>
      <c r="H5" s="1534"/>
      <c r="I5" s="1534"/>
    </row>
    <row r="6" spans="10:18" s="27" customFormat="1" ht="15">
      <c r="J6" s="58"/>
      <c r="K6" s="58"/>
      <c r="L6" s="58"/>
      <c r="M6" s="58"/>
      <c r="N6" s="58"/>
      <c r="O6" s="58"/>
      <c r="P6" s="58"/>
      <c r="Q6" s="58"/>
      <c r="R6" s="58"/>
    </row>
    <row r="7" spans="1:143" s="611" customFormat="1" ht="15">
      <c r="A7" s="1538" t="s">
        <v>1175</v>
      </c>
      <c r="B7" s="1538"/>
      <c r="C7" s="1538"/>
      <c r="D7" s="1538"/>
      <c r="E7" s="1538"/>
      <c r="F7" s="1538"/>
      <c r="G7" s="1538"/>
      <c r="H7" s="1538"/>
      <c r="I7" s="1538"/>
      <c r="J7" s="58"/>
      <c r="K7" s="58"/>
      <c r="L7" s="58"/>
      <c r="M7" s="58"/>
      <c r="N7" s="58"/>
      <c r="O7" s="58"/>
      <c r="P7" s="58"/>
      <c r="Q7" s="58"/>
      <c r="R7" s="58"/>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0"/>
      <c r="BU7" s="610"/>
      <c r="BV7" s="610"/>
      <c r="BW7" s="610"/>
      <c r="BX7" s="610"/>
      <c r="BY7" s="610"/>
      <c r="BZ7" s="610"/>
      <c r="CA7" s="610"/>
      <c r="CB7" s="610"/>
      <c r="CC7" s="610"/>
      <c r="CD7" s="610"/>
      <c r="CE7" s="610"/>
      <c r="CF7" s="610"/>
      <c r="CG7" s="610"/>
      <c r="CH7" s="610"/>
      <c r="CI7" s="610"/>
      <c r="CJ7" s="610"/>
      <c r="CK7" s="610"/>
      <c r="CL7" s="610"/>
      <c r="CM7" s="610"/>
      <c r="CN7" s="610"/>
      <c r="CO7" s="610"/>
      <c r="CP7" s="610"/>
      <c r="CQ7" s="610"/>
      <c r="CR7" s="610"/>
      <c r="CS7" s="610"/>
      <c r="CT7" s="610"/>
      <c r="CU7" s="610"/>
      <c r="CV7" s="610"/>
      <c r="CW7" s="610"/>
      <c r="CX7" s="610"/>
      <c r="CY7" s="610"/>
      <c r="CZ7" s="610"/>
      <c r="DA7" s="610"/>
      <c r="DB7" s="610"/>
      <c r="DC7" s="610"/>
      <c r="DD7" s="610"/>
      <c r="DE7" s="610"/>
      <c r="DF7" s="610"/>
      <c r="DG7" s="610"/>
      <c r="DH7" s="610"/>
      <c r="DI7" s="610"/>
      <c r="DJ7" s="610"/>
      <c r="DK7" s="610"/>
      <c r="DL7" s="610"/>
      <c r="DM7" s="610"/>
      <c r="DN7" s="610"/>
      <c r="DO7" s="610"/>
      <c r="DP7" s="610"/>
      <c r="DQ7" s="610"/>
      <c r="DR7" s="610"/>
      <c r="DS7" s="610"/>
      <c r="DT7" s="610"/>
      <c r="DU7" s="610"/>
      <c r="DV7" s="610"/>
      <c r="DW7" s="610"/>
      <c r="DX7" s="610"/>
      <c r="DY7" s="610"/>
      <c r="DZ7" s="610"/>
      <c r="EA7" s="610"/>
      <c r="EB7" s="610"/>
      <c r="EC7" s="610"/>
      <c r="ED7" s="610"/>
      <c r="EE7" s="610"/>
      <c r="EF7" s="610"/>
      <c r="EG7" s="610"/>
      <c r="EH7" s="610"/>
      <c r="EI7" s="610"/>
      <c r="EJ7" s="610"/>
      <c r="EK7" s="610"/>
      <c r="EL7" s="610"/>
      <c r="EM7" s="610"/>
    </row>
    <row r="8" spans="1:143" s="611" customFormat="1" ht="15">
      <c r="A8" s="1538" t="s">
        <v>318</v>
      </c>
      <c r="B8" s="1538"/>
      <c r="C8" s="1538"/>
      <c r="D8" s="1538"/>
      <c r="E8" s="1538"/>
      <c r="F8" s="1538"/>
      <c r="G8" s="1538"/>
      <c r="H8" s="1538"/>
      <c r="I8" s="1538"/>
      <c r="J8" s="34"/>
      <c r="K8" s="34"/>
      <c r="L8" s="34"/>
      <c r="M8" s="34"/>
      <c r="N8" s="34"/>
      <c r="O8" s="34"/>
      <c r="P8" s="34"/>
      <c r="Q8" s="34"/>
      <c r="R8" s="34"/>
      <c r="S8" s="612"/>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0"/>
      <c r="BB8" s="610"/>
      <c r="BC8" s="610"/>
      <c r="BD8" s="610"/>
      <c r="BE8" s="610"/>
      <c r="BF8" s="610"/>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0"/>
      <c r="CJ8" s="610"/>
      <c r="CK8" s="610"/>
      <c r="CL8" s="610"/>
      <c r="CM8" s="610"/>
      <c r="CN8" s="610"/>
      <c r="CO8" s="610"/>
      <c r="CP8" s="610"/>
      <c r="CQ8" s="610"/>
      <c r="CR8" s="610"/>
      <c r="CS8" s="610"/>
      <c r="CT8" s="610"/>
      <c r="CU8" s="610"/>
      <c r="CV8" s="610"/>
      <c r="CW8" s="610"/>
      <c r="CX8" s="610"/>
      <c r="CY8" s="610"/>
      <c r="CZ8" s="610"/>
      <c r="DA8" s="610"/>
      <c r="DB8" s="610"/>
      <c r="DC8" s="610"/>
      <c r="DD8" s="610"/>
      <c r="DE8" s="610"/>
      <c r="DF8" s="610"/>
      <c r="DG8" s="610"/>
      <c r="DH8" s="610"/>
      <c r="DI8" s="610"/>
      <c r="DJ8" s="610"/>
      <c r="DK8" s="610"/>
      <c r="DL8" s="610"/>
      <c r="DM8" s="610"/>
      <c r="DN8" s="610"/>
      <c r="DO8" s="610"/>
      <c r="DP8" s="610"/>
      <c r="DQ8" s="610"/>
      <c r="DR8" s="610"/>
      <c r="DS8" s="610"/>
      <c r="DT8" s="610"/>
      <c r="DU8" s="610"/>
      <c r="DV8" s="610"/>
      <c r="DW8" s="610"/>
      <c r="DX8" s="610"/>
      <c r="DY8" s="610"/>
      <c r="DZ8" s="610"/>
      <c r="EA8" s="610"/>
      <c r="EB8" s="610"/>
      <c r="EC8" s="610"/>
      <c r="ED8" s="610"/>
      <c r="EE8" s="610"/>
      <c r="EF8" s="610"/>
      <c r="EG8" s="610"/>
      <c r="EH8" s="610"/>
      <c r="EI8" s="610"/>
      <c r="EJ8" s="610"/>
      <c r="EK8" s="610"/>
      <c r="EL8" s="610"/>
      <c r="EM8" s="610"/>
    </row>
    <row r="9" spans="1:9" s="170" customFormat="1" ht="13.5">
      <c r="A9" s="611"/>
      <c r="B9" s="613"/>
      <c r="C9" s="34"/>
      <c r="D9" s="34"/>
      <c r="E9" s="614"/>
      <c r="F9" s="34"/>
      <c r="G9" s="34"/>
      <c r="H9" s="62"/>
      <c r="I9" s="34"/>
    </row>
    <row r="10" spans="1:9" ht="12.75">
      <c r="A10" s="170"/>
      <c r="B10" s="172"/>
      <c r="C10" s="172"/>
      <c r="D10" s="171"/>
      <c r="E10" s="171"/>
      <c r="F10" s="171"/>
      <c r="G10" s="171"/>
      <c r="H10" s="171"/>
      <c r="I10" s="171"/>
    </row>
    <row r="11" spans="1:140" s="619" customFormat="1" ht="15">
      <c r="A11" s="615"/>
      <c r="B11" s="615"/>
      <c r="C11" s="615"/>
      <c r="D11" s="616"/>
      <c r="E11" s="616"/>
      <c r="F11" s="616"/>
      <c r="G11" s="616"/>
      <c r="H11" s="616"/>
      <c r="I11" s="616"/>
      <c r="J11" s="47"/>
      <c r="K11" s="47"/>
      <c r="L11" s="47"/>
      <c r="M11" s="47"/>
      <c r="N11" s="47"/>
      <c r="O11" s="47"/>
      <c r="P11" s="617"/>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row>
    <row r="12" spans="1:9" s="499" customFormat="1" ht="21" customHeight="1">
      <c r="A12" s="619"/>
      <c r="B12" s="620" t="s">
        <v>193</v>
      </c>
      <c r="C12" s="620"/>
      <c r="D12" s="621"/>
      <c r="E12" s="621"/>
      <c r="F12" s="621" t="s">
        <v>404</v>
      </c>
      <c r="G12" s="621"/>
      <c r="H12" s="622"/>
      <c r="I12" s="623"/>
    </row>
    <row r="13" spans="2:256" s="499" customFormat="1" ht="21" customHeight="1" thickBot="1">
      <c r="B13" s="624" t="s">
        <v>1329</v>
      </c>
      <c r="C13" s="620"/>
      <c r="D13" s="624" t="s">
        <v>262</v>
      </c>
      <c r="E13" s="621"/>
      <c r="F13" s="624" t="s">
        <v>463</v>
      </c>
      <c r="G13" s="621"/>
      <c r="H13" s="625" t="s">
        <v>160</v>
      </c>
      <c r="I13" s="623"/>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row>
    <row r="14" spans="2:256" s="499" customFormat="1" ht="15">
      <c r="B14" s="626" t="s">
        <v>388</v>
      </c>
      <c r="C14" s="620"/>
      <c r="D14" s="627" t="s">
        <v>66</v>
      </c>
      <c r="E14" s="621"/>
      <c r="F14" s="740">
        <v>14906809.283051</v>
      </c>
      <c r="G14" s="621"/>
      <c r="H14" s="628">
        <f>+F14/$F$34</f>
        <v>0.10998341233910668</v>
      </c>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row>
    <row r="15" spans="2:256" s="499" customFormat="1" ht="15">
      <c r="B15" s="626" t="s">
        <v>389</v>
      </c>
      <c r="C15" s="626"/>
      <c r="D15" s="627" t="s">
        <v>64</v>
      </c>
      <c r="E15" s="621"/>
      <c r="F15" s="740">
        <v>20029789.682962</v>
      </c>
      <c r="G15" s="629"/>
      <c r="H15" s="628">
        <f>+F15/$F$34</f>
        <v>0.1477810962719927</v>
      </c>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row>
    <row r="16" spans="2:256" s="499" customFormat="1" ht="15">
      <c r="B16" s="626" t="s">
        <v>390</v>
      </c>
      <c r="C16" s="626"/>
      <c r="D16" s="627" t="s">
        <v>65</v>
      </c>
      <c r="E16" s="630"/>
      <c r="F16" s="740">
        <v>36596589.11761699</v>
      </c>
      <c r="G16" s="629"/>
      <c r="H16" s="628">
        <f>+F16/$F$34</f>
        <v>0.27001202435078897</v>
      </c>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row>
    <row r="17" spans="2:75" s="499" customFormat="1" ht="15">
      <c r="B17" s="626" t="s">
        <v>391</v>
      </c>
      <c r="C17" s="626"/>
      <c r="D17" s="627" t="s">
        <v>94</v>
      </c>
      <c r="E17" s="630"/>
      <c r="F17" s="740">
        <v>0</v>
      </c>
      <c r="G17" s="629"/>
      <c r="H17" s="628">
        <f>+F17/$F$34</f>
        <v>0</v>
      </c>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row>
    <row r="18" spans="2:75" s="499" customFormat="1" ht="15">
      <c r="B18" s="626" t="s">
        <v>393</v>
      </c>
      <c r="C18" s="626"/>
      <c r="D18" s="627" t="s">
        <v>251</v>
      </c>
      <c r="E18" s="630"/>
      <c r="F18" s="740">
        <v>5150351.155699</v>
      </c>
      <c r="G18" s="629"/>
      <c r="H18" s="628">
        <f>+F18/$F$34</f>
        <v>0.03799962715646288</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row>
    <row r="19" spans="2:75" s="499" customFormat="1" ht="15">
      <c r="B19" s="626"/>
      <c r="C19" s="626"/>
      <c r="D19" s="627"/>
      <c r="E19" s="630"/>
      <c r="F19" s="740"/>
      <c r="G19" s="629"/>
      <c r="H19" s="628"/>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row>
    <row r="20" spans="2:75" s="499" customFormat="1" ht="15">
      <c r="B20" s="626">
        <v>122</v>
      </c>
      <c r="C20" s="626"/>
      <c r="D20" s="627" t="s">
        <v>408</v>
      </c>
      <c r="E20" s="630"/>
      <c r="F20" s="740">
        <v>851176.0183199999</v>
      </c>
      <c r="G20" s="629"/>
      <c r="H20" s="628">
        <f>+F20/$F$34</f>
        <v>0.006280032246906642</v>
      </c>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row>
    <row r="21" spans="2:75" s="499" customFormat="1" ht="15">
      <c r="B21" s="626"/>
      <c r="C21" s="631"/>
      <c r="D21" s="627"/>
      <c r="E21" s="630"/>
      <c r="F21" s="740"/>
      <c r="G21" s="629"/>
      <c r="H21" s="628"/>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row>
    <row r="22" spans="2:9" s="499" customFormat="1" ht="15">
      <c r="B22" s="626" t="s">
        <v>409</v>
      </c>
      <c r="D22" s="627" t="s">
        <v>405</v>
      </c>
      <c r="F22" s="740">
        <v>3152195.3552759998</v>
      </c>
      <c r="G22" s="629"/>
      <c r="H22" s="628">
        <f>+F22/$F$34</f>
        <v>0.023257103176795975</v>
      </c>
      <c r="I22" s="104"/>
    </row>
    <row r="23" spans="2:9" s="499" customFormat="1" ht="15">
      <c r="B23" s="626"/>
      <c r="C23" s="631"/>
      <c r="D23" s="627"/>
      <c r="E23" s="632"/>
      <c r="F23" s="740"/>
      <c r="G23" s="629"/>
      <c r="H23" s="628"/>
      <c r="I23" s="104"/>
    </row>
    <row r="24" spans="2:9" s="499" customFormat="1" ht="15">
      <c r="B24" s="626" t="s">
        <v>410</v>
      </c>
      <c r="D24" s="627" t="s">
        <v>412</v>
      </c>
      <c r="F24" s="741">
        <v>2877850.0853089998</v>
      </c>
      <c r="G24" s="629"/>
      <c r="H24" s="628">
        <f>+F24/$F$34</f>
        <v>0.021232965859605553</v>
      </c>
      <c r="I24" s="104"/>
    </row>
    <row r="25" spans="2:9" s="499" customFormat="1" ht="15">
      <c r="B25" s="626"/>
      <c r="C25" s="626"/>
      <c r="D25" s="627"/>
      <c r="F25" s="741"/>
      <c r="G25" s="629"/>
      <c r="H25" s="628"/>
      <c r="I25" s="104"/>
    </row>
    <row r="26" spans="2:9" s="499" customFormat="1" ht="15">
      <c r="B26" s="626" t="s">
        <v>392</v>
      </c>
      <c r="C26" s="626"/>
      <c r="D26" s="627" t="s">
        <v>440</v>
      </c>
      <c r="E26" s="630"/>
      <c r="F26" s="741">
        <v>10153073.484512</v>
      </c>
      <c r="G26" s="629"/>
      <c r="H26" s="628">
        <f>+F26/$F$34</f>
        <v>0.07491003918766063</v>
      </c>
      <c r="I26" s="104"/>
    </row>
    <row r="27" spans="2:9" s="499" customFormat="1" ht="15.75" thickBot="1">
      <c r="B27" s="626"/>
      <c r="C27" s="626"/>
      <c r="D27" s="627"/>
      <c r="E27" s="630"/>
      <c r="F27" s="740"/>
      <c r="G27" s="629"/>
      <c r="H27" s="628"/>
      <c r="I27" s="104"/>
    </row>
    <row r="28" spans="2:9" s="499" customFormat="1" ht="15.75" thickBot="1">
      <c r="B28" s="633" t="s">
        <v>411</v>
      </c>
      <c r="D28" s="627" t="s">
        <v>284</v>
      </c>
      <c r="F28" s="740">
        <v>37421507.14024399</v>
      </c>
      <c r="G28" s="634"/>
      <c r="H28" s="635">
        <f>+F28/$F$34</f>
        <v>0.27609832339076545</v>
      </c>
      <c r="I28" s="104"/>
    </row>
    <row r="29" spans="2:9" s="499" customFormat="1" ht="15">
      <c r="B29" s="633"/>
      <c r="D29" s="627"/>
      <c r="F29" s="740"/>
      <c r="G29" s="634"/>
      <c r="H29" s="636"/>
      <c r="I29" s="104"/>
    </row>
    <row r="30" spans="2:9" s="499" customFormat="1" ht="15">
      <c r="B30" s="633">
        <v>321</v>
      </c>
      <c r="D30" s="627" t="s">
        <v>914</v>
      </c>
      <c r="F30" s="740">
        <v>893357.0357100001</v>
      </c>
      <c r="G30" s="634"/>
      <c r="H30" s="628">
        <f>+F30/$F$34</f>
        <v>0.006591246547727019</v>
      </c>
      <c r="I30" s="104"/>
    </row>
    <row r="31" spans="4:9" s="499" customFormat="1" ht="15">
      <c r="D31" s="627"/>
      <c r="F31" s="740"/>
      <c r="G31" s="634"/>
      <c r="H31" s="636"/>
      <c r="I31" s="104"/>
    </row>
    <row r="32" spans="2:9" s="499" customFormat="1" ht="15.75" thickBot="1">
      <c r="B32" s="637">
        <v>600</v>
      </c>
      <c r="C32" s="638"/>
      <c r="D32" s="639" t="s">
        <v>250</v>
      </c>
      <c r="F32" s="742">
        <v>3504188.2136999997</v>
      </c>
      <c r="G32" s="634"/>
      <c r="H32" s="640">
        <f>F32/$F$34</f>
        <v>0.02585412947218734</v>
      </c>
      <c r="I32" s="104"/>
    </row>
    <row r="33" spans="4:9" s="499" customFormat="1" ht="15">
      <c r="D33" s="627"/>
      <c r="F33" s="577"/>
      <c r="G33" s="634"/>
      <c r="H33" s="636"/>
      <c r="I33" s="104"/>
    </row>
    <row r="34" spans="4:9" s="499" customFormat="1" ht="15">
      <c r="D34" s="627" t="s">
        <v>406</v>
      </c>
      <c r="E34" s="627"/>
      <c r="F34" s="577">
        <f>SUM(F14:F32)</f>
        <v>135536886.5724</v>
      </c>
      <c r="G34" s="629"/>
      <c r="H34" s="641">
        <f>SUM(H14:H32)</f>
        <v>0.9999999999999999</v>
      </c>
      <c r="I34" s="104"/>
    </row>
    <row r="35" spans="6:9" s="499" customFormat="1" ht="9.75" customHeight="1">
      <c r="F35" s="488"/>
      <c r="I35" s="104"/>
    </row>
    <row r="36" spans="1:9" s="642" customFormat="1" ht="15">
      <c r="A36" s="499"/>
      <c r="B36" s="499"/>
      <c r="C36" s="499"/>
      <c r="D36" s="627" t="s">
        <v>407</v>
      </c>
      <c r="E36" s="499"/>
      <c r="F36" s="577">
        <f>F34-F28</f>
        <v>98115379.43215601</v>
      </c>
      <c r="G36" s="629"/>
      <c r="H36" s="641">
        <f>F36/$F$34</f>
        <v>0.7239016766092345</v>
      </c>
      <c r="I36" s="104"/>
    </row>
    <row r="37" spans="1:9" ht="12.75">
      <c r="A37" s="642"/>
      <c r="B37" s="642"/>
      <c r="C37" s="642"/>
      <c r="D37" s="642"/>
      <c r="E37" s="642"/>
      <c r="F37" s="515"/>
      <c r="G37" s="642"/>
      <c r="H37" s="642"/>
      <c r="I37" s="27"/>
    </row>
    <row r="38" ht="12.75">
      <c r="F38" s="515"/>
    </row>
  </sheetData>
  <sheetProtection/>
  <mergeCells count="5">
    <mergeCell ref="A3:I3"/>
    <mergeCell ref="A4:I4"/>
    <mergeCell ref="A5:I5"/>
    <mergeCell ref="A7:I7"/>
    <mergeCell ref="A8:I8"/>
  </mergeCells>
  <printOptions horizontalCentered="1"/>
  <pageMargins left="0.2" right="0.2" top="0.25" bottom="0.25" header="0.3" footer="0.3"/>
  <pageSetup fitToHeight="1" fitToWidth="1" horizontalDpi="600" verticalDpi="600" orientation="landscape" scale="96" r:id="rId2"/>
  <drawing r:id="rId1"/>
</worksheet>
</file>

<file path=xl/worksheets/sheet37.xml><?xml version="1.0" encoding="utf-8"?>
<worksheet xmlns="http://schemas.openxmlformats.org/spreadsheetml/2006/main" xmlns:r="http://schemas.openxmlformats.org/officeDocument/2006/relationships">
  <sheetPr>
    <tabColor rgb="FFFF0000"/>
    <pageSetUpPr fitToPage="1"/>
  </sheetPr>
  <dimension ref="A1:L53"/>
  <sheetViews>
    <sheetView view="pageBreakPreview" zoomScaleNormal="90" zoomScaleSheetLayoutView="100" zoomScalePageLayoutView="0" workbookViewId="0" topLeftCell="A28">
      <selection activeCell="B28" sqref="B28"/>
    </sheetView>
  </sheetViews>
  <sheetFormatPr defaultColWidth="9.00390625" defaultRowHeight="12.75"/>
  <cols>
    <col min="1" max="1" width="8.875" style="13" customWidth="1"/>
    <col min="2" max="2" width="3.125" style="13" customWidth="1"/>
    <col min="3" max="3" width="3.875" style="13" customWidth="1"/>
    <col min="4" max="4" width="7.00390625" style="13" customWidth="1"/>
    <col min="5" max="5" width="33.00390625" style="13" customWidth="1"/>
    <col min="6" max="6" width="9.875" style="13" customWidth="1"/>
    <col min="7" max="7" width="11.375" style="13" customWidth="1"/>
    <col min="8" max="8" width="10.50390625" style="13" customWidth="1"/>
    <col min="9" max="9" width="2.875" style="13" customWidth="1"/>
    <col min="10" max="10" width="15.75390625" style="13" bestFit="1" customWidth="1"/>
    <col min="11" max="11" width="16.50390625" style="13" customWidth="1"/>
    <col min="12" max="16384" width="9.00390625" style="13" customWidth="1"/>
  </cols>
  <sheetData>
    <row r="1" spans="1:10" s="17" customFormat="1" ht="15">
      <c r="A1" s="14" t="s">
        <v>1177</v>
      </c>
      <c r="C1" s="20"/>
      <c r="D1" s="67"/>
      <c r="E1" s="20"/>
      <c r="F1" s="20"/>
      <c r="G1" s="20"/>
      <c r="J1" s="68"/>
    </row>
    <row r="2" spans="2:10" ht="17.25">
      <c r="B2" s="12"/>
      <c r="C2" s="11"/>
      <c r="D2" s="43"/>
      <c r="E2" s="11"/>
      <c r="F2" s="11"/>
      <c r="G2" s="11"/>
      <c r="H2" s="11"/>
      <c r="I2" s="11"/>
      <c r="J2" s="691"/>
    </row>
    <row r="3" spans="1:10" ht="17.25">
      <c r="A3" s="1531" t="s">
        <v>228</v>
      </c>
      <c r="B3" s="1531"/>
      <c r="C3" s="1531"/>
      <c r="D3" s="1531"/>
      <c r="E3" s="1531"/>
      <c r="F3" s="1531"/>
      <c r="G3" s="1531"/>
      <c r="H3" s="1531"/>
      <c r="I3" s="1531"/>
      <c r="J3" s="1531"/>
    </row>
    <row r="4" spans="1:10" ht="17.25">
      <c r="A4" s="1531" t="s">
        <v>111</v>
      </c>
      <c r="B4" s="1531"/>
      <c r="C4" s="1531"/>
      <c r="D4" s="1531"/>
      <c r="E4" s="1531"/>
      <c r="F4" s="1531"/>
      <c r="G4" s="1531"/>
      <c r="H4" s="1531"/>
      <c r="I4" s="1531"/>
      <c r="J4" s="1531"/>
    </row>
    <row r="5" spans="1:10" ht="17.25">
      <c r="A5" s="1532" t="s">
        <v>1377</v>
      </c>
      <c r="B5" s="1532"/>
      <c r="C5" s="1532"/>
      <c r="D5" s="1532"/>
      <c r="E5" s="1532"/>
      <c r="F5" s="1532"/>
      <c r="G5" s="1532"/>
      <c r="H5" s="1532"/>
      <c r="I5" s="1532"/>
      <c r="J5" s="1532"/>
    </row>
    <row r="6" spans="1:10" ht="17.25">
      <c r="A6" s="11"/>
      <c r="C6" s="11"/>
      <c r="D6" s="23"/>
      <c r="E6" s="11"/>
      <c r="F6" s="11"/>
      <c r="G6" s="11"/>
      <c r="H6" s="11"/>
      <c r="I6" s="11"/>
      <c r="J6" s="11"/>
    </row>
    <row r="7" spans="1:10" ht="17.25">
      <c r="A7" s="1533" t="s">
        <v>1184</v>
      </c>
      <c r="B7" s="1533"/>
      <c r="C7" s="1533"/>
      <c r="D7" s="1533"/>
      <c r="E7" s="1533"/>
      <c r="F7" s="1533"/>
      <c r="G7" s="1533"/>
      <c r="H7" s="1533"/>
      <c r="I7" s="1533"/>
      <c r="J7" s="1533"/>
    </row>
    <row r="8" spans="1:10" ht="16.5" customHeight="1">
      <c r="A8" s="1605" t="s">
        <v>926</v>
      </c>
      <c r="B8" s="1605"/>
      <c r="C8" s="1605"/>
      <c r="D8" s="1605"/>
      <c r="E8" s="1605"/>
      <c r="F8" s="1605"/>
      <c r="G8" s="1605"/>
      <c r="H8" s="1605"/>
      <c r="I8" s="1605"/>
      <c r="J8" s="1605"/>
    </row>
    <row r="9" spans="1:10" s="51" customFormat="1" ht="15">
      <c r="A9" s="1606" t="s">
        <v>1269</v>
      </c>
      <c r="B9" s="1606"/>
      <c r="C9" s="1606"/>
      <c r="D9" s="1606"/>
      <c r="E9" s="1606"/>
      <c r="F9" s="1606"/>
      <c r="G9" s="1606"/>
      <c r="H9" s="1606"/>
      <c r="I9" s="1606"/>
      <c r="J9" s="1606"/>
    </row>
    <row r="10" spans="2:8" s="51" customFormat="1" ht="15">
      <c r="B10" s="54"/>
      <c r="D10" s="52"/>
      <c r="E10" s="53"/>
      <c r="F10" s="53"/>
      <c r="H10" s="55"/>
    </row>
    <row r="11" spans="4:8" s="51" customFormat="1" ht="12.75" customHeight="1">
      <c r="D11" s="52"/>
      <c r="E11" s="53"/>
      <c r="F11" s="53"/>
      <c r="H11" s="55"/>
    </row>
    <row r="12" spans="2:8" s="51" customFormat="1" ht="15">
      <c r="B12" s="56"/>
      <c r="C12" s="74"/>
      <c r="D12" s="75"/>
      <c r="E12" s="76"/>
      <c r="F12" s="76"/>
      <c r="G12" s="501" t="s">
        <v>560</v>
      </c>
      <c r="H12" s="501" t="s">
        <v>560</v>
      </c>
    </row>
    <row r="13" spans="2:8" s="51" customFormat="1" ht="15">
      <c r="B13" s="1604" t="s">
        <v>112</v>
      </c>
      <c r="C13" s="1604"/>
      <c r="D13" s="1604"/>
      <c r="E13" s="1604"/>
      <c r="F13" s="77"/>
      <c r="G13" s="908" t="s">
        <v>1378</v>
      </c>
      <c r="H13" s="908" t="s">
        <v>918</v>
      </c>
    </row>
    <row r="14" spans="2:12" s="51" customFormat="1" ht="12.75" customHeight="1">
      <c r="B14" s="1603" t="s">
        <v>109</v>
      </c>
      <c r="C14" s="1603"/>
      <c r="D14" s="1603"/>
      <c r="E14" s="1603"/>
      <c r="F14" s="123"/>
      <c r="G14" s="123" t="s">
        <v>110</v>
      </c>
      <c r="H14" s="123" t="s">
        <v>356</v>
      </c>
      <c r="K14" s="57"/>
      <c r="L14" s="57"/>
    </row>
    <row r="15" s="27" customFormat="1" ht="12.75"/>
    <row r="16" s="27" customFormat="1" ht="12.75">
      <c r="C16" s="898" t="s">
        <v>253</v>
      </c>
    </row>
    <row r="17" spans="4:8" s="27" customFormat="1" ht="12.75">
      <c r="D17" s="27" t="s">
        <v>775</v>
      </c>
      <c r="G17" s="1445">
        <v>1866</v>
      </c>
      <c r="H17" s="1445">
        <v>2396</v>
      </c>
    </row>
    <row r="18" spans="4:8" s="27" customFormat="1" ht="12.75">
      <c r="D18" s="27" t="s">
        <v>776</v>
      </c>
      <c r="G18" s="1445">
        <v>160</v>
      </c>
      <c r="H18" s="1445">
        <v>165</v>
      </c>
    </row>
    <row r="19" spans="4:8" s="27" customFormat="1" ht="12.75">
      <c r="D19" s="27" t="s">
        <v>777</v>
      </c>
      <c r="G19" s="1446">
        <v>599</v>
      </c>
      <c r="H19" s="1446">
        <v>614</v>
      </c>
    </row>
    <row r="20" spans="3:8" s="27" customFormat="1" ht="12.75">
      <c r="C20" s="898" t="s">
        <v>257</v>
      </c>
      <c r="G20" s="900">
        <f>SUM(G17:G19)</f>
        <v>2625</v>
      </c>
      <c r="H20" s="900">
        <f>SUM(H17:H19)</f>
        <v>3175</v>
      </c>
    </row>
    <row r="21" spans="7:8" s="27" customFormat="1" ht="12.75">
      <c r="G21" s="901"/>
      <c r="H21" s="901"/>
    </row>
    <row r="22" spans="3:8" s="27" customFormat="1" ht="12.75">
      <c r="C22" s="898" t="s">
        <v>114</v>
      </c>
      <c r="G22" s="902"/>
      <c r="H22" s="902"/>
    </row>
    <row r="23" spans="4:8" s="27" customFormat="1" ht="12.75">
      <c r="D23" s="27" t="s">
        <v>96</v>
      </c>
      <c r="G23" s="1445">
        <v>689</v>
      </c>
      <c r="H23" s="1445">
        <v>996</v>
      </c>
    </row>
    <row r="24" spans="4:8" s="27" customFormat="1" ht="12.75">
      <c r="D24" s="27" t="s">
        <v>778</v>
      </c>
      <c r="G24" s="1445">
        <v>236</v>
      </c>
      <c r="H24" s="1445">
        <v>361</v>
      </c>
    </row>
    <row r="25" spans="4:8" s="27" customFormat="1" ht="12.75">
      <c r="D25" s="27" t="s">
        <v>254</v>
      </c>
      <c r="G25" s="1447">
        <v>599</v>
      </c>
      <c r="H25" s="1447">
        <v>614</v>
      </c>
    </row>
    <row r="26" spans="4:8" s="27" customFormat="1" ht="12.75">
      <c r="D26" s="27" t="s">
        <v>779</v>
      </c>
      <c r="G26" s="1445">
        <v>415</v>
      </c>
      <c r="H26" s="1445">
        <v>442</v>
      </c>
    </row>
    <row r="27" spans="4:8" s="27" customFormat="1" ht="12.75">
      <c r="D27" s="27" t="s">
        <v>780</v>
      </c>
      <c r="G27" s="1445">
        <v>154</v>
      </c>
      <c r="H27" s="1445">
        <v>120</v>
      </c>
    </row>
    <row r="28" spans="4:8" s="27" customFormat="1" ht="12.75">
      <c r="D28" s="27" t="s">
        <v>72</v>
      </c>
      <c r="G28" s="1446">
        <v>237</v>
      </c>
      <c r="H28" s="1446">
        <v>232</v>
      </c>
    </row>
    <row r="29" spans="3:8" s="27" customFormat="1" ht="12.75">
      <c r="C29" s="898" t="s">
        <v>256</v>
      </c>
      <c r="G29" s="900">
        <f>SUM(G23:G28)</f>
        <v>2330</v>
      </c>
      <c r="H29" s="900">
        <f>SUM(H23:H28)</f>
        <v>2765</v>
      </c>
    </row>
    <row r="30" spans="7:8" s="27" customFormat="1" ht="12.75">
      <c r="G30" s="901"/>
      <c r="H30" s="901"/>
    </row>
    <row r="31" spans="3:8" s="27" customFormat="1" ht="15.75" thickBot="1">
      <c r="C31" s="332" t="s">
        <v>781</v>
      </c>
      <c r="D31" s="898"/>
      <c r="E31" s="898"/>
      <c r="F31" s="898"/>
      <c r="G31" s="903">
        <f>G20-G29</f>
        <v>295</v>
      </c>
      <c r="H31" s="903">
        <f>H20-H29</f>
        <v>410</v>
      </c>
    </row>
    <row r="32" spans="7:8" s="27" customFormat="1" ht="13.5" thickTop="1">
      <c r="G32" s="901"/>
      <c r="H32" s="901"/>
    </row>
    <row r="33" spans="3:8" s="27" customFormat="1" ht="12.75">
      <c r="C33" s="898" t="s">
        <v>782</v>
      </c>
      <c r="G33" s="901"/>
      <c r="H33" s="901"/>
    </row>
    <row r="34" spans="4:8" s="27" customFormat="1" ht="12.75">
      <c r="D34" s="27" t="s">
        <v>887</v>
      </c>
      <c r="G34" s="1445">
        <v>14</v>
      </c>
      <c r="H34" s="1445">
        <v>21</v>
      </c>
    </row>
    <row r="35" spans="4:8" s="27" customFormat="1" ht="12.75">
      <c r="D35" s="27" t="s">
        <v>69</v>
      </c>
      <c r="G35" s="1446">
        <v>11</v>
      </c>
      <c r="H35" s="1446">
        <v>94</v>
      </c>
    </row>
    <row r="36" spans="4:8" s="27" customFormat="1" ht="12.75">
      <c r="D36" s="898" t="s">
        <v>255</v>
      </c>
      <c r="G36" s="900">
        <f>SUM(G34:G35)</f>
        <v>25</v>
      </c>
      <c r="H36" s="900">
        <f>SUM(H34:H35)</f>
        <v>115</v>
      </c>
    </row>
    <row r="37" spans="7:8" s="27" customFormat="1" ht="12.75">
      <c r="G37" s="901"/>
      <c r="H37" s="901"/>
    </row>
    <row r="38" spans="3:8" s="27" customFormat="1" ht="12.75">
      <c r="C38" s="898" t="s">
        <v>783</v>
      </c>
      <c r="G38" s="901"/>
      <c r="H38" s="901"/>
    </row>
    <row r="39" spans="4:8" s="27" customFormat="1" ht="12.75">
      <c r="D39" s="27" t="s">
        <v>784</v>
      </c>
      <c r="G39" s="1448">
        <v>90</v>
      </c>
      <c r="H39" s="1448">
        <v>90</v>
      </c>
    </row>
    <row r="40" spans="4:8" s="27" customFormat="1" ht="12.75">
      <c r="D40" s="27" t="s">
        <v>785</v>
      </c>
      <c r="G40" s="1448">
        <v>55</v>
      </c>
      <c r="H40" s="1448">
        <v>59</v>
      </c>
    </row>
    <row r="41" spans="4:8" s="27" customFormat="1" ht="12.75">
      <c r="D41" s="27" t="s">
        <v>788</v>
      </c>
      <c r="G41" s="1448">
        <v>116</v>
      </c>
      <c r="H41" s="1448">
        <v>116</v>
      </c>
    </row>
    <row r="42" spans="4:8" s="27" customFormat="1" ht="12.75">
      <c r="D42" s="27" t="s">
        <v>786</v>
      </c>
      <c r="G42" s="1448">
        <v>-12</v>
      </c>
      <c r="H42" s="1448">
        <v>-9</v>
      </c>
    </row>
    <row r="43" spans="4:8" s="27" customFormat="1" ht="12.75">
      <c r="D43" s="27" t="s">
        <v>787</v>
      </c>
      <c r="G43" s="906">
        <v>-3</v>
      </c>
      <c r="H43" s="906">
        <v>-3</v>
      </c>
    </row>
    <row r="44" spans="4:8" s="27" customFormat="1" ht="12.75">
      <c r="D44" s="898" t="s">
        <v>255</v>
      </c>
      <c r="G44" s="900">
        <f>SUM(G39:G43)</f>
        <v>246</v>
      </c>
      <c r="H44" s="900">
        <f>SUM(H39:H43)</f>
        <v>253</v>
      </c>
    </row>
    <row r="45" spans="7:8" s="27" customFormat="1" ht="12.75">
      <c r="G45" s="901"/>
      <c r="H45" s="901"/>
    </row>
    <row r="46" spans="3:8" s="27" customFormat="1" ht="15.75" thickBot="1">
      <c r="C46" s="332" t="s">
        <v>789</v>
      </c>
      <c r="D46" s="898"/>
      <c r="E46" s="898"/>
      <c r="F46" s="898"/>
      <c r="G46" s="903">
        <f>G31+G36-G44</f>
        <v>74</v>
      </c>
      <c r="H46" s="903">
        <f>H31+H36-H44</f>
        <v>272</v>
      </c>
    </row>
    <row r="47" spans="7:8" s="27" customFormat="1" ht="13.5" thickTop="1">
      <c r="G47" s="901"/>
      <c r="H47" s="901"/>
    </row>
    <row r="48" spans="4:8" s="27" customFormat="1" ht="12.75">
      <c r="D48" s="27" t="s">
        <v>790</v>
      </c>
      <c r="G48" s="904">
        <v>0</v>
      </c>
      <c r="H48" s="906">
        <v>0</v>
      </c>
    </row>
    <row r="49" spans="4:8" s="27" customFormat="1" ht="12.75">
      <c r="D49" s="27" t="s">
        <v>791</v>
      </c>
      <c r="G49" s="905">
        <f>+G48+G46</f>
        <v>74</v>
      </c>
      <c r="H49" s="905">
        <f>+H48+H46</f>
        <v>272</v>
      </c>
    </row>
    <row r="50" spans="7:8" s="27" customFormat="1" ht="12.75">
      <c r="G50" s="905"/>
      <c r="H50" s="905"/>
    </row>
    <row r="51" spans="4:8" s="27" customFormat="1" ht="12.75">
      <c r="D51" s="27" t="s">
        <v>575</v>
      </c>
      <c r="G51" s="1448">
        <f>H53</f>
        <v>3991</v>
      </c>
      <c r="H51" s="1448">
        <v>3719</v>
      </c>
    </row>
    <row r="52" spans="7:8" s="27" customFormat="1" ht="12.75">
      <c r="G52" s="905"/>
      <c r="H52" s="905"/>
    </row>
    <row r="53" spans="4:8" s="27" customFormat="1" ht="13.5" thickBot="1">
      <c r="D53" s="27" t="s">
        <v>576</v>
      </c>
      <c r="G53" s="907">
        <f>+G51+G49</f>
        <v>4065</v>
      </c>
      <c r="H53" s="907">
        <f>+H51+H49</f>
        <v>3991</v>
      </c>
    </row>
  </sheetData>
  <sheetProtection/>
  <mergeCells count="8">
    <mergeCell ref="B14:E14"/>
    <mergeCell ref="B13:E13"/>
    <mergeCell ref="A3:J3"/>
    <mergeCell ref="A4:J4"/>
    <mergeCell ref="A5:J5"/>
    <mergeCell ref="A7:J7"/>
    <mergeCell ref="A8:J8"/>
    <mergeCell ref="A9:J9"/>
  </mergeCells>
  <printOptions horizontalCentered="1"/>
  <pageMargins left="0.2" right="0.2" top="0.25" bottom="0.25" header="0.3" footer="0.3"/>
  <pageSetup fitToHeight="1" fitToWidth="1" horizontalDpi="600" verticalDpi="600" orientation="portrait" scale="93" r:id="rId2"/>
  <drawing r:id="rId1"/>
</worksheet>
</file>

<file path=xl/worksheets/sheet38.xml><?xml version="1.0" encoding="utf-8"?>
<worksheet xmlns="http://schemas.openxmlformats.org/spreadsheetml/2006/main" xmlns:r="http://schemas.openxmlformats.org/officeDocument/2006/relationships">
  <sheetPr>
    <tabColor rgb="FFFF0000"/>
  </sheetPr>
  <dimension ref="A1:J116"/>
  <sheetViews>
    <sheetView view="pageBreakPreview" zoomScaleNormal="115" zoomScaleSheetLayoutView="100" zoomScalePageLayoutView="110" workbookViewId="0" topLeftCell="A91">
      <selection activeCell="B28" sqref="B28"/>
    </sheetView>
  </sheetViews>
  <sheetFormatPr defaultColWidth="7.00390625" defaultRowHeight="12.75"/>
  <cols>
    <col min="1" max="1" width="9.375" style="80" bestFit="1" customWidth="1"/>
    <col min="2" max="2" width="45.25390625" style="124" customWidth="1"/>
    <col min="3" max="3" width="3.625" style="80" customWidth="1"/>
    <col min="4" max="5" width="18.75390625" style="80" customWidth="1"/>
    <col min="6" max="6" width="1.12109375" style="80" customWidth="1"/>
    <col min="7" max="7" width="11.25390625" style="80" bestFit="1" customWidth="1"/>
    <col min="8" max="16384" width="7.00390625" style="80" customWidth="1"/>
  </cols>
  <sheetData>
    <row r="1" spans="1:7" s="17" customFormat="1" ht="15">
      <c r="A1" s="14" t="s">
        <v>1178</v>
      </c>
      <c r="B1" s="127"/>
      <c r="C1" s="20"/>
      <c r="G1" s="102"/>
    </row>
    <row r="2" spans="2:7" s="13" customFormat="1" ht="18">
      <c r="B2" s="128"/>
      <c r="C2" s="11"/>
      <c r="D2" s="43"/>
      <c r="E2" s="11"/>
      <c r="F2" s="11"/>
      <c r="G2" s="11"/>
    </row>
    <row r="3" spans="2:7" s="13" customFormat="1" ht="18">
      <c r="B3" s="128"/>
      <c r="C3" s="11"/>
      <c r="D3" s="43"/>
      <c r="E3" s="11"/>
      <c r="F3" s="11"/>
      <c r="G3" s="11"/>
    </row>
    <row r="4" spans="1:7" s="13" customFormat="1" ht="17.25">
      <c r="A4" s="1531" t="s">
        <v>228</v>
      </c>
      <c r="B4" s="1531"/>
      <c r="C4" s="1531"/>
      <c r="D4" s="1531"/>
      <c r="E4" s="1531"/>
      <c r="F4" s="1531"/>
      <c r="G4" s="1531"/>
    </row>
    <row r="5" spans="1:7" s="13" customFormat="1" ht="17.25">
      <c r="A5" s="1531" t="s">
        <v>111</v>
      </c>
      <c r="B5" s="1531"/>
      <c r="C5" s="1531"/>
      <c r="D5" s="1531"/>
      <c r="E5" s="1531"/>
      <c r="F5" s="1531"/>
      <c r="G5" s="1531"/>
    </row>
    <row r="6" spans="1:7" s="13" customFormat="1" ht="17.25">
      <c r="A6" s="1532" t="s">
        <v>1377</v>
      </c>
      <c r="B6" s="1532"/>
      <c r="C6" s="1532"/>
      <c r="D6" s="1532"/>
      <c r="E6" s="1532"/>
      <c r="F6" s="1532"/>
      <c r="G6" s="1532"/>
    </row>
    <row r="7" spans="1:7" s="13" customFormat="1" ht="12" customHeight="1">
      <c r="A7" s="11"/>
      <c r="B7" s="63"/>
      <c r="C7" s="11"/>
      <c r="D7" s="41"/>
      <c r="E7" s="11"/>
      <c r="F7" s="11"/>
      <c r="G7" s="11"/>
    </row>
    <row r="8" spans="1:7" s="13" customFormat="1" ht="17.25">
      <c r="A8" s="1533" t="s">
        <v>1179</v>
      </c>
      <c r="B8" s="1533"/>
      <c r="C8" s="1533"/>
      <c r="D8" s="1533"/>
      <c r="E8" s="1533"/>
      <c r="F8" s="1533"/>
      <c r="G8" s="1533"/>
    </row>
    <row r="9" spans="1:7" s="13" customFormat="1" ht="17.25">
      <c r="A9" s="1533" t="s">
        <v>1282</v>
      </c>
      <c r="B9" s="1533"/>
      <c r="C9" s="1533"/>
      <c r="D9" s="1533"/>
      <c r="E9" s="1533"/>
      <c r="F9" s="1533"/>
      <c r="G9" s="1533"/>
    </row>
    <row r="10" spans="1:10" s="13" customFormat="1" ht="15">
      <c r="A10" s="1606" t="s">
        <v>1269</v>
      </c>
      <c r="B10" s="1606"/>
      <c r="C10" s="1606"/>
      <c r="D10" s="1606"/>
      <c r="E10" s="1606"/>
      <c r="F10" s="1606"/>
      <c r="G10" s="1606"/>
      <c r="H10" s="1391"/>
      <c r="I10" s="1391"/>
      <c r="J10" s="1391"/>
    </row>
    <row r="11" spans="1:6" ht="12" customHeight="1">
      <c r="A11" s="78"/>
      <c r="B11" s="129"/>
      <c r="C11" s="79"/>
      <c r="D11" s="82"/>
      <c r="E11" s="79"/>
      <c r="F11" s="79"/>
    </row>
    <row r="12" ht="12.75" customHeight="1"/>
    <row r="13" spans="1:5" ht="12.75" customHeight="1">
      <c r="A13" s="79"/>
      <c r="C13" s="124"/>
      <c r="D13" s="125"/>
      <c r="E13" s="124"/>
    </row>
    <row r="14" spans="1:6" ht="12.75" customHeight="1">
      <c r="A14" s="81"/>
      <c r="B14" s="714" t="s">
        <v>61</v>
      </c>
      <c r="C14" s="126" t="s">
        <v>32</v>
      </c>
      <c r="D14" s="713" t="s">
        <v>1383</v>
      </c>
      <c r="E14" s="713" t="s">
        <v>751</v>
      </c>
      <c r="F14" s="122"/>
    </row>
    <row r="15" spans="2:6" ht="12.75" customHeight="1">
      <c r="B15" s="129"/>
      <c r="C15" s="79"/>
      <c r="D15" s="79"/>
      <c r="E15" s="79"/>
      <c r="F15" s="79"/>
    </row>
    <row r="16" spans="1:6" ht="15">
      <c r="A16" s="79"/>
      <c r="B16" s="286" t="s">
        <v>825</v>
      </c>
      <c r="D16" s="134"/>
      <c r="E16" s="134"/>
      <c r="F16" s="134"/>
    </row>
    <row r="17" spans="1:6" ht="15">
      <c r="A17" s="79"/>
      <c r="B17" s="27" t="s">
        <v>835</v>
      </c>
      <c r="D17" s="451"/>
      <c r="E17" s="451"/>
      <c r="F17" s="124"/>
    </row>
    <row r="18" spans="1:6" ht="15">
      <c r="A18" s="79"/>
      <c r="B18" s="279" t="s">
        <v>826</v>
      </c>
      <c r="D18" s="1449">
        <v>67</v>
      </c>
      <c r="E18" s="1449">
        <v>78</v>
      </c>
      <c r="F18" s="124"/>
    </row>
    <row r="19" spans="1:6" ht="15">
      <c r="A19" s="79"/>
      <c r="B19" s="279" t="s">
        <v>827</v>
      </c>
      <c r="D19" s="1449">
        <v>1270</v>
      </c>
      <c r="E19" s="1449">
        <v>1258</v>
      </c>
      <c r="F19" s="124"/>
    </row>
    <row r="20" spans="1:6" ht="15">
      <c r="A20" s="79"/>
      <c r="B20" s="279" t="s">
        <v>828</v>
      </c>
      <c r="D20" s="1449">
        <v>153</v>
      </c>
      <c r="E20" s="1449">
        <v>188</v>
      </c>
      <c r="F20" s="130"/>
    </row>
    <row r="21" spans="1:6" ht="15">
      <c r="A21" s="79"/>
      <c r="B21" s="279" t="s">
        <v>829</v>
      </c>
      <c r="D21" s="1449"/>
      <c r="E21" s="1449"/>
      <c r="F21" s="132"/>
    </row>
    <row r="22" spans="1:6" ht="15">
      <c r="A22" s="79"/>
      <c r="B22" s="288" t="s">
        <v>830</v>
      </c>
      <c r="D22" s="1449">
        <v>82</v>
      </c>
      <c r="E22" s="1449">
        <v>91</v>
      </c>
      <c r="F22" s="132"/>
    </row>
    <row r="23" spans="1:6" ht="15">
      <c r="A23" s="79"/>
      <c r="B23" s="288" t="s">
        <v>831</v>
      </c>
      <c r="D23" s="1449">
        <v>36</v>
      </c>
      <c r="E23" s="1449">
        <v>49</v>
      </c>
      <c r="F23" s="132"/>
    </row>
    <row r="24" spans="1:6" ht="15">
      <c r="A24" s="79"/>
      <c r="B24" s="279" t="s">
        <v>832</v>
      </c>
      <c r="D24" s="1450">
        <v>146</v>
      </c>
      <c r="E24" s="1450">
        <v>261</v>
      </c>
      <c r="F24" s="132"/>
    </row>
    <row r="25" spans="1:6" ht="15">
      <c r="A25" s="79"/>
      <c r="B25" s="280"/>
      <c r="D25" s="452"/>
      <c r="E25" s="452"/>
      <c r="F25" s="124"/>
    </row>
    <row r="26" spans="1:6" ht="15">
      <c r="A26" s="79"/>
      <c r="B26" s="281" t="s">
        <v>833</v>
      </c>
      <c r="D26" s="453">
        <f>SUM(D18:D24)</f>
        <v>1754</v>
      </c>
      <c r="E26" s="453">
        <f>SUM(E18:E24)</f>
        <v>1925</v>
      </c>
      <c r="F26" s="130"/>
    </row>
    <row r="27" spans="1:6" ht="15">
      <c r="A27" s="79"/>
      <c r="B27" s="280"/>
      <c r="D27" s="452"/>
      <c r="E27" s="452"/>
      <c r="F27" s="124"/>
    </row>
    <row r="28" spans="1:6" ht="15">
      <c r="A28" s="79"/>
      <c r="B28" s="282" t="s">
        <v>834</v>
      </c>
      <c r="D28" s="452"/>
      <c r="E28" s="452"/>
      <c r="F28" s="130"/>
    </row>
    <row r="29" spans="1:6" ht="15">
      <c r="A29" s="79"/>
      <c r="B29" s="279" t="s">
        <v>836</v>
      </c>
      <c r="D29" s="452"/>
      <c r="E29" s="452"/>
      <c r="F29" s="130"/>
    </row>
    <row r="30" spans="1:6" ht="15">
      <c r="A30" s="79"/>
      <c r="B30" s="288" t="s">
        <v>826</v>
      </c>
      <c r="D30" s="1449">
        <v>19</v>
      </c>
      <c r="E30" s="1449">
        <v>18</v>
      </c>
      <c r="F30" s="130"/>
    </row>
    <row r="31" spans="1:6" ht="15">
      <c r="A31" s="79"/>
      <c r="B31" s="288" t="s">
        <v>827</v>
      </c>
      <c r="D31" s="1450">
        <v>1495</v>
      </c>
      <c r="E31" s="1450">
        <v>1486</v>
      </c>
      <c r="F31" s="135"/>
    </row>
    <row r="32" spans="1:6" ht="15">
      <c r="A32" s="79"/>
      <c r="B32" s="280"/>
      <c r="D32" s="452"/>
      <c r="E32" s="452"/>
      <c r="F32" s="135"/>
    </row>
    <row r="33" spans="1:6" ht="15">
      <c r="A33" s="79"/>
      <c r="B33" s="281" t="s">
        <v>837</v>
      </c>
      <c r="D33" s="453">
        <f>SUM(D30:D31)</f>
        <v>1514</v>
      </c>
      <c r="E33" s="453">
        <f>SUM(E30:E31)</f>
        <v>1504</v>
      </c>
      <c r="F33" s="135"/>
    </row>
    <row r="34" spans="1:6" ht="15">
      <c r="A34" s="79"/>
      <c r="B34" s="280"/>
      <c r="D34" s="452"/>
      <c r="E34" s="452"/>
      <c r="F34" s="135"/>
    </row>
    <row r="35" spans="1:6" ht="15">
      <c r="A35" s="79"/>
      <c r="B35" s="279" t="s">
        <v>838</v>
      </c>
      <c r="D35" s="452"/>
      <c r="E35" s="452"/>
      <c r="F35" s="130"/>
    </row>
    <row r="36" spans="1:6" ht="15">
      <c r="A36" s="79"/>
      <c r="B36" s="288" t="s">
        <v>826</v>
      </c>
      <c r="D36" s="1449">
        <v>6</v>
      </c>
      <c r="E36" s="1449">
        <v>1</v>
      </c>
      <c r="F36" s="130"/>
    </row>
    <row r="37" spans="1:6" ht="15">
      <c r="A37" s="79"/>
      <c r="B37" s="288" t="s">
        <v>827</v>
      </c>
      <c r="D37" s="1450">
        <v>29</v>
      </c>
      <c r="E37" s="1450">
        <v>36</v>
      </c>
      <c r="F37" s="135"/>
    </row>
    <row r="38" spans="1:6" ht="15">
      <c r="A38" s="79"/>
      <c r="B38" s="280"/>
      <c r="D38" s="452"/>
      <c r="E38" s="452"/>
      <c r="F38" s="135"/>
    </row>
    <row r="39" spans="1:6" ht="15">
      <c r="A39" s="79"/>
      <c r="B39" s="281" t="s">
        <v>842</v>
      </c>
      <c r="D39" s="453">
        <f>SUM(D36:D37)</f>
        <v>35</v>
      </c>
      <c r="E39" s="453">
        <f>SUM(E36:E37)</f>
        <v>37</v>
      </c>
      <c r="F39" s="135"/>
    </row>
    <row r="40" spans="1:6" ht="15">
      <c r="A40" s="79"/>
      <c r="B40" s="280"/>
      <c r="D40" s="452"/>
      <c r="E40" s="452"/>
      <c r="F40" s="135"/>
    </row>
    <row r="41" spans="1:6" ht="15">
      <c r="A41" s="79"/>
      <c r="B41" s="279" t="s">
        <v>839</v>
      </c>
      <c r="D41" s="452"/>
      <c r="E41" s="452"/>
      <c r="F41" s="130"/>
    </row>
    <row r="42" spans="1:6" ht="15">
      <c r="A42" s="79"/>
      <c r="B42" s="288" t="s">
        <v>840</v>
      </c>
      <c r="D42" s="1449">
        <v>588</v>
      </c>
      <c r="E42" s="1449">
        <v>421</v>
      </c>
      <c r="F42" s="130"/>
    </row>
    <row r="43" spans="1:6" ht="15">
      <c r="A43" s="79"/>
      <c r="B43" s="288" t="s">
        <v>841</v>
      </c>
      <c r="D43" s="1450">
        <v>4190</v>
      </c>
      <c r="E43" s="1450">
        <v>4310</v>
      </c>
      <c r="F43" s="135"/>
    </row>
    <row r="44" spans="1:6" ht="15">
      <c r="A44" s="79"/>
      <c r="B44" s="280"/>
      <c r="D44" s="452"/>
      <c r="E44" s="452"/>
      <c r="F44" s="135"/>
    </row>
    <row r="45" spans="1:6" ht="15">
      <c r="A45" s="79"/>
      <c r="B45" s="281" t="s">
        <v>843</v>
      </c>
      <c r="D45" s="453">
        <f>SUM(D42:D43)</f>
        <v>4778</v>
      </c>
      <c r="E45" s="453">
        <f>SUM(E42:E43)</f>
        <v>4731</v>
      </c>
      <c r="F45" s="135"/>
    </row>
    <row r="46" spans="1:6" ht="15">
      <c r="A46" s="79"/>
      <c r="B46" s="280"/>
      <c r="D46" s="452"/>
      <c r="E46" s="452"/>
      <c r="F46" s="135"/>
    </row>
    <row r="47" spans="1:6" ht="15">
      <c r="A47" s="79"/>
      <c r="B47" s="282" t="s">
        <v>844</v>
      </c>
      <c r="D47" s="452"/>
      <c r="E47" s="452"/>
      <c r="F47" s="135"/>
    </row>
    <row r="48" spans="1:6" ht="15">
      <c r="A48" s="79"/>
      <c r="B48" s="279" t="s">
        <v>845</v>
      </c>
      <c r="D48" s="1449">
        <v>258</v>
      </c>
      <c r="E48" s="1449">
        <v>279</v>
      </c>
      <c r="F48" s="135"/>
    </row>
    <row r="49" spans="1:6" ht="15">
      <c r="A49" s="79"/>
      <c r="B49" s="279" t="s">
        <v>846</v>
      </c>
      <c r="D49" s="1449">
        <v>0</v>
      </c>
      <c r="E49" s="1449">
        <v>0</v>
      </c>
      <c r="F49" s="135"/>
    </row>
    <row r="50" spans="1:6" ht="15">
      <c r="A50" s="79"/>
      <c r="B50" s="279" t="s">
        <v>847</v>
      </c>
      <c r="D50" s="1450">
        <v>1196</v>
      </c>
      <c r="E50" s="1450">
        <v>1031</v>
      </c>
      <c r="F50" s="135"/>
    </row>
    <row r="51" spans="1:6" ht="15">
      <c r="A51" s="79"/>
      <c r="B51" s="280"/>
      <c r="D51" s="452"/>
      <c r="E51" s="452"/>
      <c r="F51" s="135"/>
    </row>
    <row r="52" spans="1:6" ht="15">
      <c r="A52" s="79"/>
      <c r="B52" s="284" t="s">
        <v>848</v>
      </c>
      <c r="D52" s="453">
        <f>SUM(D48:D50)</f>
        <v>1454</v>
      </c>
      <c r="E52" s="453">
        <f>SUM(E48:E50)</f>
        <v>1310</v>
      </c>
      <c r="F52" s="135"/>
    </row>
    <row r="53" spans="1:6" ht="15">
      <c r="A53" s="79"/>
      <c r="B53" s="285"/>
      <c r="D53" s="452"/>
      <c r="E53" s="452"/>
      <c r="F53" s="135"/>
    </row>
    <row r="54" spans="1:6" ht="15">
      <c r="A54" s="79"/>
      <c r="B54" s="284" t="s">
        <v>849</v>
      </c>
      <c r="D54" s="453">
        <f>D52+D33+D39+D45</f>
        <v>7781</v>
      </c>
      <c r="E54" s="453">
        <f>E52+E33+E39+E45</f>
        <v>7582</v>
      </c>
      <c r="F54" s="135"/>
    </row>
    <row r="55" spans="1:6" ht="15">
      <c r="A55" s="79"/>
      <c r="B55" s="285"/>
      <c r="D55" s="452"/>
      <c r="E55" s="452"/>
      <c r="F55" s="135"/>
    </row>
    <row r="56" spans="1:6" ht="15">
      <c r="A56" s="79"/>
      <c r="B56" s="284" t="s">
        <v>850</v>
      </c>
      <c r="D56" s="453">
        <f>D54+D26</f>
        <v>9535</v>
      </c>
      <c r="E56" s="453">
        <f>E54+E26</f>
        <v>9507</v>
      </c>
      <c r="F56" s="135"/>
    </row>
    <row r="57" spans="1:6" ht="15">
      <c r="A57" s="79"/>
      <c r="B57" s="280"/>
      <c r="D57" s="452"/>
      <c r="E57" s="452"/>
      <c r="F57" s="135"/>
    </row>
    <row r="58" spans="1:6" ht="15">
      <c r="A58" s="79"/>
      <c r="B58" s="282" t="s">
        <v>851</v>
      </c>
      <c r="D58" s="452"/>
      <c r="E58" s="452"/>
      <c r="F58" s="135"/>
    </row>
    <row r="59" spans="1:6" ht="15">
      <c r="A59" s="79"/>
      <c r="B59" s="282" t="s">
        <v>886</v>
      </c>
      <c r="D59" s="1449">
        <v>10</v>
      </c>
      <c r="E59" s="1449">
        <v>17</v>
      </c>
      <c r="F59" s="135"/>
    </row>
    <row r="60" spans="1:6" ht="15">
      <c r="A60" s="79"/>
      <c r="B60" s="280"/>
      <c r="D60" s="452"/>
      <c r="E60" s="452"/>
      <c r="F60" s="135"/>
    </row>
    <row r="61" spans="1:6" s="291" customFormat="1" ht="15.75" thickBot="1">
      <c r="A61" s="83"/>
      <c r="B61" s="290" t="s">
        <v>852</v>
      </c>
      <c r="D61" s="454">
        <f>D59+D56</f>
        <v>9545</v>
      </c>
      <c r="E61" s="454">
        <f>E59+E56</f>
        <v>9524</v>
      </c>
      <c r="F61" s="278"/>
    </row>
    <row r="62" spans="1:6" s="291" customFormat="1" ht="15.75" thickTop="1">
      <c r="A62" s="83"/>
      <c r="B62" s="290"/>
      <c r="D62" s="292"/>
      <c r="E62" s="292"/>
      <c r="F62" s="278"/>
    </row>
    <row r="63" spans="1:6" ht="15">
      <c r="A63" s="131" t="s">
        <v>449</v>
      </c>
      <c r="B63" s="131" t="s">
        <v>108</v>
      </c>
      <c r="D63" s="132"/>
      <c r="E63" s="132"/>
      <c r="F63" s="124"/>
    </row>
    <row r="64" spans="1:6" ht="15">
      <c r="A64" s="84"/>
      <c r="B64" s="131"/>
      <c r="D64" s="196"/>
      <c r="E64" s="196"/>
      <c r="F64" s="124"/>
    </row>
    <row r="65" spans="1:6" ht="15">
      <c r="A65" s="79"/>
      <c r="D65" s="125"/>
      <c r="E65" s="125"/>
      <c r="F65" s="124"/>
    </row>
    <row r="66" spans="1:6" ht="15">
      <c r="A66" s="81"/>
      <c r="B66" s="714" t="s">
        <v>61</v>
      </c>
      <c r="C66" s="83"/>
      <c r="D66" s="715" t="str">
        <f>D14</f>
        <v>DECEMBER 2015</v>
      </c>
      <c r="E66" s="715" t="str">
        <f>E14</f>
        <v>DECEMBER 2014</v>
      </c>
      <c r="F66" s="133"/>
    </row>
    <row r="67" spans="2:6" ht="15">
      <c r="B67" s="129"/>
      <c r="C67" s="79"/>
      <c r="D67" s="129"/>
      <c r="E67" s="129"/>
      <c r="F67" s="129"/>
    </row>
    <row r="68" spans="1:6" ht="15">
      <c r="A68" s="79"/>
      <c r="B68" s="286" t="s">
        <v>792</v>
      </c>
      <c r="D68" s="134"/>
      <c r="E68" s="134"/>
      <c r="F68" s="134"/>
    </row>
    <row r="69" spans="1:6" ht="15">
      <c r="A69" s="79"/>
      <c r="B69" s="27" t="s">
        <v>793</v>
      </c>
      <c r="D69" s="132"/>
      <c r="E69" s="132"/>
      <c r="F69" s="124"/>
    </row>
    <row r="70" spans="1:6" ht="15">
      <c r="A70" s="79"/>
      <c r="B70" s="279" t="s">
        <v>794</v>
      </c>
      <c r="D70" s="1449">
        <v>363</v>
      </c>
      <c r="E70" s="1449">
        <v>334</v>
      </c>
      <c r="F70" s="124"/>
    </row>
    <row r="71" spans="1:6" ht="15">
      <c r="A71" s="79"/>
      <c r="B71" s="279" t="s">
        <v>795</v>
      </c>
      <c r="D71" s="1449">
        <v>528</v>
      </c>
      <c r="E71" s="1449">
        <v>466</v>
      </c>
      <c r="F71" s="124"/>
    </row>
    <row r="72" spans="1:6" ht="15">
      <c r="A72" s="79"/>
      <c r="B72" s="279" t="s">
        <v>796</v>
      </c>
      <c r="D72" s="1449">
        <v>181</v>
      </c>
      <c r="E72" s="1449">
        <v>90</v>
      </c>
      <c r="F72" s="130"/>
    </row>
    <row r="73" spans="1:6" ht="15">
      <c r="A73" s="79"/>
      <c r="B73" s="279" t="s">
        <v>797</v>
      </c>
      <c r="D73" s="1449">
        <v>20</v>
      </c>
      <c r="E73" s="1449">
        <v>16</v>
      </c>
      <c r="F73" s="132"/>
    </row>
    <row r="74" spans="1:6" ht="15">
      <c r="A74" s="79"/>
      <c r="B74" s="279" t="s">
        <v>798</v>
      </c>
      <c r="D74" s="1450">
        <v>4</v>
      </c>
      <c r="E74" s="1450">
        <v>21</v>
      </c>
      <c r="F74" s="132"/>
    </row>
    <row r="75" spans="1:6" ht="15">
      <c r="A75" s="79"/>
      <c r="B75" s="280"/>
      <c r="D75" s="452"/>
      <c r="E75" s="452"/>
      <c r="F75" s="124"/>
    </row>
    <row r="76" spans="1:6" ht="15">
      <c r="A76" s="79"/>
      <c r="B76" s="281" t="s">
        <v>799</v>
      </c>
      <c r="D76" s="453">
        <f>SUM(D70:D74)</f>
        <v>1096</v>
      </c>
      <c r="E76" s="453">
        <f>SUM(E70:E74)</f>
        <v>927</v>
      </c>
      <c r="F76" s="130"/>
    </row>
    <row r="77" spans="1:6" ht="15">
      <c r="A77" s="79"/>
      <c r="B77" s="280"/>
      <c r="D77" s="452"/>
      <c r="E77" s="452"/>
      <c r="F77" s="124"/>
    </row>
    <row r="78" spans="1:6" ht="15">
      <c r="A78" s="79"/>
      <c r="B78" s="282" t="s">
        <v>800</v>
      </c>
      <c r="D78" s="452"/>
      <c r="E78" s="452"/>
      <c r="F78" s="130"/>
    </row>
    <row r="79" spans="1:6" ht="15">
      <c r="A79" s="79"/>
      <c r="B79" s="279" t="s">
        <v>801</v>
      </c>
      <c r="D79" s="452"/>
      <c r="E79" s="452"/>
      <c r="F79" s="130"/>
    </row>
    <row r="80" spans="1:6" ht="15">
      <c r="A80" s="79"/>
      <c r="B80" s="283" t="s">
        <v>802</v>
      </c>
      <c r="D80" s="452"/>
      <c r="E80" s="452"/>
      <c r="F80" s="124"/>
    </row>
    <row r="81" spans="1:6" ht="15">
      <c r="A81" s="79"/>
      <c r="B81" s="284" t="s">
        <v>803</v>
      </c>
      <c r="D81" s="1449">
        <v>845</v>
      </c>
      <c r="E81" s="1449">
        <v>902</v>
      </c>
      <c r="F81" s="124"/>
    </row>
    <row r="82" spans="1:6" ht="15">
      <c r="A82" s="79"/>
      <c r="B82" s="284" t="s">
        <v>804</v>
      </c>
      <c r="D82" s="1449">
        <v>0</v>
      </c>
      <c r="E82" s="1449">
        <v>86</v>
      </c>
      <c r="F82" s="124"/>
    </row>
    <row r="83" spans="1:6" ht="15">
      <c r="A83" s="79"/>
      <c r="B83" s="283" t="s">
        <v>805</v>
      </c>
      <c r="D83" s="1449"/>
      <c r="E83" s="1449"/>
      <c r="F83" s="124"/>
    </row>
    <row r="84" spans="1:6" ht="15">
      <c r="A84" s="79"/>
      <c r="B84" s="284" t="s">
        <v>854</v>
      </c>
      <c r="D84" s="1449">
        <v>21</v>
      </c>
      <c r="E84" s="1449">
        <v>23</v>
      </c>
      <c r="F84" s="130"/>
    </row>
    <row r="85" spans="1:6" ht="15">
      <c r="A85" s="79"/>
      <c r="B85" s="284" t="s">
        <v>806</v>
      </c>
      <c r="D85" s="1450">
        <v>5</v>
      </c>
      <c r="E85" s="1450">
        <v>44</v>
      </c>
      <c r="F85" s="135"/>
    </row>
    <row r="86" spans="1:6" ht="15">
      <c r="A86" s="79"/>
      <c r="B86" s="280"/>
      <c r="D86" s="452"/>
      <c r="E86" s="452"/>
      <c r="F86" s="135"/>
    </row>
    <row r="87" spans="1:6" ht="15">
      <c r="A87" s="79"/>
      <c r="B87" s="281" t="s">
        <v>807</v>
      </c>
      <c r="D87" s="453">
        <f>SUM(D81:D85)</f>
        <v>871</v>
      </c>
      <c r="E87" s="453">
        <f>SUM(E81:E85)</f>
        <v>1055</v>
      </c>
      <c r="F87" s="135"/>
    </row>
    <row r="88" spans="1:6" ht="15">
      <c r="A88" s="79"/>
      <c r="B88" s="280"/>
      <c r="D88" s="452"/>
      <c r="E88" s="452"/>
      <c r="F88" s="135"/>
    </row>
    <row r="89" spans="1:6" ht="15">
      <c r="A89" s="79"/>
      <c r="B89" s="282" t="s">
        <v>808</v>
      </c>
      <c r="D89" s="452"/>
      <c r="E89" s="452"/>
      <c r="F89" s="135"/>
    </row>
    <row r="90" spans="1:6" ht="15">
      <c r="A90" s="79"/>
      <c r="B90" s="279" t="s">
        <v>809</v>
      </c>
      <c r="D90" s="1449">
        <v>1169</v>
      </c>
      <c r="E90" s="1449">
        <v>1189</v>
      </c>
      <c r="F90" s="135"/>
    </row>
    <row r="91" spans="1:6" ht="15">
      <c r="A91" s="79"/>
      <c r="B91" s="279" t="s">
        <v>810</v>
      </c>
      <c r="D91" s="1449">
        <v>1430</v>
      </c>
      <c r="E91" s="1449">
        <v>1415</v>
      </c>
      <c r="F91" s="135"/>
    </row>
    <row r="92" spans="1:6" ht="15">
      <c r="A92" s="79"/>
      <c r="B92" s="279" t="s">
        <v>811</v>
      </c>
      <c r="D92" s="1449">
        <v>217</v>
      </c>
      <c r="E92" s="1449">
        <v>217</v>
      </c>
      <c r="F92" s="135"/>
    </row>
    <row r="93" spans="1:6" ht="15">
      <c r="A93" s="79"/>
      <c r="B93" s="279" t="s">
        <v>812</v>
      </c>
      <c r="D93" s="1449">
        <v>270</v>
      </c>
      <c r="E93" s="1449">
        <v>279</v>
      </c>
      <c r="F93" s="135"/>
    </row>
    <row r="94" spans="1:6" ht="15">
      <c r="A94" s="79"/>
      <c r="B94" s="279" t="s">
        <v>798</v>
      </c>
      <c r="D94" s="1449">
        <v>15</v>
      </c>
      <c r="E94" s="1449">
        <v>16</v>
      </c>
      <c r="F94" s="135"/>
    </row>
    <row r="95" spans="1:6" ht="15">
      <c r="A95" s="79"/>
      <c r="B95" s="279" t="s">
        <v>813</v>
      </c>
      <c r="D95" s="1450">
        <v>138</v>
      </c>
      <c r="E95" s="1450">
        <v>149</v>
      </c>
      <c r="F95" s="135"/>
    </row>
    <row r="96" spans="1:6" ht="15">
      <c r="A96" s="79"/>
      <c r="B96" s="280"/>
      <c r="D96" s="452"/>
      <c r="E96" s="452"/>
      <c r="F96" s="135"/>
    </row>
    <row r="97" spans="1:6" ht="15">
      <c r="A97" s="79"/>
      <c r="B97" s="284" t="s">
        <v>814</v>
      </c>
      <c r="D97" s="453">
        <f>SUM(D90:D95)</f>
        <v>3239</v>
      </c>
      <c r="E97" s="453">
        <f>SUM(E90:E95)</f>
        <v>3265</v>
      </c>
      <c r="F97" s="135"/>
    </row>
    <row r="98" spans="1:6" ht="15">
      <c r="A98" s="79"/>
      <c r="B98" s="285"/>
      <c r="D98" s="452"/>
      <c r="E98" s="452"/>
      <c r="F98" s="135"/>
    </row>
    <row r="99" spans="1:6" ht="15">
      <c r="A99" s="79"/>
      <c r="B99" s="284" t="s">
        <v>815</v>
      </c>
      <c r="D99" s="453">
        <f>D97+D87</f>
        <v>4110</v>
      </c>
      <c r="E99" s="453">
        <f>E97+E87</f>
        <v>4320</v>
      </c>
      <c r="F99" s="135"/>
    </row>
    <row r="100" spans="1:6" ht="15">
      <c r="A100" s="79"/>
      <c r="B100" s="285"/>
      <c r="D100" s="452"/>
      <c r="E100" s="452"/>
      <c r="F100" s="135"/>
    </row>
    <row r="101" spans="1:6" ht="15">
      <c r="A101" s="79"/>
      <c r="B101" s="284" t="s">
        <v>816</v>
      </c>
      <c r="D101" s="453">
        <f>D99+D76</f>
        <v>5206</v>
      </c>
      <c r="E101" s="453">
        <f>E99+E76</f>
        <v>5247</v>
      </c>
      <c r="F101" s="135"/>
    </row>
    <row r="102" spans="1:6" ht="15">
      <c r="A102" s="79"/>
      <c r="B102" s="280"/>
      <c r="D102" s="452"/>
      <c r="E102" s="452"/>
      <c r="F102" s="135"/>
    </row>
    <row r="103" spans="1:6" ht="15">
      <c r="A103" s="79"/>
      <c r="B103" s="282" t="s">
        <v>817</v>
      </c>
      <c r="D103" s="452"/>
      <c r="E103" s="452"/>
      <c r="F103" s="135"/>
    </row>
    <row r="104" spans="1:6" ht="15">
      <c r="A104" s="79"/>
      <c r="B104" s="282" t="s">
        <v>818</v>
      </c>
      <c r="D104" s="1450">
        <v>299</v>
      </c>
      <c r="E104" s="1450">
        <v>286</v>
      </c>
      <c r="F104" s="135"/>
    </row>
    <row r="105" spans="1:6" ht="15">
      <c r="A105" s="79"/>
      <c r="B105" s="280"/>
      <c r="D105" s="452"/>
      <c r="E105" s="452"/>
      <c r="F105" s="135"/>
    </row>
    <row r="106" spans="1:6" ht="15">
      <c r="A106" s="79"/>
      <c r="B106" s="282" t="s">
        <v>819</v>
      </c>
      <c r="D106" s="452"/>
      <c r="E106" s="452"/>
      <c r="F106" s="135"/>
    </row>
    <row r="107" spans="1:6" ht="15">
      <c r="A107" s="79"/>
      <c r="B107" s="279" t="s">
        <v>820</v>
      </c>
      <c r="D107" s="1449">
        <v>2070</v>
      </c>
      <c r="E107" s="1449">
        <v>1992</v>
      </c>
      <c r="F107" s="135"/>
    </row>
    <row r="108" spans="1:6" ht="15">
      <c r="A108" s="79"/>
      <c r="B108" s="279" t="s">
        <v>821</v>
      </c>
      <c r="D108" s="1449">
        <v>23</v>
      </c>
      <c r="E108" s="1449">
        <v>25</v>
      </c>
      <c r="F108" s="135"/>
    </row>
    <row r="109" spans="1:6" ht="15">
      <c r="A109" s="79"/>
      <c r="B109" s="279" t="s">
        <v>822</v>
      </c>
      <c r="D109" s="1450">
        <v>1966</v>
      </c>
      <c r="E109" s="1450">
        <v>1974</v>
      </c>
      <c r="F109" s="135"/>
    </row>
    <row r="110" spans="1:6" ht="15">
      <c r="A110" s="79"/>
      <c r="B110" s="280"/>
      <c r="D110" s="452"/>
      <c r="E110" s="452"/>
      <c r="F110" s="135"/>
    </row>
    <row r="111" spans="1:6" ht="15">
      <c r="A111" s="79"/>
      <c r="B111" s="289" t="s">
        <v>823</v>
      </c>
      <c r="D111" s="453">
        <f>SUM(D107:D109)</f>
        <v>4059</v>
      </c>
      <c r="E111" s="453">
        <f>SUM(E107:E109)</f>
        <v>3991</v>
      </c>
      <c r="F111" s="135"/>
    </row>
    <row r="112" spans="1:6" s="291" customFormat="1" ht="15.75" thickBot="1">
      <c r="A112" s="83"/>
      <c r="B112" s="290" t="s">
        <v>824</v>
      </c>
      <c r="D112" s="454">
        <f>D111+D104+D101</f>
        <v>9564</v>
      </c>
      <c r="E112" s="454">
        <f>E111+E104+E101</f>
        <v>9524</v>
      </c>
      <c r="F112" s="278"/>
    </row>
    <row r="113" spans="1:6" ht="15.75" thickTop="1">
      <c r="A113" s="79"/>
      <c r="B113" s="130"/>
      <c r="D113" s="287"/>
      <c r="E113" s="287"/>
      <c r="F113" s="135"/>
    </row>
    <row r="115" spans="1:2" ht="15">
      <c r="A115" s="131" t="str">
        <f>A63</f>
        <v>1/  Source:</v>
      </c>
      <c r="B115" s="131" t="str">
        <f>B63</f>
        <v>Annual Financial Statements</v>
      </c>
    </row>
    <row r="116" spans="1:2" ht="15">
      <c r="A116" s="84"/>
      <c r="B116" s="131"/>
    </row>
  </sheetData>
  <sheetProtection/>
  <mergeCells count="6">
    <mergeCell ref="A4:G4"/>
    <mergeCell ref="A5:G5"/>
    <mergeCell ref="A6:G6"/>
    <mergeCell ref="A8:G8"/>
    <mergeCell ref="A10:G10"/>
    <mergeCell ref="A9:G9"/>
  </mergeCells>
  <printOptions horizontalCentered="1"/>
  <pageMargins left="0.25" right="0.25" top="0" bottom="0" header="0.5" footer="0.5"/>
  <pageSetup fitToHeight="2" horizontalDpi="600" verticalDpi="600" orientation="portrait" scale="68" r:id="rId2"/>
  <rowBreaks count="1" manualBreakCount="1">
    <brk id="63" max="6" man="1"/>
  </rowBreaks>
  <drawing r:id="rId1"/>
</worksheet>
</file>

<file path=xl/worksheets/sheet39.xml><?xml version="1.0" encoding="utf-8"?>
<worksheet xmlns="http://schemas.openxmlformats.org/spreadsheetml/2006/main" xmlns:r="http://schemas.openxmlformats.org/officeDocument/2006/relationships">
  <sheetPr>
    <tabColor rgb="FFFF0000"/>
  </sheetPr>
  <dimension ref="A1:V49"/>
  <sheetViews>
    <sheetView view="pageBreakPreview" zoomScale="70" zoomScaleSheetLayoutView="70" zoomScalePageLayoutView="0" workbookViewId="0" topLeftCell="B22">
      <selection activeCell="B28" sqref="B28"/>
    </sheetView>
  </sheetViews>
  <sheetFormatPr defaultColWidth="9.00390625" defaultRowHeight="12.75"/>
  <cols>
    <col min="1" max="1" width="2.75390625" style="300" customWidth="1"/>
    <col min="2" max="2" width="2.625" style="300" customWidth="1"/>
    <col min="3" max="3" width="3.125" style="300" customWidth="1"/>
    <col min="4" max="4" width="2.875" style="300" customWidth="1"/>
    <col min="5" max="5" width="2.25390625" style="300" customWidth="1"/>
    <col min="6" max="6" width="23.50390625" style="300" customWidth="1"/>
    <col min="7" max="7" width="4.25390625" style="300" customWidth="1"/>
    <col min="8" max="8" width="19.00390625" style="300" customWidth="1"/>
    <col min="9" max="9" width="12.625" style="719" bestFit="1" customWidth="1"/>
    <col min="10" max="10" width="2.00390625" style="719" customWidth="1"/>
    <col min="11" max="11" width="13.375" style="719" bestFit="1" customWidth="1"/>
    <col min="12" max="12" width="2.25390625" style="719" customWidth="1"/>
    <col min="13" max="13" width="13.50390625" style="719" bestFit="1" customWidth="1"/>
    <col min="14" max="14" width="2.00390625" style="719" customWidth="1"/>
    <col min="15" max="15" width="12.625" style="719" bestFit="1" customWidth="1"/>
    <col min="16" max="16384" width="8.875" style="300" customWidth="1"/>
  </cols>
  <sheetData>
    <row r="1" spans="1:15" s="17" customFormat="1" ht="15">
      <c r="A1" s="14" t="s">
        <v>1180</v>
      </c>
      <c r="B1" s="127"/>
      <c r="C1" s="20"/>
      <c r="H1" s="102"/>
      <c r="I1" s="716"/>
      <c r="J1" s="716"/>
      <c r="K1" s="716"/>
      <c r="L1" s="716"/>
      <c r="M1" s="716"/>
      <c r="N1" s="716"/>
      <c r="O1" s="716"/>
    </row>
    <row r="2" spans="2:15" s="13" customFormat="1" ht="18">
      <c r="B2" s="128"/>
      <c r="C2" s="11"/>
      <c r="D2" s="43"/>
      <c r="E2" s="11"/>
      <c r="F2" s="11"/>
      <c r="G2" s="11"/>
      <c r="H2" s="11"/>
      <c r="I2" s="717"/>
      <c r="J2" s="717"/>
      <c r="K2" s="717"/>
      <c r="L2" s="717"/>
      <c r="M2" s="717"/>
      <c r="N2" s="717"/>
      <c r="O2" s="717"/>
    </row>
    <row r="3" spans="2:15" s="13" customFormat="1" ht="18">
      <c r="B3" s="128"/>
      <c r="C3" s="11"/>
      <c r="D3" s="43"/>
      <c r="E3" s="11"/>
      <c r="F3" s="11"/>
      <c r="G3" s="11"/>
      <c r="H3" s="11"/>
      <c r="I3" s="717"/>
      <c r="J3" s="717"/>
      <c r="K3" s="717"/>
      <c r="L3" s="717"/>
      <c r="M3" s="717"/>
      <c r="N3" s="717"/>
      <c r="O3" s="717"/>
    </row>
    <row r="4" spans="1:16" s="13" customFormat="1" ht="17.25">
      <c r="A4" s="1531" t="s">
        <v>228</v>
      </c>
      <c r="B4" s="1531"/>
      <c r="C4" s="1531"/>
      <c r="D4" s="1531"/>
      <c r="E4" s="1531"/>
      <c r="F4" s="1531"/>
      <c r="G4" s="1531"/>
      <c r="H4" s="1531"/>
      <c r="I4" s="1531"/>
      <c r="J4" s="1531"/>
      <c r="K4" s="1531"/>
      <c r="L4" s="1531"/>
      <c r="M4" s="1531"/>
      <c r="N4" s="1531"/>
      <c r="O4" s="1531"/>
      <c r="P4" s="73"/>
    </row>
    <row r="5" spans="1:15" s="13" customFormat="1" ht="17.25">
      <c r="A5" s="1531" t="s">
        <v>111</v>
      </c>
      <c r="B5" s="1531"/>
      <c r="C5" s="1531"/>
      <c r="D5" s="1531"/>
      <c r="E5" s="1531"/>
      <c r="F5" s="1531"/>
      <c r="G5" s="1531"/>
      <c r="H5" s="1531"/>
      <c r="I5" s="1531"/>
      <c r="J5" s="1531"/>
      <c r="K5" s="1531"/>
      <c r="L5" s="1531"/>
      <c r="M5" s="1531"/>
      <c r="N5" s="1531"/>
      <c r="O5" s="1531"/>
    </row>
    <row r="6" spans="1:15" s="13" customFormat="1" ht="17.25">
      <c r="A6" s="1532" t="s">
        <v>1377</v>
      </c>
      <c r="B6" s="1532"/>
      <c r="C6" s="1532"/>
      <c r="D6" s="1532"/>
      <c r="E6" s="1532"/>
      <c r="F6" s="1532"/>
      <c r="G6" s="1532"/>
      <c r="H6" s="1532"/>
      <c r="I6" s="1532"/>
      <c r="J6" s="1532"/>
      <c r="K6" s="1532"/>
      <c r="L6" s="1532"/>
      <c r="M6" s="1532"/>
      <c r="N6" s="1532"/>
      <c r="O6" s="1532"/>
    </row>
    <row r="7" spans="1:15" s="13" customFormat="1" ht="12" customHeight="1">
      <c r="A7" s="11"/>
      <c r="B7" s="63"/>
      <c r="C7" s="11"/>
      <c r="D7" s="41"/>
      <c r="E7" s="11"/>
      <c r="F7" s="11"/>
      <c r="G7" s="11"/>
      <c r="H7" s="11"/>
      <c r="I7" s="717"/>
      <c r="J7" s="717"/>
      <c r="K7" s="717"/>
      <c r="L7" s="717"/>
      <c r="M7" s="717"/>
      <c r="N7" s="717"/>
      <c r="O7" s="717"/>
    </row>
    <row r="8" spans="1:16" s="13" customFormat="1" ht="17.25">
      <c r="A8" s="1533" t="s">
        <v>1181</v>
      </c>
      <c r="B8" s="1533"/>
      <c r="C8" s="1533"/>
      <c r="D8" s="1533"/>
      <c r="E8" s="1533"/>
      <c r="F8" s="1533"/>
      <c r="G8" s="1533"/>
      <c r="H8" s="1533"/>
      <c r="I8" s="1533"/>
      <c r="J8" s="1533"/>
      <c r="K8" s="1533"/>
      <c r="L8" s="1533"/>
      <c r="M8" s="1533"/>
      <c r="N8" s="1533"/>
      <c r="O8" s="1533"/>
      <c r="P8" s="1533"/>
    </row>
    <row r="9" spans="1:16" s="13" customFormat="1" ht="17.25">
      <c r="A9" s="1531" t="s">
        <v>913</v>
      </c>
      <c r="B9" s="1531"/>
      <c r="C9" s="1531"/>
      <c r="D9" s="1531"/>
      <c r="E9" s="1531"/>
      <c r="F9" s="1531"/>
      <c r="G9" s="1531"/>
      <c r="H9" s="1531"/>
      <c r="I9" s="1531"/>
      <c r="J9" s="1531"/>
      <c r="K9" s="1531"/>
      <c r="L9" s="1531"/>
      <c r="M9" s="1531"/>
      <c r="N9" s="1531"/>
      <c r="O9" s="1531"/>
      <c r="P9" s="1531"/>
    </row>
    <row r="13" spans="1:16" s="912" customFormat="1" ht="15">
      <c r="A13" s="909" t="s">
        <v>873</v>
      </c>
      <c r="B13" s="910"/>
      <c r="C13" s="910"/>
      <c r="D13" s="910"/>
      <c r="E13" s="910"/>
      <c r="F13" s="910"/>
      <c r="G13" s="910"/>
      <c r="H13" s="910"/>
      <c r="I13" s="911"/>
      <c r="J13" s="911"/>
      <c r="K13" s="911"/>
      <c r="L13" s="911"/>
      <c r="M13" s="911"/>
      <c r="N13" s="911"/>
      <c r="O13" s="911"/>
      <c r="P13" s="910"/>
    </row>
    <row r="14" spans="1:16" s="912" customFormat="1" ht="15">
      <c r="A14" s="909" t="s">
        <v>874</v>
      </c>
      <c r="B14" s="910"/>
      <c r="C14" s="910"/>
      <c r="D14" s="910"/>
      <c r="E14" s="910"/>
      <c r="F14" s="910"/>
      <c r="G14" s="910"/>
      <c r="H14" s="910"/>
      <c r="I14" s="911"/>
      <c r="J14" s="911"/>
      <c r="K14" s="911"/>
      <c r="L14" s="911"/>
      <c r="M14" s="911"/>
      <c r="N14" s="911"/>
      <c r="O14" s="911"/>
      <c r="P14" s="910"/>
    </row>
    <row r="15" spans="1:16" s="912" customFormat="1" ht="15">
      <c r="A15" s="909" t="s">
        <v>875</v>
      </c>
      <c r="B15" s="910"/>
      <c r="C15" s="910"/>
      <c r="D15" s="910"/>
      <c r="E15" s="910"/>
      <c r="F15" s="910"/>
      <c r="G15" s="910"/>
      <c r="H15" s="910"/>
      <c r="I15" s="911"/>
      <c r="J15" s="911"/>
      <c r="K15" s="911"/>
      <c r="L15" s="911"/>
      <c r="M15" s="911"/>
      <c r="N15" s="911"/>
      <c r="O15" s="911"/>
      <c r="P15" s="910"/>
    </row>
    <row r="16" spans="1:16" s="912" customFormat="1" ht="15">
      <c r="A16" s="910"/>
      <c r="B16" s="910"/>
      <c r="C16" s="910"/>
      <c r="D16" s="910"/>
      <c r="E16" s="910"/>
      <c r="F16" s="910"/>
      <c r="G16" s="910"/>
      <c r="H16" s="910"/>
      <c r="I16" s="913">
        <v>42004</v>
      </c>
      <c r="J16" s="914"/>
      <c r="K16" s="914"/>
      <c r="L16" s="914"/>
      <c r="M16" s="914"/>
      <c r="N16" s="914"/>
      <c r="O16" s="915">
        <v>42369</v>
      </c>
      <c r="P16" s="910"/>
    </row>
    <row r="17" spans="1:16" s="912" customFormat="1" ht="15">
      <c r="A17" s="916"/>
      <c r="B17" s="916"/>
      <c r="C17" s="916"/>
      <c r="D17" s="916"/>
      <c r="E17" s="916"/>
      <c r="F17" s="916"/>
      <c r="G17" s="916"/>
      <c r="H17" s="916"/>
      <c r="I17" s="917" t="s">
        <v>215</v>
      </c>
      <c r="J17" s="918"/>
      <c r="K17" s="917"/>
      <c r="L17" s="918"/>
      <c r="M17" s="917"/>
      <c r="N17" s="918"/>
      <c r="O17" s="917" t="s">
        <v>215</v>
      </c>
      <c r="P17" s="910"/>
    </row>
    <row r="18" spans="1:16" s="912" customFormat="1" ht="15">
      <c r="A18" s="916"/>
      <c r="B18" s="916"/>
      <c r="C18" s="916"/>
      <c r="D18" s="916"/>
      <c r="E18" s="916"/>
      <c r="F18" s="916"/>
      <c r="G18" s="916"/>
      <c r="H18" s="919"/>
      <c r="I18" s="920" t="s">
        <v>876</v>
      </c>
      <c r="J18" s="918"/>
      <c r="K18" s="920" t="s">
        <v>877</v>
      </c>
      <c r="L18" s="918"/>
      <c r="M18" s="920" t="s">
        <v>878</v>
      </c>
      <c r="N18" s="918"/>
      <c r="O18" s="920" t="s">
        <v>876</v>
      </c>
      <c r="P18" s="910"/>
    </row>
    <row r="19" spans="1:16" s="912" customFormat="1" ht="15">
      <c r="A19" s="916"/>
      <c r="B19" s="916"/>
      <c r="C19" s="916"/>
      <c r="D19" s="916"/>
      <c r="E19" s="916"/>
      <c r="F19" s="916"/>
      <c r="G19" s="916"/>
      <c r="H19" s="919"/>
      <c r="I19" s="921"/>
      <c r="J19" s="921"/>
      <c r="K19" s="921"/>
      <c r="L19" s="921"/>
      <c r="M19" s="921"/>
      <c r="N19" s="921"/>
      <c r="O19" s="921"/>
      <c r="P19" s="910"/>
    </row>
    <row r="20" spans="1:16" s="912" customFormat="1" ht="15">
      <c r="A20" s="916" t="s">
        <v>770</v>
      </c>
      <c r="B20" s="916"/>
      <c r="C20" s="916"/>
      <c r="D20" s="916"/>
      <c r="E20" s="916"/>
      <c r="F20" s="916"/>
      <c r="G20" s="916"/>
      <c r="H20" s="919"/>
      <c r="I20" s="918"/>
      <c r="J20" s="918"/>
      <c r="K20" s="918"/>
      <c r="L20" s="918"/>
      <c r="M20" s="918"/>
      <c r="N20" s="918"/>
      <c r="O20" s="918"/>
      <c r="P20" s="910"/>
    </row>
    <row r="21" spans="1:22" s="912" customFormat="1" ht="15">
      <c r="A21" s="916"/>
      <c r="B21" s="916"/>
      <c r="C21" s="916" t="s">
        <v>758</v>
      </c>
      <c r="D21" s="916"/>
      <c r="E21" s="916"/>
      <c r="F21" s="916"/>
      <c r="G21" s="916"/>
      <c r="H21" s="919"/>
      <c r="I21" s="821">
        <v>160</v>
      </c>
      <c r="J21" s="821"/>
      <c r="K21" s="821">
        <v>0</v>
      </c>
      <c r="L21" s="821"/>
      <c r="M21" s="821">
        <v>0</v>
      </c>
      <c r="N21" s="922"/>
      <c r="O21" s="922">
        <f>SUM(I21:M21)</f>
        <v>160</v>
      </c>
      <c r="P21" s="910"/>
      <c r="Q21" s="923"/>
      <c r="R21" s="923"/>
      <c r="S21" s="923"/>
      <c r="T21" s="923"/>
      <c r="U21" s="923"/>
      <c r="V21" s="923"/>
    </row>
    <row r="22" spans="1:22" s="912" customFormat="1" ht="15">
      <c r="A22" s="916"/>
      <c r="B22" s="916"/>
      <c r="C22" s="916" t="s">
        <v>759</v>
      </c>
      <c r="D22" s="916"/>
      <c r="E22" s="916"/>
      <c r="F22" s="916"/>
      <c r="G22" s="916"/>
      <c r="H22" s="919"/>
      <c r="I22" s="924">
        <v>261</v>
      </c>
      <c r="J22" s="821"/>
      <c r="K22" s="924">
        <v>275</v>
      </c>
      <c r="L22" s="821"/>
      <c r="M22" s="924">
        <v>-108</v>
      </c>
      <c r="N22" s="922"/>
      <c r="O22" s="925">
        <f>SUM(I22:M22)</f>
        <v>428</v>
      </c>
      <c r="P22" s="910"/>
      <c r="Q22" s="923"/>
      <c r="R22" s="923"/>
      <c r="S22" s="923"/>
      <c r="T22" s="923"/>
      <c r="U22" s="923"/>
      <c r="V22" s="923"/>
    </row>
    <row r="23" spans="1:16" s="912" customFormat="1" ht="15">
      <c r="A23" s="916"/>
      <c r="B23" s="916"/>
      <c r="C23" s="916"/>
      <c r="D23" s="916"/>
      <c r="E23" s="916"/>
      <c r="G23" s="916"/>
      <c r="H23" s="919"/>
      <c r="I23" s="926"/>
      <c r="J23" s="922"/>
      <c r="K23" s="926"/>
      <c r="L23" s="922"/>
      <c r="M23" s="926"/>
      <c r="N23" s="922"/>
      <c r="O23" s="926"/>
      <c r="P23" s="927"/>
    </row>
    <row r="24" spans="1:16" s="912" customFormat="1" ht="15">
      <c r="A24" s="916"/>
      <c r="B24" s="916"/>
      <c r="C24" s="916"/>
      <c r="D24" s="916"/>
      <c r="E24" s="916"/>
      <c r="G24" s="916"/>
      <c r="H24" s="919"/>
      <c r="I24" s="922"/>
      <c r="J24" s="922"/>
      <c r="K24" s="922"/>
      <c r="L24" s="922"/>
      <c r="M24" s="922"/>
      <c r="N24" s="922"/>
      <c r="O24" s="922"/>
      <c r="P24" s="910"/>
    </row>
    <row r="25" spans="1:16" s="912" customFormat="1" ht="15">
      <c r="A25" s="916"/>
      <c r="B25" s="916"/>
      <c r="C25" s="916"/>
      <c r="D25" s="916"/>
      <c r="E25" s="916"/>
      <c r="F25" s="916" t="s">
        <v>771</v>
      </c>
      <c r="G25" s="916"/>
      <c r="H25" s="919"/>
      <c r="I25" s="925">
        <f>+I22+I21</f>
        <v>421</v>
      </c>
      <c r="J25" s="922"/>
      <c r="K25" s="925">
        <f>+K22+K21</f>
        <v>275</v>
      </c>
      <c r="L25" s="922"/>
      <c r="M25" s="925">
        <f>+M22+M21</f>
        <v>-108</v>
      </c>
      <c r="N25" s="922"/>
      <c r="O25" s="925">
        <f>SUM(O21:O24)</f>
        <v>588</v>
      </c>
      <c r="P25" s="910"/>
    </row>
    <row r="26" spans="1:16" s="912" customFormat="1" ht="15">
      <c r="A26" s="916"/>
      <c r="B26" s="916"/>
      <c r="C26" s="916"/>
      <c r="D26" s="916"/>
      <c r="E26" s="916"/>
      <c r="F26" s="916"/>
      <c r="G26" s="916"/>
      <c r="H26" s="919"/>
      <c r="I26" s="926"/>
      <c r="J26" s="922"/>
      <c r="K26" s="926"/>
      <c r="L26" s="922"/>
      <c r="M26" s="926"/>
      <c r="N26" s="922"/>
      <c r="O26" s="926"/>
      <c r="P26" s="910"/>
    </row>
    <row r="27" spans="1:16" s="912" customFormat="1" ht="15">
      <c r="A27" s="916" t="s">
        <v>772</v>
      </c>
      <c r="B27" s="916"/>
      <c r="C27" s="916"/>
      <c r="D27" s="916"/>
      <c r="E27" s="916"/>
      <c r="F27" s="916"/>
      <c r="G27" s="916"/>
      <c r="H27" s="919"/>
      <c r="I27" s="922"/>
      <c r="J27" s="922"/>
      <c r="K27" s="922"/>
      <c r="L27" s="922"/>
      <c r="M27" s="922"/>
      <c r="N27" s="922"/>
      <c r="O27" s="922"/>
      <c r="P27" s="910"/>
    </row>
    <row r="28" spans="1:18" s="912" customFormat="1" ht="15">
      <c r="A28" s="916"/>
      <c r="B28" s="916"/>
      <c r="C28" s="916" t="s">
        <v>879</v>
      </c>
      <c r="D28" s="916"/>
      <c r="E28" s="916"/>
      <c r="F28" s="916"/>
      <c r="G28" s="916"/>
      <c r="H28" s="919"/>
      <c r="I28" s="821">
        <v>1963</v>
      </c>
      <c r="J28" s="821"/>
      <c r="K28" s="821">
        <v>40</v>
      </c>
      <c r="L28" s="821"/>
      <c r="M28" s="821">
        <v>-3</v>
      </c>
      <c r="N28" s="922"/>
      <c r="O28" s="922">
        <f>SUM(I28:M28)</f>
        <v>2000</v>
      </c>
      <c r="P28" s="910"/>
      <c r="R28" s="928"/>
    </row>
    <row r="29" spans="1:16" s="912" customFormat="1" ht="15">
      <c r="A29" s="916"/>
      <c r="B29" s="916"/>
      <c r="C29" s="916" t="s">
        <v>880</v>
      </c>
      <c r="D29" s="916"/>
      <c r="E29" s="916"/>
      <c r="F29" s="916"/>
      <c r="G29" s="916"/>
      <c r="H29" s="919"/>
      <c r="I29" s="922"/>
      <c r="J29" s="922"/>
      <c r="K29" s="922"/>
      <c r="L29" s="922"/>
      <c r="M29" s="922"/>
      <c r="N29" s="922"/>
      <c r="O29" s="922"/>
      <c r="P29" s="910"/>
    </row>
    <row r="30" spans="1:16" s="912" customFormat="1" ht="15">
      <c r="A30" s="916"/>
      <c r="B30" s="916"/>
      <c r="C30" s="916"/>
      <c r="D30" s="916" t="s">
        <v>881</v>
      </c>
      <c r="E30" s="916"/>
      <c r="F30" s="916"/>
      <c r="G30" s="916"/>
      <c r="H30" s="919"/>
      <c r="I30" s="821">
        <v>2420</v>
      </c>
      <c r="J30" s="821"/>
      <c r="K30" s="821">
        <v>7</v>
      </c>
      <c r="L30" s="821"/>
      <c r="M30" s="821">
        <v>0</v>
      </c>
      <c r="N30" s="922"/>
      <c r="O30" s="922">
        <f>SUM(I30:M30)</f>
        <v>2427</v>
      </c>
      <c r="P30" s="910"/>
    </row>
    <row r="31" spans="1:16" s="912" customFormat="1" ht="15">
      <c r="A31" s="916"/>
      <c r="B31" s="916"/>
      <c r="C31" s="916" t="s">
        <v>35</v>
      </c>
      <c r="D31" s="916"/>
      <c r="E31" s="916"/>
      <c r="F31" s="916"/>
      <c r="G31" s="916"/>
      <c r="H31" s="919"/>
      <c r="I31" s="821">
        <v>1985</v>
      </c>
      <c r="J31" s="821"/>
      <c r="K31" s="821">
        <v>17</v>
      </c>
      <c r="L31" s="821"/>
      <c r="M31" s="821">
        <v>0</v>
      </c>
      <c r="N31" s="922"/>
      <c r="O31" s="922">
        <f>SUM(I31:M31)</f>
        <v>2002</v>
      </c>
      <c r="P31" s="910"/>
    </row>
    <row r="32" spans="1:16" s="912" customFormat="1" ht="15">
      <c r="A32" s="916"/>
      <c r="B32" s="916"/>
      <c r="C32" s="916" t="s">
        <v>115</v>
      </c>
      <c r="D32" s="916"/>
      <c r="E32" s="916"/>
      <c r="F32" s="916"/>
      <c r="G32" s="916"/>
      <c r="H32" s="919"/>
      <c r="I32" s="924">
        <v>1204</v>
      </c>
      <c r="J32" s="821"/>
      <c r="K32" s="924">
        <v>42</v>
      </c>
      <c r="L32" s="821"/>
      <c r="M32" s="924">
        <v>-1</v>
      </c>
      <c r="N32" s="922"/>
      <c r="O32" s="925">
        <f>SUM(I32:M32)</f>
        <v>1245</v>
      </c>
      <c r="P32" s="910"/>
    </row>
    <row r="33" spans="1:16" s="912" customFormat="1" ht="15">
      <c r="A33" s="916"/>
      <c r="B33" s="916"/>
      <c r="C33" s="916"/>
      <c r="D33" s="916"/>
      <c r="E33" s="916"/>
      <c r="G33" s="916"/>
      <c r="H33" s="919"/>
      <c r="I33" s="926"/>
      <c r="J33" s="922"/>
      <c r="K33" s="926"/>
      <c r="L33" s="922"/>
      <c r="M33" s="926"/>
      <c r="N33" s="922"/>
      <c r="O33" s="926"/>
      <c r="P33" s="910"/>
    </row>
    <row r="34" spans="1:16" s="912" customFormat="1" ht="15">
      <c r="A34" s="916"/>
      <c r="B34" s="916"/>
      <c r="C34" s="916"/>
      <c r="D34" s="916"/>
      <c r="E34" s="916"/>
      <c r="F34" s="916"/>
      <c r="G34" s="916"/>
      <c r="H34" s="919"/>
      <c r="I34" s="922"/>
      <c r="J34" s="922"/>
      <c r="K34" s="922"/>
      <c r="L34" s="922"/>
      <c r="M34" s="922"/>
      <c r="N34" s="922"/>
      <c r="O34" s="922"/>
      <c r="P34" s="910"/>
    </row>
    <row r="35" spans="1:19" s="912" customFormat="1" ht="15">
      <c r="A35" s="916"/>
      <c r="B35" s="916"/>
      <c r="C35" s="916"/>
      <c r="D35" s="916"/>
      <c r="E35" s="916"/>
      <c r="F35" s="916" t="s">
        <v>1270</v>
      </c>
      <c r="G35" s="916"/>
      <c r="H35" s="919"/>
      <c r="I35" s="924">
        <f>+I32+I31+I30+I28</f>
        <v>7572</v>
      </c>
      <c r="J35" s="821"/>
      <c r="K35" s="924">
        <f>+K32+K31+K30+K28</f>
        <v>106</v>
      </c>
      <c r="L35" s="821"/>
      <c r="M35" s="924">
        <f>+M32+M31+M30+M28</f>
        <v>-4</v>
      </c>
      <c r="N35" s="922"/>
      <c r="O35" s="925">
        <f>IF(SUM(O28:O32)=SUM(I35:M35),SUM(O28:O32),"Off")</f>
        <v>7674</v>
      </c>
      <c r="P35" s="927"/>
      <c r="Q35" s="928"/>
      <c r="S35" s="928"/>
    </row>
    <row r="36" spans="1:19" s="912" customFormat="1" ht="15">
      <c r="A36" s="916"/>
      <c r="B36" s="916"/>
      <c r="C36" s="916"/>
      <c r="D36" s="916"/>
      <c r="E36" s="916"/>
      <c r="F36" s="916"/>
      <c r="G36" s="916"/>
      <c r="H36" s="919"/>
      <c r="I36" s="377"/>
      <c r="J36" s="870"/>
      <c r="K36" s="377"/>
      <c r="L36" s="870"/>
      <c r="M36" s="377"/>
      <c r="N36" s="870"/>
      <c r="O36" s="926"/>
      <c r="P36" s="927"/>
      <c r="Q36" s="928"/>
      <c r="S36" s="928"/>
    </row>
    <row r="37" spans="1:16" s="912" customFormat="1" ht="15">
      <c r="A37" s="916" t="s">
        <v>1330</v>
      </c>
      <c r="B37" s="916"/>
      <c r="C37" s="916"/>
      <c r="D37" s="916"/>
      <c r="E37" s="916"/>
      <c r="F37" s="916"/>
      <c r="G37" s="916"/>
      <c r="H37" s="919"/>
      <c r="I37" s="922"/>
      <c r="J37" s="922"/>
      <c r="K37" s="922"/>
      <c r="L37" s="922"/>
      <c r="M37" s="922"/>
      <c r="N37" s="922"/>
      <c r="O37" s="922"/>
      <c r="P37" s="927"/>
    </row>
    <row r="38" spans="1:16" s="912" customFormat="1" ht="15">
      <c r="A38" s="916"/>
      <c r="B38" s="916"/>
      <c r="C38" s="916" t="s">
        <v>879</v>
      </c>
      <c r="D38" s="916"/>
      <c r="E38" s="916"/>
      <c r="F38" s="916"/>
      <c r="G38" s="916"/>
      <c r="H38" s="919"/>
      <c r="I38" s="821">
        <v>740</v>
      </c>
      <c r="J38" s="821"/>
      <c r="K38" s="821">
        <f>38-5</f>
        <v>33</v>
      </c>
      <c r="L38" s="821"/>
      <c r="M38" s="821">
        <v>-3</v>
      </c>
      <c r="N38" s="922"/>
      <c r="O38" s="922">
        <f>SUM(I38:M38)</f>
        <v>770</v>
      </c>
      <c r="P38" s="910"/>
    </row>
    <row r="39" spans="1:16" s="912" customFormat="1" ht="15">
      <c r="A39" s="916"/>
      <c r="B39" s="916"/>
      <c r="C39" s="916" t="s">
        <v>880</v>
      </c>
      <c r="D39" s="916"/>
      <c r="E39" s="916"/>
      <c r="F39" s="916"/>
      <c r="G39" s="916"/>
      <c r="H39" s="919"/>
      <c r="I39" s="922"/>
      <c r="J39" s="922"/>
      <c r="K39" s="922"/>
      <c r="L39" s="922"/>
      <c r="M39" s="922"/>
      <c r="N39" s="922"/>
      <c r="O39" s="922"/>
      <c r="P39" s="910"/>
    </row>
    <row r="40" spans="1:16" s="912" customFormat="1" ht="15">
      <c r="A40" s="916"/>
      <c r="B40" s="916"/>
      <c r="C40" s="916"/>
      <c r="D40" s="916" t="s">
        <v>881</v>
      </c>
      <c r="E40" s="916"/>
      <c r="F40" s="916"/>
      <c r="G40" s="916"/>
      <c r="H40" s="919"/>
      <c r="I40" s="821">
        <v>881</v>
      </c>
      <c r="J40" s="821"/>
      <c r="K40" s="821">
        <v>103</v>
      </c>
      <c r="L40" s="821"/>
      <c r="M40" s="821">
        <v>0</v>
      </c>
      <c r="N40" s="922"/>
      <c r="O40" s="922">
        <f>SUM(I40:M40)</f>
        <v>984</v>
      </c>
      <c r="P40" s="910"/>
    </row>
    <row r="41" spans="1:16" s="912" customFormat="1" ht="15">
      <c r="A41" s="916"/>
      <c r="B41" s="916"/>
      <c r="C41" s="916" t="s">
        <v>35</v>
      </c>
      <c r="D41" s="916"/>
      <c r="E41" s="916"/>
      <c r="F41" s="916"/>
      <c r="G41" s="916"/>
      <c r="H41" s="919"/>
      <c r="I41" s="821">
        <v>1139</v>
      </c>
      <c r="J41" s="821"/>
      <c r="K41" s="821">
        <v>47</v>
      </c>
      <c r="L41" s="821"/>
      <c r="M41" s="821">
        <v>0</v>
      </c>
      <c r="N41" s="922"/>
      <c r="O41" s="922">
        <f>SUM(I41:M41)</f>
        <v>1186</v>
      </c>
      <c r="P41" s="910"/>
    </row>
    <row r="42" spans="1:16" s="912" customFormat="1" ht="15">
      <c r="A42" s="916"/>
      <c r="B42" s="916"/>
      <c r="C42" s="916" t="s">
        <v>115</v>
      </c>
      <c r="D42" s="916"/>
      <c r="E42" s="916"/>
      <c r="F42" s="916"/>
      <c r="G42" s="916"/>
      <c r="H42" s="919"/>
      <c r="I42" s="924">
        <v>502</v>
      </c>
      <c r="J42" s="821"/>
      <c r="K42" s="924">
        <v>43</v>
      </c>
      <c r="L42" s="821"/>
      <c r="M42" s="924">
        <v>-1</v>
      </c>
      <c r="N42" s="922"/>
      <c r="O42" s="925">
        <v>544</v>
      </c>
      <c r="P42" s="910"/>
    </row>
    <row r="43" spans="1:16" s="912" customFormat="1" ht="15">
      <c r="A43" s="916"/>
      <c r="B43" s="916"/>
      <c r="C43" s="916"/>
      <c r="D43" s="916"/>
      <c r="E43" s="916"/>
      <c r="G43" s="916"/>
      <c r="H43" s="919"/>
      <c r="I43" s="922"/>
      <c r="J43" s="922"/>
      <c r="K43" s="922"/>
      <c r="L43" s="922"/>
      <c r="M43" s="922"/>
      <c r="N43" s="922"/>
      <c r="O43" s="922"/>
      <c r="P43" s="910"/>
    </row>
    <row r="44" spans="1:17" s="912" customFormat="1" ht="15">
      <c r="A44" s="916"/>
      <c r="B44" s="916"/>
      <c r="C44" s="916"/>
      <c r="D44" s="916"/>
      <c r="E44" s="916"/>
      <c r="F44" s="916" t="s">
        <v>1271</v>
      </c>
      <c r="G44" s="916"/>
      <c r="H44" s="929"/>
      <c r="I44" s="925">
        <f>+I42+I41+I40+I38</f>
        <v>3262</v>
      </c>
      <c r="J44" s="930"/>
      <c r="K44" s="925">
        <f>+K42+K41+K40+K38</f>
        <v>226</v>
      </c>
      <c r="L44" s="930"/>
      <c r="M44" s="925">
        <f>+M42+M41+M40+M38</f>
        <v>-4</v>
      </c>
      <c r="N44" s="930"/>
      <c r="O44" s="925">
        <f>SUM(O38:O42)</f>
        <v>3484</v>
      </c>
      <c r="P44" s="927"/>
      <c r="Q44" s="928"/>
    </row>
    <row r="45" spans="1:17" s="912" customFormat="1" ht="15">
      <c r="A45" s="916"/>
      <c r="B45" s="916"/>
      <c r="C45" s="916"/>
      <c r="D45" s="916"/>
      <c r="E45" s="916"/>
      <c r="G45" s="916"/>
      <c r="H45" s="919"/>
      <c r="I45" s="922"/>
      <c r="J45" s="922"/>
      <c r="K45" s="922"/>
      <c r="L45" s="922"/>
      <c r="M45" s="922"/>
      <c r="N45" s="922"/>
      <c r="O45" s="922"/>
      <c r="P45" s="910"/>
      <c r="Q45" s="928"/>
    </row>
    <row r="46" spans="1:18" s="912" customFormat="1" ht="15">
      <c r="A46" s="916"/>
      <c r="B46" s="916"/>
      <c r="C46" s="916"/>
      <c r="D46" s="916"/>
      <c r="E46" s="916"/>
      <c r="F46" s="916" t="s">
        <v>1272</v>
      </c>
      <c r="G46" s="916"/>
      <c r="H46" s="919"/>
      <c r="I46" s="925">
        <f>+I35-I44</f>
        <v>4310</v>
      </c>
      <c r="J46" s="922"/>
      <c r="K46" s="925">
        <f>+K35-K44</f>
        <v>-120</v>
      </c>
      <c r="L46" s="922"/>
      <c r="M46" s="925">
        <f>+M44-M35</f>
        <v>0</v>
      </c>
      <c r="N46" s="922"/>
      <c r="O46" s="925">
        <f>IF(SUM(I46:M46)=(O35-O44),SUM(I46:M46),"Off")</f>
        <v>4190</v>
      </c>
      <c r="P46" s="927"/>
      <c r="Q46" s="928"/>
      <c r="R46" s="928"/>
    </row>
    <row r="47" spans="1:17" s="912" customFormat="1" ht="15">
      <c r="A47" s="916"/>
      <c r="B47" s="916"/>
      <c r="C47" s="916"/>
      <c r="D47" s="916"/>
      <c r="E47" s="916"/>
      <c r="F47" s="916"/>
      <c r="G47" s="916"/>
      <c r="H47" s="919"/>
      <c r="I47" s="922"/>
      <c r="J47" s="922"/>
      <c r="K47" s="922"/>
      <c r="L47" s="922"/>
      <c r="M47" s="922"/>
      <c r="N47" s="922"/>
      <c r="O47" s="922"/>
      <c r="P47" s="927"/>
      <c r="Q47" s="928"/>
    </row>
    <row r="48" spans="1:17" s="912" customFormat="1" ht="15" thickBot="1">
      <c r="A48" s="916"/>
      <c r="B48" s="916"/>
      <c r="C48" s="916"/>
      <c r="D48" s="916"/>
      <c r="E48" s="916"/>
      <c r="F48" s="916" t="s">
        <v>1273</v>
      </c>
      <c r="G48" s="916"/>
      <c r="H48" s="919"/>
      <c r="I48" s="931">
        <f>+I46+I25</f>
        <v>4731</v>
      </c>
      <c r="J48" s="930"/>
      <c r="K48" s="931">
        <f>+K46+K25</f>
        <v>155</v>
      </c>
      <c r="L48" s="930"/>
      <c r="M48" s="931">
        <f>+M46+M25</f>
        <v>-108</v>
      </c>
      <c r="N48" s="930"/>
      <c r="O48" s="931">
        <f>+O46+O25</f>
        <v>4778</v>
      </c>
      <c r="P48" s="927"/>
      <c r="Q48" s="928"/>
    </row>
    <row r="49" spans="1:17" ht="15.75" thickTop="1">
      <c r="A49" s="301"/>
      <c r="B49" s="301"/>
      <c r="C49" s="301"/>
      <c r="D49" s="301"/>
      <c r="E49" s="301"/>
      <c r="F49" s="301"/>
      <c r="G49" s="301"/>
      <c r="H49" s="301"/>
      <c r="I49" s="718"/>
      <c r="J49" s="718"/>
      <c r="K49" s="718"/>
      <c r="L49" s="718"/>
      <c r="M49" s="718"/>
      <c r="N49" s="718"/>
      <c r="O49" s="718"/>
      <c r="P49" s="301"/>
      <c r="Q49" s="302"/>
    </row>
  </sheetData>
  <sheetProtection/>
  <mergeCells count="5">
    <mergeCell ref="A9:P9"/>
    <mergeCell ref="A5:O5"/>
    <mergeCell ref="A4:O4"/>
    <mergeCell ref="A6:O6"/>
    <mergeCell ref="A8:P8"/>
  </mergeCells>
  <printOptions horizontalCentered="1"/>
  <pageMargins left="0.25" right="0.25" top="0.5" bottom="0.5" header="0.05" footer="0.05"/>
  <pageSetup cellComments="asDisplayed" horizontalDpi="600" verticalDpi="600" orientation="portrait" scale="63" r:id="rId2"/>
  <drawing r:id="rId1"/>
</worksheet>
</file>

<file path=xl/worksheets/sheet4.xml><?xml version="1.0" encoding="utf-8"?>
<worksheet xmlns="http://schemas.openxmlformats.org/spreadsheetml/2006/main" xmlns:r="http://schemas.openxmlformats.org/officeDocument/2006/relationships">
  <sheetPr transitionEvaluation="1">
    <tabColor rgb="FF92D050"/>
    <pageSetUpPr fitToPage="1"/>
  </sheetPr>
  <dimension ref="A1:O44"/>
  <sheetViews>
    <sheetView showGridLines="0" defaultGridColor="0" zoomScale="90" zoomScaleNormal="90" zoomScaleSheetLayoutView="110" zoomScalePageLayoutView="0" colorId="22" workbookViewId="0" topLeftCell="A16">
      <selection activeCell="B28" sqref="B28"/>
    </sheetView>
  </sheetViews>
  <sheetFormatPr defaultColWidth="13.625" defaultRowHeight="12.75"/>
  <cols>
    <col min="1" max="1" width="6.875" style="13" customWidth="1"/>
    <col min="2" max="2" width="8.75390625" style="13" customWidth="1"/>
    <col min="3" max="3" width="8.625" style="24" customWidth="1"/>
    <col min="4" max="4" width="2.375" style="13" customWidth="1"/>
    <col min="5" max="5" width="15.375" style="13" customWidth="1"/>
    <col min="6" max="6" width="25.25390625" style="13" customWidth="1"/>
    <col min="7" max="7" width="20.00390625" style="13" bestFit="1" customWidth="1"/>
    <col min="8" max="8" width="14.375" style="13" customWidth="1"/>
    <col min="9" max="9" width="14.50390625" style="13" bestFit="1" customWidth="1"/>
    <col min="10" max="10" width="17.75390625" style="13" bestFit="1" customWidth="1"/>
    <col min="11" max="11" width="2.50390625" style="13" customWidth="1"/>
    <col min="12" max="12" width="21.50390625" style="13" customWidth="1"/>
    <col min="13" max="13" width="6.375" style="13" customWidth="1"/>
    <col min="14" max="14" width="11.00390625" style="13" bestFit="1" customWidth="1"/>
    <col min="15" max="15" width="29.875" style="13" bestFit="1" customWidth="1"/>
    <col min="16" max="16" width="12.625" style="13" bestFit="1" customWidth="1"/>
    <col min="17" max="17" width="1.625" style="13" customWidth="1"/>
    <col min="18" max="18" width="12.625" style="13" bestFit="1" customWidth="1"/>
    <col min="19" max="16384" width="13.625" style="13" customWidth="1"/>
  </cols>
  <sheetData>
    <row r="1" spans="1:13" s="17" customFormat="1" ht="15">
      <c r="A1" s="14" t="s">
        <v>1070</v>
      </c>
      <c r="B1" s="20"/>
      <c r="C1" s="105"/>
      <c r="D1" s="20"/>
      <c r="E1" s="20"/>
      <c r="F1" s="20"/>
      <c r="G1" s="20"/>
      <c r="H1" s="20"/>
      <c r="I1" s="20"/>
      <c r="J1" s="20"/>
      <c r="K1" s="20"/>
      <c r="L1" s="168"/>
      <c r="M1" s="60"/>
    </row>
    <row r="2" spans="1:13" s="17" customFormat="1" ht="15">
      <c r="A2" s="14"/>
      <c r="B2" s="20"/>
      <c r="C2" s="105"/>
      <c r="D2" s="20"/>
      <c r="E2" s="20"/>
      <c r="F2" s="20"/>
      <c r="G2" s="20"/>
      <c r="H2" s="20"/>
      <c r="I2" s="20"/>
      <c r="J2" s="20"/>
      <c r="K2" s="20"/>
      <c r="L2" s="106"/>
      <c r="M2" s="162"/>
    </row>
    <row r="3" spans="1:13" ht="17.25">
      <c r="A3" s="1531" t="s">
        <v>228</v>
      </c>
      <c r="B3" s="1531"/>
      <c r="C3" s="1531"/>
      <c r="D3" s="1531"/>
      <c r="E3" s="1531"/>
      <c r="F3" s="1531"/>
      <c r="G3" s="1531"/>
      <c r="H3" s="1531"/>
      <c r="I3" s="1531"/>
      <c r="J3" s="1531"/>
      <c r="K3" s="1531"/>
      <c r="L3" s="1531"/>
      <c r="M3" s="1531"/>
    </row>
    <row r="4" spans="1:13" ht="17.25">
      <c r="A4" s="1531" t="s">
        <v>111</v>
      </c>
      <c r="B4" s="1531"/>
      <c r="C4" s="1531"/>
      <c r="D4" s="1531"/>
      <c r="E4" s="1531"/>
      <c r="F4" s="1531"/>
      <c r="G4" s="1531"/>
      <c r="H4" s="1531"/>
      <c r="I4" s="1531"/>
      <c r="J4" s="1531"/>
      <c r="K4" s="1531"/>
      <c r="L4" s="1531"/>
      <c r="M4" s="1531"/>
    </row>
    <row r="5" spans="1:13" ht="17.25">
      <c r="A5" s="1532" t="s">
        <v>1377</v>
      </c>
      <c r="B5" s="1532"/>
      <c r="C5" s="1532"/>
      <c r="D5" s="1532"/>
      <c r="E5" s="1532"/>
      <c r="F5" s="1532"/>
      <c r="G5" s="1532"/>
      <c r="H5" s="1532"/>
      <c r="I5" s="1532"/>
      <c r="J5" s="1532"/>
      <c r="K5" s="1532"/>
      <c r="L5" s="1532"/>
      <c r="M5" s="1532"/>
    </row>
    <row r="6" spans="1:13" ht="17.25">
      <c r="A6" s="11"/>
      <c r="B6" s="11"/>
      <c r="C6" s="23"/>
      <c r="D6" s="11"/>
      <c r="E6" s="11"/>
      <c r="F6" s="11"/>
      <c r="G6" s="11"/>
      <c r="H6" s="11"/>
      <c r="I6" s="11"/>
      <c r="J6" s="11"/>
      <c r="K6" s="11"/>
      <c r="L6" s="11"/>
      <c r="M6" s="11"/>
    </row>
    <row r="7" spans="1:13" ht="17.25">
      <c r="A7" s="1533" t="s">
        <v>1069</v>
      </c>
      <c r="B7" s="1533"/>
      <c r="C7" s="1533"/>
      <c r="D7" s="1533"/>
      <c r="E7" s="1533"/>
      <c r="F7" s="1533"/>
      <c r="G7" s="1533"/>
      <c r="H7" s="1533"/>
      <c r="I7" s="1533"/>
      <c r="J7" s="1533"/>
      <c r="K7" s="1533"/>
      <c r="L7" s="1533"/>
      <c r="M7" s="1533"/>
    </row>
    <row r="8" spans="1:13" s="17" customFormat="1" ht="17.25">
      <c r="A8" s="1531" t="s">
        <v>229</v>
      </c>
      <c r="B8" s="1531"/>
      <c r="C8" s="1531"/>
      <c r="D8" s="1531"/>
      <c r="E8" s="1531"/>
      <c r="F8" s="1531"/>
      <c r="G8" s="1531"/>
      <c r="H8" s="1531"/>
      <c r="I8" s="1531"/>
      <c r="J8" s="1531"/>
      <c r="K8" s="1531"/>
      <c r="L8" s="1531"/>
      <c r="M8" s="1531"/>
    </row>
    <row r="9" spans="1:13" s="104" customFormat="1" ht="17.25">
      <c r="A9" s="830"/>
      <c r="B9" s="830"/>
      <c r="C9" s="830"/>
      <c r="D9" s="830"/>
      <c r="E9" s="830"/>
      <c r="F9" s="830"/>
      <c r="G9" s="830"/>
      <c r="H9" s="830"/>
      <c r="I9" s="830"/>
      <c r="J9" s="830"/>
      <c r="K9" s="830"/>
      <c r="L9" s="830"/>
      <c r="M9" s="830"/>
    </row>
    <row r="10" spans="1:13" s="104" customFormat="1" ht="15">
      <c r="A10" s="20"/>
      <c r="B10" s="20"/>
      <c r="C10" s="1015"/>
      <c r="D10" s="20"/>
      <c r="E10" s="20"/>
      <c r="F10" s="20"/>
      <c r="G10" s="20"/>
      <c r="H10" s="20"/>
      <c r="I10" s="20"/>
      <c r="K10" s="20"/>
      <c r="L10" s="20"/>
      <c r="M10" s="20"/>
    </row>
    <row r="11" spans="1:13" s="332" customFormat="1" ht="15">
      <c r="A11" s="14"/>
      <c r="B11" s="14"/>
      <c r="C11" s="987" t="s">
        <v>0</v>
      </c>
      <c r="D11" s="14"/>
      <c r="E11" s="14"/>
      <c r="F11" s="14"/>
      <c r="G11" s="14"/>
      <c r="H11" s="831" t="s">
        <v>387</v>
      </c>
      <c r="I11" s="831" t="s">
        <v>35</v>
      </c>
      <c r="J11" s="831" t="s">
        <v>34</v>
      </c>
      <c r="K11" s="14"/>
      <c r="L11" s="14"/>
      <c r="M11" s="14"/>
    </row>
    <row r="12" spans="1:13" s="332" customFormat="1" ht="15">
      <c r="A12" s="14"/>
      <c r="B12" s="985" t="s">
        <v>1</v>
      </c>
      <c r="C12" s="1016" t="s">
        <v>2</v>
      </c>
      <c r="D12" s="14"/>
      <c r="E12" s="986" t="s">
        <v>3</v>
      </c>
      <c r="F12" s="14"/>
      <c r="G12" s="14" t="s">
        <v>588</v>
      </c>
      <c r="H12" s="985" t="s">
        <v>979</v>
      </c>
      <c r="I12" s="985" t="s">
        <v>444</v>
      </c>
      <c r="J12" s="985" t="s">
        <v>423</v>
      </c>
      <c r="K12" s="14"/>
      <c r="L12" s="986" t="s">
        <v>36</v>
      </c>
      <c r="M12" s="14"/>
    </row>
    <row r="13" spans="1:13" s="104" customFormat="1" ht="15">
      <c r="A13" s="20"/>
      <c r="B13" s="20"/>
      <c r="C13" s="1015" t="s">
        <v>6</v>
      </c>
      <c r="D13" s="20"/>
      <c r="E13" s="21" t="s">
        <v>7</v>
      </c>
      <c r="F13" s="20"/>
      <c r="G13" s="20"/>
      <c r="H13" s="21" t="s">
        <v>8</v>
      </c>
      <c r="I13" s="21" t="s">
        <v>9</v>
      </c>
      <c r="J13" s="21" t="s">
        <v>27</v>
      </c>
      <c r="K13" s="20"/>
      <c r="L13" s="21" t="s">
        <v>28</v>
      </c>
      <c r="M13" s="20"/>
    </row>
    <row r="14" spans="1:13" s="104" customFormat="1" ht="15">
      <c r="A14" s="20"/>
      <c r="B14" s="20"/>
      <c r="C14" s="1015"/>
      <c r="D14" s="20"/>
      <c r="E14" s="20"/>
      <c r="F14" s="20"/>
      <c r="G14" s="20"/>
      <c r="H14" s="20"/>
      <c r="I14" s="20"/>
      <c r="J14" s="20"/>
      <c r="K14" s="20"/>
      <c r="L14" s="20"/>
      <c r="M14" s="20"/>
    </row>
    <row r="15" spans="1:13" s="104" customFormat="1" ht="15">
      <c r="A15" s="20"/>
      <c r="B15" s="831"/>
      <c r="C15" s="1017" t="s">
        <v>37</v>
      </c>
      <c r="D15" s="1018"/>
      <c r="E15" s="1018"/>
      <c r="F15" s="20"/>
      <c r="G15" s="20"/>
      <c r="H15" s="1011"/>
      <c r="I15" s="1011"/>
      <c r="J15" s="1011"/>
      <c r="K15" s="20"/>
      <c r="L15" s="20"/>
      <c r="M15" s="20"/>
    </row>
    <row r="16" spans="1:13" s="104" customFormat="1" ht="15">
      <c r="A16" s="20"/>
      <c r="B16" s="831">
        <v>1</v>
      </c>
      <c r="C16" s="600">
        <v>920</v>
      </c>
      <c r="D16" s="20" t="s">
        <v>11</v>
      </c>
      <c r="E16" s="20" t="s">
        <v>38</v>
      </c>
      <c r="F16" s="20"/>
      <c r="G16" s="20" t="s">
        <v>1101</v>
      </c>
      <c r="H16" s="1420">
        <f>'WP-AA'!F33</f>
        <v>51679702.541877754</v>
      </c>
      <c r="I16" s="1019"/>
      <c r="J16" s="999"/>
      <c r="K16" s="20"/>
      <c r="L16" s="20"/>
      <c r="M16" s="20"/>
    </row>
    <row r="17" spans="1:13" s="104" customFormat="1" ht="15">
      <c r="A17" s="20"/>
      <c r="B17" s="831">
        <f aca="true" t="shared" si="0" ref="B17:B23">B16+1</f>
        <v>2</v>
      </c>
      <c r="C17" s="600">
        <v>921</v>
      </c>
      <c r="D17" s="20"/>
      <c r="E17" s="20" t="s">
        <v>39</v>
      </c>
      <c r="F17" s="20"/>
      <c r="G17" s="20" t="s">
        <v>1101</v>
      </c>
      <c r="H17" s="1420">
        <f>'WP-AA'!F34</f>
        <v>19662734.995192662</v>
      </c>
      <c r="I17" s="1019"/>
      <c r="J17" s="999"/>
      <c r="K17" s="20"/>
      <c r="L17" s="20"/>
      <c r="M17" s="20"/>
    </row>
    <row r="18" spans="1:13" s="104" customFormat="1" ht="15">
      <c r="A18" s="20"/>
      <c r="B18" s="831">
        <f t="shared" si="0"/>
        <v>3</v>
      </c>
      <c r="C18" s="600">
        <v>922</v>
      </c>
      <c r="D18" s="20"/>
      <c r="E18" s="20" t="s">
        <v>403</v>
      </c>
      <c r="F18" s="20"/>
      <c r="G18" s="20" t="s">
        <v>1101</v>
      </c>
      <c r="H18" s="1420">
        <f>'WP-AA'!F35</f>
        <v>-15295297.72</v>
      </c>
      <c r="I18" s="1019"/>
      <c r="J18" s="999"/>
      <c r="K18" s="20"/>
      <c r="L18" s="20"/>
      <c r="M18" s="20"/>
    </row>
    <row r="19" spans="1:13" s="104" customFormat="1" ht="15">
      <c r="A19" s="20"/>
      <c r="B19" s="831">
        <f t="shared" si="0"/>
        <v>4</v>
      </c>
      <c r="C19" s="600">
        <v>923</v>
      </c>
      <c r="D19" s="20"/>
      <c r="E19" s="20" t="s">
        <v>40</v>
      </c>
      <c r="F19" s="20"/>
      <c r="G19" s="20" t="s">
        <v>1101</v>
      </c>
      <c r="H19" s="1420">
        <f>'WP-AA'!F36</f>
        <v>21044337.3608782</v>
      </c>
      <c r="I19" s="1020"/>
      <c r="J19" s="999"/>
      <c r="K19" s="20"/>
      <c r="L19" s="20"/>
      <c r="M19" s="20"/>
    </row>
    <row r="20" spans="1:15" s="104" customFormat="1" ht="15">
      <c r="A20" s="20"/>
      <c r="B20" s="831">
        <f t="shared" si="0"/>
        <v>5</v>
      </c>
      <c r="C20" s="600">
        <v>924</v>
      </c>
      <c r="D20" s="20"/>
      <c r="E20" s="20" t="s">
        <v>41</v>
      </c>
      <c r="F20" s="20"/>
      <c r="G20" s="20" t="s">
        <v>1101</v>
      </c>
      <c r="H20" s="1420">
        <f>'WP-AA'!F37</f>
        <v>5745197.100000001</v>
      </c>
      <c r="I20" s="1021"/>
      <c r="J20" s="1420">
        <f>'WP-AG'!J34</f>
        <v>1062110.270346527</v>
      </c>
      <c r="K20" s="1011"/>
      <c r="L20" s="1011" t="s">
        <v>1078</v>
      </c>
      <c r="M20" s="20"/>
      <c r="N20" s="220"/>
      <c r="O20" s="1023"/>
    </row>
    <row r="21" spans="1:15" s="104" customFormat="1" ht="15">
      <c r="A21" s="20"/>
      <c r="B21" s="831">
        <f t="shared" si="0"/>
        <v>6</v>
      </c>
      <c r="C21" s="600" t="s">
        <v>416</v>
      </c>
      <c r="D21" s="20"/>
      <c r="E21" s="20" t="s">
        <v>417</v>
      </c>
      <c r="F21" s="20"/>
      <c r="G21" s="20" t="s">
        <v>1101</v>
      </c>
      <c r="H21" s="1420">
        <f>'WP-AA'!F38</f>
        <v>1837652.2899999998</v>
      </c>
      <c r="I21" s="1024"/>
      <c r="J21" s="1420">
        <f>'WP-AH'!J31</f>
        <v>731193.7634339761</v>
      </c>
      <c r="K21" s="1011"/>
      <c r="L21" s="1011" t="s">
        <v>1079</v>
      </c>
      <c r="M21" s="20"/>
      <c r="N21" s="220"/>
      <c r="O21" s="1023"/>
    </row>
    <row r="22" spans="1:13" s="104" customFormat="1" ht="15">
      <c r="A22" s="20"/>
      <c r="B22" s="831">
        <f t="shared" si="0"/>
        <v>7</v>
      </c>
      <c r="C22" s="600">
        <v>926</v>
      </c>
      <c r="D22" s="20"/>
      <c r="E22" s="20" t="s">
        <v>42</v>
      </c>
      <c r="F22" s="20"/>
      <c r="G22" s="20" t="s">
        <v>1101</v>
      </c>
      <c r="H22" s="1420">
        <f>'WP-AA'!F39+'WP-AA'!F40</f>
        <v>45047696.045767315</v>
      </c>
      <c r="I22" s="1019"/>
      <c r="J22" s="1420"/>
      <c r="K22" s="20"/>
      <c r="L22" s="20"/>
      <c r="M22" s="20"/>
    </row>
    <row r="23" spans="1:13" s="104" customFormat="1" ht="15">
      <c r="A23" s="20"/>
      <c r="B23" s="831">
        <f t="shared" si="0"/>
        <v>8</v>
      </c>
      <c r="C23" s="600">
        <v>928</v>
      </c>
      <c r="D23" s="20"/>
      <c r="E23" s="20" t="s">
        <v>43</v>
      </c>
      <c r="F23" s="20"/>
      <c r="G23" s="20" t="s">
        <v>1101</v>
      </c>
      <c r="H23" s="1420">
        <f>'WP-AA'!F41</f>
        <v>2965811.17</v>
      </c>
      <c r="I23" s="1019"/>
      <c r="J23" s="1420">
        <f>'WP-AA'!D41</f>
        <v>0</v>
      </c>
      <c r="K23" s="20"/>
      <c r="L23" s="20" t="s">
        <v>1085</v>
      </c>
      <c r="M23" s="20"/>
    </row>
    <row r="24" spans="1:13" s="104" customFormat="1" ht="15">
      <c r="A24" s="20"/>
      <c r="B24" s="831">
        <f aca="true" t="shared" si="1" ref="B24:B30">B23+1</f>
        <v>9</v>
      </c>
      <c r="C24" s="600" t="s">
        <v>579</v>
      </c>
      <c r="D24" s="20"/>
      <c r="E24" s="20" t="s">
        <v>574</v>
      </c>
      <c r="F24" s="20"/>
      <c r="G24" s="20" t="s">
        <v>1101</v>
      </c>
      <c r="H24" s="1420">
        <f>'WP-AA'!F42</f>
        <v>2849041.3400000003</v>
      </c>
      <c r="I24" s="1019"/>
      <c r="J24" s="999"/>
      <c r="K24" s="20"/>
      <c r="L24" s="20"/>
      <c r="M24" s="20"/>
    </row>
    <row r="25" spans="1:13" s="104" customFormat="1" ht="15">
      <c r="A25" s="20"/>
      <c r="B25" s="831">
        <f t="shared" si="1"/>
        <v>10</v>
      </c>
      <c r="C25" s="600" t="s">
        <v>754</v>
      </c>
      <c r="D25" s="20"/>
      <c r="E25" s="20" t="s">
        <v>755</v>
      </c>
      <c r="F25" s="20"/>
      <c r="G25" s="20" t="s">
        <v>1101</v>
      </c>
      <c r="H25" s="1420">
        <f>'WP-AA'!F43</f>
        <v>247003.18994378333</v>
      </c>
      <c r="I25" s="1019"/>
      <c r="J25" s="999"/>
      <c r="K25" s="20"/>
      <c r="L25" s="20"/>
      <c r="M25" s="20"/>
    </row>
    <row r="26" spans="1:13" s="104" customFormat="1" ht="15">
      <c r="A26" s="20"/>
      <c r="B26" s="831">
        <f t="shared" si="1"/>
        <v>11</v>
      </c>
      <c r="C26" s="1025" t="s">
        <v>467</v>
      </c>
      <c r="D26" s="1011"/>
      <c r="E26" s="1011" t="s">
        <v>465</v>
      </c>
      <c r="F26" s="1011"/>
      <c r="G26" s="20" t="s">
        <v>1101</v>
      </c>
      <c r="H26" s="1420">
        <f>'WP-AA'!F44</f>
        <v>4582041.133020317</v>
      </c>
      <c r="I26" s="1019"/>
      <c r="J26" s="999"/>
      <c r="K26" s="20"/>
      <c r="L26" s="20"/>
      <c r="M26" s="20"/>
    </row>
    <row r="27" spans="1:13" s="104" customFormat="1" ht="15">
      <c r="A27" s="20"/>
      <c r="B27" s="831">
        <f t="shared" si="1"/>
        <v>12</v>
      </c>
      <c r="C27" s="1025" t="s">
        <v>464</v>
      </c>
      <c r="D27" s="1011"/>
      <c r="E27" s="1011" t="s">
        <v>466</v>
      </c>
      <c r="F27" s="1011"/>
      <c r="G27" s="20" t="s">
        <v>1101</v>
      </c>
      <c r="H27" s="1420">
        <f>'WP-AA'!F45</f>
        <v>6818698.78</v>
      </c>
      <c r="I27" s="1019"/>
      <c r="J27" s="999"/>
      <c r="K27" s="20"/>
      <c r="L27" s="20"/>
      <c r="M27" s="20"/>
    </row>
    <row r="28" spans="1:13" s="104" customFormat="1" ht="15">
      <c r="A28" s="20"/>
      <c r="B28" s="831">
        <f>B27+1</f>
        <v>13</v>
      </c>
      <c r="C28" s="600">
        <v>931</v>
      </c>
      <c r="D28" s="20"/>
      <c r="E28" s="20" t="s">
        <v>17</v>
      </c>
      <c r="F28" s="20"/>
      <c r="G28" s="20" t="s">
        <v>1101</v>
      </c>
      <c r="H28" s="1420">
        <f>'WP-AA'!F46</f>
        <v>680291.63</v>
      </c>
      <c r="I28" s="1019"/>
      <c r="J28" s="999"/>
      <c r="K28" s="20"/>
      <c r="L28" s="20"/>
      <c r="M28" s="20"/>
    </row>
    <row r="29" spans="1:13" s="104" customFormat="1" ht="15">
      <c r="A29" s="20"/>
      <c r="B29" s="831">
        <f t="shared" si="1"/>
        <v>14</v>
      </c>
      <c r="C29" s="600">
        <v>935</v>
      </c>
      <c r="D29" s="20"/>
      <c r="E29" s="20" t="s">
        <v>44</v>
      </c>
      <c r="F29" s="20"/>
      <c r="G29" s="20" t="s">
        <v>1101</v>
      </c>
      <c r="H29" s="1421">
        <f>'WP-AA'!F47</f>
        <v>6290373.699999999</v>
      </c>
      <c r="I29" s="1020"/>
      <c r="J29" s="1425"/>
      <c r="K29" s="20"/>
      <c r="L29" s="20"/>
      <c r="M29" s="20"/>
    </row>
    <row r="30" spans="1:13" s="104" customFormat="1" ht="15">
      <c r="A30" s="20"/>
      <c r="B30" s="831">
        <f t="shared" si="1"/>
        <v>15</v>
      </c>
      <c r="C30" s="1015"/>
      <c r="D30" s="20"/>
      <c r="E30" s="831" t="s">
        <v>33</v>
      </c>
      <c r="F30" s="20"/>
      <c r="G30" s="20" t="s">
        <v>600</v>
      </c>
      <c r="H30" s="1422">
        <f>SUM(H16:H29)</f>
        <v>154155283.55668002</v>
      </c>
      <c r="I30" s="992"/>
      <c r="J30" s="1035"/>
      <c r="K30" s="20"/>
      <c r="L30" s="20"/>
      <c r="M30" s="20"/>
    </row>
    <row r="31" spans="1:13" s="104" customFormat="1" ht="15">
      <c r="A31" s="20"/>
      <c r="B31" s="831"/>
      <c r="C31" s="1015"/>
      <c r="D31" s="20"/>
      <c r="E31" s="831"/>
      <c r="F31" s="20"/>
      <c r="G31" s="20"/>
      <c r="H31" s="1035"/>
      <c r="I31" s="992"/>
      <c r="J31" s="1035"/>
      <c r="K31" s="20"/>
      <c r="L31" s="20"/>
      <c r="M31" s="20"/>
    </row>
    <row r="32" spans="1:13" s="104" customFormat="1" ht="15">
      <c r="A32" s="20"/>
      <c r="B32" s="831">
        <f>B30+1</f>
        <v>16</v>
      </c>
      <c r="C32" s="1015"/>
      <c r="D32" s="20"/>
      <c r="E32" s="20" t="s">
        <v>45</v>
      </c>
      <c r="F32" s="20"/>
      <c r="G32" s="20" t="s">
        <v>597</v>
      </c>
      <c r="H32" s="1423">
        <f>-H20</f>
        <v>-5745197.100000001</v>
      </c>
      <c r="I32" s="988"/>
      <c r="J32" s="1034"/>
      <c r="K32" s="20"/>
      <c r="L32" s="20"/>
      <c r="M32" s="20"/>
    </row>
    <row r="33" spans="1:13" s="104" customFormat="1" ht="17.25" customHeight="1">
      <c r="A33" s="20"/>
      <c r="B33" s="831">
        <f>B32+1</f>
        <v>17</v>
      </c>
      <c r="C33" s="1015"/>
      <c r="D33" s="20"/>
      <c r="E33" s="20" t="s">
        <v>427</v>
      </c>
      <c r="F33" s="20"/>
      <c r="G33" s="20" t="s">
        <v>596</v>
      </c>
      <c r="H33" s="1423">
        <f>-H21</f>
        <v>-1837652.2899999998</v>
      </c>
      <c r="I33" s="1026"/>
      <c r="J33" s="1423"/>
      <c r="K33" s="20"/>
      <c r="L33" s="20"/>
      <c r="M33" s="20"/>
    </row>
    <row r="34" spans="1:13" s="104" customFormat="1" ht="15">
      <c r="A34" s="20"/>
      <c r="B34" s="831">
        <f>B33+1</f>
        <v>18</v>
      </c>
      <c r="C34" s="1015"/>
      <c r="D34" s="20"/>
      <c r="E34" s="20" t="s">
        <v>896</v>
      </c>
      <c r="F34" s="20"/>
      <c r="G34" s="20" t="s">
        <v>897</v>
      </c>
      <c r="H34" s="1424">
        <v>0</v>
      </c>
      <c r="I34" s="1026"/>
      <c r="J34" s="1423"/>
      <c r="K34" s="20"/>
      <c r="L34" s="20"/>
      <c r="M34" s="20"/>
    </row>
    <row r="35" spans="1:13" s="104" customFormat="1" ht="15">
      <c r="A35" s="20"/>
      <c r="B35" s="831">
        <f>B34+1</f>
        <v>19</v>
      </c>
      <c r="C35" s="1015"/>
      <c r="D35" s="20"/>
      <c r="E35" s="20" t="s">
        <v>898</v>
      </c>
      <c r="F35" s="20"/>
      <c r="G35" s="20" t="s">
        <v>899</v>
      </c>
      <c r="H35" s="1424">
        <f>-H23</f>
        <v>-2965811.17</v>
      </c>
      <c r="I35" s="1026"/>
      <c r="J35" s="1423"/>
      <c r="K35" s="20"/>
      <c r="L35" s="20"/>
      <c r="M35" s="20"/>
    </row>
    <row r="36" spans="1:13" s="104" customFormat="1" ht="15">
      <c r="A36" s="20"/>
      <c r="B36" s="831">
        <f>B35+1</f>
        <v>20</v>
      </c>
      <c r="C36" s="1015"/>
      <c r="D36" s="20"/>
      <c r="E36" s="20" t="s">
        <v>900</v>
      </c>
      <c r="F36" s="20"/>
      <c r="G36" s="20" t="s">
        <v>1077</v>
      </c>
      <c r="H36" s="1421">
        <f>'WP-AF'!H21</f>
        <v>512739</v>
      </c>
      <c r="I36" s="1026"/>
      <c r="J36" s="1423"/>
      <c r="K36" s="20"/>
      <c r="L36" s="20"/>
      <c r="M36" s="20"/>
    </row>
    <row r="37" spans="1:13" s="104" customFormat="1" ht="15">
      <c r="A37" s="20"/>
      <c r="B37" s="831">
        <f>B36+1</f>
        <v>21</v>
      </c>
      <c r="C37" s="1015"/>
      <c r="D37" s="20"/>
      <c r="E37" s="14" t="s">
        <v>46</v>
      </c>
      <c r="F37" s="20"/>
      <c r="G37" s="20" t="s">
        <v>930</v>
      </c>
      <c r="H37" s="1422">
        <f>SUM(H30:H36)</f>
        <v>144119361.99668005</v>
      </c>
      <c r="I37" s="1027">
        <f>'E1-Labor Ratio'!H21</f>
        <v>0.27609832339076545</v>
      </c>
      <c r="J37" s="1422">
        <f>H37*I37</f>
        <v>39791114.21543016</v>
      </c>
      <c r="K37" s="20"/>
      <c r="L37" s="1393" t="s">
        <v>1287</v>
      </c>
      <c r="M37" s="20"/>
    </row>
    <row r="38" spans="1:13" s="104" customFormat="1" ht="15">
      <c r="A38" s="20"/>
      <c r="B38" s="831"/>
      <c r="C38" s="1015"/>
      <c r="D38" s="20"/>
      <c r="E38" s="14"/>
      <c r="F38" s="20"/>
      <c r="G38" s="20"/>
      <c r="H38" s="1035"/>
      <c r="I38" s="1027"/>
      <c r="J38" s="1035"/>
      <c r="K38" s="20"/>
      <c r="L38" s="998" t="s">
        <v>1289</v>
      </c>
      <c r="M38" s="20"/>
    </row>
    <row r="39" spans="1:13" s="104" customFormat="1" ht="15">
      <c r="A39" s="20"/>
      <c r="B39" s="831">
        <f>B37+1</f>
        <v>22</v>
      </c>
      <c r="C39" s="1015"/>
      <c r="D39" s="20"/>
      <c r="E39" s="14" t="s">
        <v>436</v>
      </c>
      <c r="F39" s="20"/>
      <c r="G39" s="20" t="s">
        <v>931</v>
      </c>
      <c r="H39" s="1034"/>
      <c r="I39" s="20"/>
      <c r="J39" s="1426">
        <f>SUM(J16:J37)</f>
        <v>41584418.24921066</v>
      </c>
      <c r="K39" s="20"/>
      <c r="L39" s="998" t="s">
        <v>1288</v>
      </c>
      <c r="M39" s="20"/>
    </row>
    <row r="40" spans="1:13" s="104" customFormat="1" ht="15">
      <c r="A40" s="20"/>
      <c r="B40" s="20"/>
      <c r="C40" s="1015"/>
      <c r="D40" s="20"/>
      <c r="E40" s="20"/>
      <c r="F40" s="20"/>
      <c r="G40" s="20"/>
      <c r="H40" s="1034"/>
      <c r="I40" s="20"/>
      <c r="J40" s="1034"/>
      <c r="K40" s="20"/>
      <c r="M40" s="20"/>
    </row>
    <row r="41" spans="1:13" s="64" customFormat="1" ht="15">
      <c r="A41" s="138"/>
      <c r="B41" s="143"/>
      <c r="C41" s="163"/>
      <c r="D41" s="138"/>
      <c r="E41" s="138"/>
      <c r="F41" s="138"/>
      <c r="G41" s="138"/>
      <c r="H41" s="138"/>
      <c r="I41" s="138"/>
      <c r="J41" s="138"/>
      <c r="K41" s="138"/>
      <c r="L41" s="138"/>
      <c r="M41" s="138"/>
    </row>
    <row r="42" spans="1:13" ht="17.25">
      <c r="A42" s="11"/>
      <c r="B42" s="11"/>
      <c r="C42" s="23"/>
      <c r="D42" s="11"/>
      <c r="E42" s="11"/>
      <c r="F42" s="11"/>
      <c r="G42" s="11"/>
      <c r="H42" s="11"/>
      <c r="I42" s="11"/>
      <c r="J42" s="11"/>
      <c r="K42" s="11"/>
      <c r="L42" s="11"/>
      <c r="M42" s="11"/>
    </row>
    <row r="43" spans="1:13" ht="17.25">
      <c r="A43" s="11"/>
      <c r="B43" s="11"/>
      <c r="C43" s="23"/>
      <c r="D43" s="11"/>
      <c r="E43" s="11"/>
      <c r="F43" s="11"/>
      <c r="G43" s="11"/>
      <c r="H43" s="11"/>
      <c r="I43" s="11"/>
      <c r="J43" s="11"/>
      <c r="K43" s="11"/>
      <c r="L43" s="11"/>
      <c r="M43" s="11"/>
    </row>
    <row r="44" spans="1:13" ht="17.25">
      <c r="A44" s="11"/>
      <c r="B44" s="11"/>
      <c r="C44" s="23"/>
      <c r="D44" s="11"/>
      <c r="E44" s="11"/>
      <c r="F44" s="11"/>
      <c r="G44" s="11"/>
      <c r="H44" s="11"/>
      <c r="I44" s="11"/>
      <c r="J44" s="11"/>
      <c r="K44" s="11"/>
      <c r="L44" s="11"/>
      <c r="M44" s="11"/>
    </row>
  </sheetData>
  <sheetProtection/>
  <mergeCells count="5">
    <mergeCell ref="A3:M3"/>
    <mergeCell ref="A4:M4"/>
    <mergeCell ref="A8:M8"/>
    <mergeCell ref="A5:M5"/>
    <mergeCell ref="A7:M7"/>
  </mergeCells>
  <printOptions horizontalCentered="1"/>
  <pageMargins left="0.25" right="0.25" top="0.25" bottom="0.25" header="0.5" footer="0.5"/>
  <pageSetup fitToHeight="1" fitToWidth="1" horizontalDpi="600" verticalDpi="600" orientation="landscape" scale="83" r:id="rId2"/>
  <colBreaks count="2" manualBreakCount="2">
    <brk id="14" max="65535" man="1"/>
    <brk id="15" max="65535" man="1"/>
  </colBreaks>
  <drawing r:id="rId1"/>
</worksheet>
</file>

<file path=xl/worksheets/sheet40.xml><?xml version="1.0" encoding="utf-8"?>
<worksheet xmlns="http://schemas.openxmlformats.org/spreadsheetml/2006/main" xmlns:r="http://schemas.openxmlformats.org/officeDocument/2006/relationships">
  <sheetPr>
    <tabColor theme="6"/>
  </sheetPr>
  <dimension ref="A1:V131"/>
  <sheetViews>
    <sheetView zoomScaleSheetLayoutView="100" zoomScalePageLayoutView="0" workbookViewId="0" topLeftCell="A112">
      <selection activeCell="B28" sqref="B28"/>
    </sheetView>
  </sheetViews>
  <sheetFormatPr defaultColWidth="9.00390625" defaultRowHeight="12.75"/>
  <cols>
    <col min="1" max="1" width="5.50390625" style="808" customWidth="1"/>
    <col min="2" max="2" width="5.125" style="808" customWidth="1"/>
    <col min="3" max="3" width="11.75390625" style="808" customWidth="1"/>
    <col min="4" max="6" width="9.00390625" style="801" customWidth="1"/>
    <col min="7" max="7" width="13.75390625" style="801" customWidth="1"/>
    <col min="8" max="8" width="14.75390625" style="801" bestFit="1" customWidth="1"/>
    <col min="9" max="9" width="15.00390625" style="801" bestFit="1" customWidth="1"/>
    <col min="10" max="10" width="15.25390625" style="801" bestFit="1" customWidth="1"/>
    <col min="11" max="11" width="14.00390625" style="801" bestFit="1" customWidth="1"/>
    <col min="12" max="12" width="13.50390625" style="801" bestFit="1" customWidth="1"/>
    <col min="13" max="13" width="15.00390625" style="801" bestFit="1" customWidth="1"/>
    <col min="14" max="14" width="15.25390625" style="801" bestFit="1" customWidth="1"/>
    <col min="15" max="15" width="12.00390625" style="801" bestFit="1" customWidth="1"/>
    <col min="16" max="16" width="9.00390625" style="801" customWidth="1"/>
    <col min="17" max="22" width="9.00390625" style="805" customWidth="1"/>
    <col min="23" max="16384" width="9.00390625" style="801" customWidth="1"/>
  </cols>
  <sheetData>
    <row r="1" spans="1:22" s="797" customFormat="1" ht="15">
      <c r="A1" s="899" t="s">
        <v>1183</v>
      </c>
      <c r="B1" s="818"/>
      <c r="C1" s="816"/>
      <c r="H1" s="798"/>
      <c r="I1" s="799"/>
      <c r="J1" s="799"/>
      <c r="K1" s="799"/>
      <c r="L1" s="799"/>
      <c r="M1" s="799"/>
      <c r="N1" s="799"/>
      <c r="O1" s="799"/>
      <c r="Q1" s="800"/>
      <c r="R1" s="800"/>
      <c r="S1" s="800"/>
      <c r="T1" s="800"/>
      <c r="U1" s="800"/>
      <c r="V1" s="800"/>
    </row>
    <row r="2" spans="2:15" ht="18">
      <c r="B2" s="812"/>
      <c r="C2" s="817"/>
      <c r="D2" s="803"/>
      <c r="E2" s="802"/>
      <c r="F2" s="802"/>
      <c r="G2" s="802"/>
      <c r="H2" s="802"/>
      <c r="I2" s="804"/>
      <c r="J2" s="804"/>
      <c r="K2" s="804"/>
      <c r="L2" s="804"/>
      <c r="M2" s="804"/>
      <c r="N2" s="804"/>
      <c r="O2" s="804"/>
    </row>
    <row r="3" spans="2:15" ht="18">
      <c r="B3" s="812"/>
      <c r="C3" s="817"/>
      <c r="D3" s="803"/>
      <c r="E3" s="802"/>
      <c r="F3" s="802"/>
      <c r="G3" s="802"/>
      <c r="H3" s="802"/>
      <c r="I3" s="804"/>
      <c r="J3" s="804"/>
      <c r="K3" s="804"/>
      <c r="L3" s="804"/>
      <c r="M3" s="804"/>
      <c r="N3" s="804"/>
      <c r="O3" s="804"/>
    </row>
    <row r="4" spans="1:16" ht="18">
      <c r="A4" s="1611" t="s">
        <v>228</v>
      </c>
      <c r="B4" s="1611"/>
      <c r="C4" s="1611"/>
      <c r="D4" s="1611"/>
      <c r="E4" s="1611"/>
      <c r="F4" s="1611"/>
      <c r="G4" s="1611"/>
      <c r="H4" s="1611"/>
      <c r="I4" s="1611"/>
      <c r="J4" s="1611"/>
      <c r="K4" s="1611"/>
      <c r="L4" s="1611"/>
      <c r="M4" s="1611"/>
      <c r="N4" s="1611"/>
      <c r="O4" s="1611"/>
      <c r="P4" s="806"/>
    </row>
    <row r="5" spans="1:15" ht="18">
      <c r="A5" s="1611" t="s">
        <v>111</v>
      </c>
      <c r="B5" s="1611"/>
      <c r="C5" s="1611"/>
      <c r="D5" s="1611"/>
      <c r="E5" s="1611"/>
      <c r="F5" s="1611"/>
      <c r="G5" s="1611"/>
      <c r="H5" s="1611"/>
      <c r="I5" s="1611"/>
      <c r="J5" s="1611"/>
      <c r="K5" s="1611"/>
      <c r="L5" s="1611"/>
      <c r="M5" s="1611"/>
      <c r="N5" s="1611"/>
      <c r="O5" s="1611"/>
    </row>
    <row r="6" spans="1:15" ht="18">
      <c r="A6" s="1612" t="s">
        <v>749</v>
      </c>
      <c r="B6" s="1612"/>
      <c r="C6" s="1612"/>
      <c r="D6" s="1612"/>
      <c r="E6" s="1612"/>
      <c r="F6" s="1612"/>
      <c r="G6" s="1612"/>
      <c r="H6" s="1612"/>
      <c r="I6" s="1612"/>
      <c r="J6" s="1612"/>
      <c r="K6" s="1612"/>
      <c r="L6" s="1612"/>
      <c r="M6" s="1612"/>
      <c r="N6" s="1612"/>
      <c r="O6" s="1612"/>
    </row>
    <row r="7" spans="1:15" ht="12" customHeight="1">
      <c r="A7" s="817"/>
      <c r="C7" s="817"/>
      <c r="D7" s="807"/>
      <c r="E7" s="802"/>
      <c r="F7" s="802"/>
      <c r="G7" s="802"/>
      <c r="H7" s="802"/>
      <c r="I7" s="804"/>
      <c r="J7" s="804"/>
      <c r="K7" s="804"/>
      <c r="L7" s="804"/>
      <c r="M7" s="804"/>
      <c r="N7" s="804"/>
      <c r="O7" s="804"/>
    </row>
    <row r="8" spans="1:16" ht="18">
      <c r="A8" s="1613" t="s">
        <v>1182</v>
      </c>
      <c r="B8" s="1613"/>
      <c r="C8" s="1613"/>
      <c r="D8" s="1613"/>
      <c r="E8" s="1613"/>
      <c r="F8" s="1613"/>
      <c r="G8" s="1613"/>
      <c r="H8" s="1613"/>
      <c r="I8" s="1613"/>
      <c r="J8" s="1613"/>
      <c r="K8" s="1613"/>
      <c r="L8" s="1613"/>
      <c r="M8" s="1613"/>
      <c r="N8" s="1613"/>
      <c r="O8" s="1613"/>
      <c r="P8" s="1613"/>
    </row>
    <row r="9" spans="1:16" ht="18">
      <c r="A9" s="1611" t="s">
        <v>1036</v>
      </c>
      <c r="B9" s="1611"/>
      <c r="C9" s="1611"/>
      <c r="D9" s="1611"/>
      <c r="E9" s="1611"/>
      <c r="F9" s="1611"/>
      <c r="G9" s="1611"/>
      <c r="H9" s="1611"/>
      <c r="I9" s="1611"/>
      <c r="J9" s="1611"/>
      <c r="K9" s="1611"/>
      <c r="L9" s="1611"/>
      <c r="M9" s="1611"/>
      <c r="N9" s="1611"/>
      <c r="O9" s="1611"/>
      <c r="P9" s="1611"/>
    </row>
    <row r="10" spans="1:22" s="934" customFormat="1" ht="12.75">
      <c r="A10" s="932" t="s">
        <v>59</v>
      </c>
      <c r="B10" s="933"/>
      <c r="C10" s="933"/>
      <c r="Q10" s="935"/>
      <c r="R10" s="935"/>
      <c r="S10" s="935"/>
      <c r="T10" s="935"/>
      <c r="U10" s="935"/>
      <c r="V10" s="935"/>
    </row>
    <row r="11" spans="1:22" s="937" customFormat="1" ht="18" customHeight="1">
      <c r="A11" s="936" t="s">
        <v>60</v>
      </c>
      <c r="B11" s="933"/>
      <c r="C11" s="933"/>
      <c r="E11" s="938"/>
      <c r="F11" s="933"/>
      <c r="H11" s="1607">
        <v>2015</v>
      </c>
      <c r="I11" s="1608"/>
      <c r="J11" s="1609"/>
      <c r="K11" s="934"/>
      <c r="L11" s="934"/>
      <c r="M11" s="934"/>
      <c r="N11" s="934"/>
      <c r="O11" s="934"/>
      <c r="P11" s="939"/>
      <c r="Q11" s="1610"/>
      <c r="R11" s="1610"/>
      <c r="S11" s="1610"/>
      <c r="T11" s="1610"/>
      <c r="U11" s="940"/>
      <c r="V11" s="940"/>
    </row>
    <row r="12" spans="2:22" s="937" customFormat="1" ht="13.5" customHeight="1">
      <c r="B12" s="941">
        <v>1</v>
      </c>
      <c r="C12" s="942" t="s">
        <v>1043</v>
      </c>
      <c r="E12" s="938"/>
      <c r="F12" s="933"/>
      <c r="K12" s="939"/>
      <c r="P12" s="939"/>
      <c r="Q12" s="939"/>
      <c r="R12" s="939"/>
      <c r="S12" s="940"/>
      <c r="T12" s="943"/>
      <c r="U12" s="940"/>
      <c r="V12" s="940"/>
    </row>
    <row r="13" spans="1:22" s="937" customFormat="1" ht="13.5" customHeight="1">
      <c r="A13" s="933"/>
      <c r="B13" s="933"/>
      <c r="E13" s="938"/>
      <c r="F13" s="933"/>
      <c r="H13" s="944" t="s">
        <v>779</v>
      </c>
      <c r="I13" s="944" t="s">
        <v>780</v>
      </c>
      <c r="J13" s="944" t="s">
        <v>1048</v>
      </c>
      <c r="P13" s="939"/>
      <c r="Q13" s="939"/>
      <c r="R13" s="939"/>
      <c r="S13" s="940"/>
      <c r="T13" s="943"/>
      <c r="U13" s="940"/>
      <c r="V13" s="940"/>
    </row>
    <row r="14" spans="1:22" s="937" customFormat="1" ht="13.5" customHeight="1">
      <c r="A14" s="933"/>
      <c r="B14" s="933"/>
      <c r="E14" s="938"/>
      <c r="F14" s="933"/>
      <c r="I14" s="933"/>
      <c r="J14" s="933"/>
      <c r="K14" s="933"/>
      <c r="P14" s="939"/>
      <c r="Q14" s="939"/>
      <c r="R14" s="939"/>
      <c r="S14" s="940"/>
      <c r="T14" s="943"/>
      <c r="U14" s="940"/>
      <c r="V14" s="940"/>
    </row>
    <row r="15" spans="1:22" s="937" customFormat="1" ht="13.5" customHeight="1">
      <c r="A15" s="933">
        <v>1</v>
      </c>
      <c r="B15" s="933"/>
      <c r="C15" s="945" t="s">
        <v>1049</v>
      </c>
      <c r="E15" s="938"/>
      <c r="F15" s="933"/>
      <c r="H15" s="937">
        <f>'WP-AR-IS'!G26</f>
        <v>415</v>
      </c>
      <c r="I15" s="937">
        <f>'WP-AR-IS'!G27</f>
        <v>154</v>
      </c>
      <c r="J15" s="937">
        <f>H15+I15</f>
        <v>569</v>
      </c>
      <c r="K15" s="939"/>
      <c r="P15" s="939"/>
      <c r="Q15" s="939"/>
      <c r="R15" s="939"/>
      <c r="S15" s="940"/>
      <c r="T15" s="943"/>
      <c r="U15" s="940"/>
      <c r="V15" s="940"/>
    </row>
    <row r="16" spans="1:22" s="937" customFormat="1" ht="13.5" customHeight="1">
      <c r="A16" s="933">
        <f>A15+1</f>
        <v>2</v>
      </c>
      <c r="B16" s="933"/>
      <c r="C16" s="945" t="s">
        <v>1046</v>
      </c>
      <c r="P16" s="939"/>
      <c r="Q16" s="939"/>
      <c r="R16" s="939"/>
      <c r="S16" s="940"/>
      <c r="T16" s="943"/>
      <c r="U16" s="940"/>
      <c r="V16" s="940"/>
    </row>
    <row r="17" spans="1:22" s="937" customFormat="1" ht="13.5" customHeight="1">
      <c r="A17" s="933">
        <f aca="true" t="shared" si="0" ref="A17:A36">A16+1</f>
        <v>3</v>
      </c>
      <c r="B17" s="933"/>
      <c r="C17" s="946" t="s">
        <v>581</v>
      </c>
      <c r="H17" s="937">
        <f>-SUM('WP-AA'!C18:C25)/10^6</f>
        <v>-109.09084104</v>
      </c>
      <c r="I17" s="937">
        <f>-SUM('WP-AA'!C48:C58)/10^6</f>
        <v>-111.67882621000001</v>
      </c>
      <c r="J17" s="937">
        <f aca="true" t="shared" si="1" ref="J17:J35">H17+I17</f>
        <v>-220.76966725</v>
      </c>
      <c r="P17" s="939"/>
      <c r="Q17" s="939"/>
      <c r="R17" s="939"/>
      <c r="S17" s="940"/>
      <c r="T17" s="943"/>
      <c r="U17" s="940"/>
      <c r="V17" s="940"/>
    </row>
    <row r="18" spans="1:22" s="937" customFormat="1" ht="13.5" customHeight="1">
      <c r="A18" s="933">
        <f t="shared" si="0"/>
        <v>4</v>
      </c>
      <c r="B18" s="933"/>
      <c r="C18" s="946" t="s">
        <v>1332</v>
      </c>
      <c r="H18" s="937">
        <f>-'WP-AA'!E25/10^6</f>
        <v>-4.01056847</v>
      </c>
      <c r="I18" s="937">
        <v>0</v>
      </c>
      <c r="J18" s="937">
        <f t="shared" si="1"/>
        <v>-4.01056847</v>
      </c>
      <c r="P18" s="939"/>
      <c r="Q18" s="939"/>
      <c r="R18" s="939"/>
      <c r="S18" s="940"/>
      <c r="T18" s="943"/>
      <c r="U18" s="940"/>
      <c r="V18" s="940"/>
    </row>
    <row r="19" spans="1:22" s="937" customFormat="1" ht="13.5" customHeight="1">
      <c r="A19" s="933">
        <f t="shared" si="0"/>
        <v>5</v>
      </c>
      <c r="B19" s="933"/>
      <c r="C19" s="946" t="s">
        <v>1350</v>
      </c>
      <c r="H19" s="937">
        <f>-'WP-AA'!F30/10^6-'WP-AA'!F31/10^6</f>
        <v>-97.88507934000003</v>
      </c>
      <c r="I19" s="937">
        <v>0</v>
      </c>
      <c r="J19" s="937">
        <f t="shared" si="1"/>
        <v>-97.88507934000003</v>
      </c>
      <c r="P19" s="939"/>
      <c r="Q19" s="939"/>
      <c r="R19" s="939"/>
      <c r="S19" s="940"/>
      <c r="T19" s="943"/>
      <c r="U19" s="940"/>
      <c r="V19" s="940"/>
    </row>
    <row r="20" spans="1:22" s="937" customFormat="1" ht="13.5" customHeight="1">
      <c r="A20" s="933">
        <f t="shared" si="0"/>
        <v>6</v>
      </c>
      <c r="B20" s="933"/>
      <c r="C20" s="946" t="s">
        <v>1284</v>
      </c>
      <c r="H20" s="937">
        <f>-'WP-AA'!F32/10^6</f>
        <v>-29.622278780000002</v>
      </c>
      <c r="I20" s="937">
        <v>0</v>
      </c>
      <c r="J20" s="937">
        <f t="shared" si="1"/>
        <v>-29.622278780000002</v>
      </c>
      <c r="P20" s="939"/>
      <c r="Q20" s="939"/>
      <c r="R20" s="939"/>
      <c r="S20" s="940"/>
      <c r="T20" s="943"/>
      <c r="U20" s="940"/>
      <c r="V20" s="940"/>
    </row>
    <row r="21" spans="1:22" s="937" customFormat="1" ht="13.5" customHeight="1">
      <c r="A21" s="933">
        <f t="shared" si="0"/>
        <v>7</v>
      </c>
      <c r="B21" s="933"/>
      <c r="C21" s="946" t="s">
        <v>1040</v>
      </c>
      <c r="H21" s="937">
        <f>-(SUM('WP-AA'!F33:F47)/10^6+H23+H24+H26)*'WP-EA'!H36</f>
        <v>-103.95707515948692</v>
      </c>
      <c r="I21" s="937">
        <v>0</v>
      </c>
      <c r="J21" s="937">
        <f t="shared" si="1"/>
        <v>-103.95707515948692</v>
      </c>
      <c r="P21" s="939"/>
      <c r="Q21" s="939"/>
      <c r="R21" s="939"/>
      <c r="S21" s="940"/>
      <c r="T21" s="943"/>
      <c r="U21" s="940"/>
      <c r="V21" s="940"/>
    </row>
    <row r="22" spans="1:22" s="937" customFormat="1" ht="13.5" customHeight="1">
      <c r="A22" s="933">
        <f t="shared" si="0"/>
        <v>8</v>
      </c>
      <c r="B22" s="933"/>
      <c r="C22" s="945" t="s">
        <v>211</v>
      </c>
      <c r="G22" s="947"/>
      <c r="J22" s="937">
        <f t="shared" si="1"/>
        <v>0</v>
      </c>
      <c r="K22" s="948"/>
      <c r="P22" s="939"/>
      <c r="Q22" s="939"/>
      <c r="R22" s="939"/>
      <c r="S22" s="940"/>
      <c r="T22" s="943"/>
      <c r="U22" s="940"/>
      <c r="V22" s="940"/>
    </row>
    <row r="23" spans="1:22" s="937" customFormat="1" ht="13.5" customHeight="1">
      <c r="A23" s="933">
        <f t="shared" si="0"/>
        <v>9</v>
      </c>
      <c r="B23" s="933"/>
      <c r="C23" s="946" t="s">
        <v>1041</v>
      </c>
      <c r="G23" s="947"/>
      <c r="H23" s="937">
        <f>-'WP-AA'!F37/10^6</f>
        <v>-5.7451971</v>
      </c>
      <c r="I23" s="937">
        <v>0</v>
      </c>
      <c r="J23" s="937">
        <f t="shared" si="1"/>
        <v>-5.7451971</v>
      </c>
      <c r="K23" s="948"/>
      <c r="P23" s="939"/>
      <c r="Q23" s="939"/>
      <c r="R23" s="939"/>
      <c r="S23" s="940"/>
      <c r="T23" s="943"/>
      <c r="U23" s="940"/>
      <c r="V23" s="940"/>
    </row>
    <row r="24" spans="1:22" s="937" customFormat="1" ht="13.5" customHeight="1">
      <c r="A24" s="933">
        <f t="shared" si="0"/>
        <v>10</v>
      </c>
      <c r="B24" s="933"/>
      <c r="C24" s="946" t="s">
        <v>1042</v>
      </c>
      <c r="G24" s="947"/>
      <c r="H24" s="937">
        <f>-'WP-AA'!F38/10^6</f>
        <v>-1.8376522899999999</v>
      </c>
      <c r="I24" s="937">
        <v>0</v>
      </c>
      <c r="J24" s="937">
        <f t="shared" si="1"/>
        <v>-1.8376522899999999</v>
      </c>
      <c r="K24" s="948"/>
      <c r="P24" s="939"/>
      <c r="Q24" s="939"/>
      <c r="R24" s="939"/>
      <c r="S24" s="940"/>
      <c r="T24" s="943"/>
      <c r="U24" s="940"/>
      <c r="V24" s="940"/>
    </row>
    <row r="25" spans="1:22" s="937" customFormat="1" ht="13.5" customHeight="1">
      <c r="A25" s="933">
        <f t="shared" si="0"/>
        <v>11</v>
      </c>
      <c r="B25" s="933"/>
      <c r="C25" s="946" t="s">
        <v>896</v>
      </c>
      <c r="G25" s="947"/>
      <c r="H25" s="937">
        <f>'A2-A&amp;G'!H34/10^6</f>
        <v>0</v>
      </c>
      <c r="I25" s="937">
        <v>0</v>
      </c>
      <c r="J25" s="937">
        <f t="shared" si="1"/>
        <v>0</v>
      </c>
      <c r="P25" s="939"/>
      <c r="Q25" s="939"/>
      <c r="R25" s="939"/>
      <c r="S25" s="940"/>
      <c r="T25" s="943"/>
      <c r="U25" s="940"/>
      <c r="V25" s="940"/>
    </row>
    <row r="26" spans="1:22" s="937" customFormat="1" ht="13.5" customHeight="1">
      <c r="A26" s="933">
        <f t="shared" si="0"/>
        <v>12</v>
      </c>
      <c r="B26" s="933"/>
      <c r="C26" s="946" t="s">
        <v>1331</v>
      </c>
      <c r="G26" s="947"/>
      <c r="H26" s="937">
        <f>-'WP-AA'!F41/10^6</f>
        <v>-2.96581117</v>
      </c>
      <c r="I26" s="937">
        <v>0</v>
      </c>
      <c r="J26" s="937">
        <f t="shared" si="1"/>
        <v>-2.96581117</v>
      </c>
      <c r="K26" s="948"/>
      <c r="P26" s="939"/>
      <c r="Q26" s="939"/>
      <c r="R26" s="939"/>
      <c r="S26" s="940"/>
      <c r="T26" s="943"/>
      <c r="U26" s="940"/>
      <c r="V26" s="940"/>
    </row>
    <row r="27" spans="1:22" s="937" customFormat="1" ht="13.5" customHeight="1">
      <c r="A27" s="933">
        <f t="shared" si="0"/>
        <v>13</v>
      </c>
      <c r="B27" s="933"/>
      <c r="C27" s="946" t="s">
        <v>900</v>
      </c>
      <c r="H27" s="937">
        <f>'WP-AF'!H21/10^6</f>
        <v>0.512739</v>
      </c>
      <c r="I27" s="937">
        <v>0</v>
      </c>
      <c r="J27" s="937">
        <f t="shared" si="1"/>
        <v>0.512739</v>
      </c>
      <c r="P27" s="939"/>
      <c r="Q27" s="939"/>
      <c r="R27" s="939"/>
      <c r="S27" s="940"/>
      <c r="T27" s="943"/>
      <c r="U27" s="940"/>
      <c r="V27" s="940"/>
    </row>
    <row r="28" spans="1:22" s="937" customFormat="1" ht="13.5" customHeight="1">
      <c r="A28" s="933">
        <f t="shared" si="0"/>
        <v>14</v>
      </c>
      <c r="B28" s="933"/>
      <c r="C28" s="946" t="s">
        <v>1039</v>
      </c>
      <c r="E28" s="20"/>
      <c r="F28" s="20"/>
      <c r="H28" s="937">
        <f>'A2-A&amp;G'!J20/10^6</f>
        <v>1.062110270346527</v>
      </c>
      <c r="I28" s="937">
        <v>0</v>
      </c>
      <c r="J28" s="937">
        <f t="shared" si="1"/>
        <v>1.062110270346527</v>
      </c>
      <c r="P28" s="939"/>
      <c r="Q28" s="939"/>
      <c r="R28" s="939"/>
      <c r="S28" s="940"/>
      <c r="T28" s="943"/>
      <c r="U28" s="940"/>
      <c r="V28" s="940"/>
    </row>
    <row r="29" spans="1:22" s="937" customFormat="1" ht="13.5" customHeight="1">
      <c r="A29" s="933">
        <f t="shared" si="0"/>
        <v>15</v>
      </c>
      <c r="B29" s="933"/>
      <c r="C29" s="946" t="s">
        <v>1038</v>
      </c>
      <c r="E29" s="20"/>
      <c r="F29" s="20"/>
      <c r="H29" s="937">
        <f>'A2-A&amp;G'!J21/10^6</f>
        <v>0.7311937634339761</v>
      </c>
      <c r="I29" s="937">
        <v>0</v>
      </c>
      <c r="J29" s="937">
        <f t="shared" si="1"/>
        <v>0.7311937634339761</v>
      </c>
      <c r="P29" s="939"/>
      <c r="Q29" s="939"/>
      <c r="R29" s="939"/>
      <c r="S29" s="940"/>
      <c r="T29" s="943"/>
      <c r="U29" s="940"/>
      <c r="V29" s="940"/>
    </row>
    <row r="30" spans="1:22" s="937" customFormat="1" ht="13.5" customHeight="1">
      <c r="A30" s="933">
        <f t="shared" si="0"/>
        <v>16</v>
      </c>
      <c r="B30" s="933"/>
      <c r="C30" s="946" t="s">
        <v>158</v>
      </c>
      <c r="E30" s="20"/>
      <c r="F30" s="20"/>
      <c r="H30" s="937">
        <v>0</v>
      </c>
      <c r="I30" s="937">
        <f>'A1-O&amp;M'!J33/10^6</f>
        <v>-0.8106931594490513</v>
      </c>
      <c r="J30" s="937">
        <f t="shared" si="1"/>
        <v>-0.8106931594490513</v>
      </c>
      <c r="P30" s="939"/>
      <c r="Q30" s="939"/>
      <c r="R30" s="939"/>
      <c r="S30" s="940"/>
      <c r="T30" s="943"/>
      <c r="U30" s="940"/>
      <c r="V30" s="940"/>
    </row>
    <row r="31" spans="1:22" s="937" customFormat="1" ht="13.5" customHeight="1">
      <c r="A31" s="933">
        <f t="shared" si="0"/>
        <v>17</v>
      </c>
      <c r="B31" s="933"/>
      <c r="C31" s="946" t="s">
        <v>159</v>
      </c>
      <c r="E31" s="938"/>
      <c r="F31" s="933"/>
      <c r="H31" s="937">
        <v>0</v>
      </c>
      <c r="I31" s="937">
        <f>'A1-O&amp;M'!J34/10^6</f>
        <v>-0.9054888848207288</v>
      </c>
      <c r="J31" s="937">
        <f t="shared" si="1"/>
        <v>-0.9054888848207288</v>
      </c>
      <c r="P31" s="939"/>
      <c r="Q31" s="939"/>
      <c r="R31" s="939"/>
      <c r="S31" s="940"/>
      <c r="T31" s="943"/>
      <c r="U31" s="940"/>
      <c r="V31" s="940"/>
    </row>
    <row r="32" spans="1:22" s="937" customFormat="1" ht="13.5" customHeight="1">
      <c r="A32" s="933">
        <f t="shared" si="0"/>
        <v>18</v>
      </c>
      <c r="B32" s="933"/>
      <c r="C32" s="946" t="s">
        <v>910</v>
      </c>
      <c r="E32" s="938"/>
      <c r="F32" s="933"/>
      <c r="H32" s="937">
        <v>0</v>
      </c>
      <c r="I32" s="937">
        <f>'A1-O&amp;M'!J35/10^6</f>
        <v>-0.09841272999999998</v>
      </c>
      <c r="J32" s="937">
        <f t="shared" si="1"/>
        <v>-0.09841272999999998</v>
      </c>
      <c r="P32" s="939"/>
      <c r="Q32" s="939"/>
      <c r="R32" s="939"/>
      <c r="S32" s="940"/>
      <c r="T32" s="943"/>
      <c r="U32" s="940"/>
      <c r="V32" s="940"/>
    </row>
    <row r="33" spans="1:22" s="937" customFormat="1" ht="13.5" customHeight="1">
      <c r="A33" s="933">
        <f t="shared" si="0"/>
        <v>19</v>
      </c>
      <c r="B33" s="933"/>
      <c r="C33" s="946" t="s">
        <v>1349</v>
      </c>
      <c r="E33" s="20"/>
      <c r="F33" s="20"/>
      <c r="H33" s="937">
        <v>-2.60889623999991</v>
      </c>
      <c r="I33" s="937">
        <f>-H33</f>
        <v>2.60889623999991</v>
      </c>
      <c r="J33" s="937">
        <f t="shared" si="1"/>
        <v>0</v>
      </c>
      <c r="P33" s="939"/>
      <c r="Q33" s="939"/>
      <c r="R33" s="939"/>
      <c r="S33" s="940"/>
      <c r="T33" s="943"/>
      <c r="U33" s="940"/>
      <c r="V33" s="940"/>
    </row>
    <row r="34" spans="1:22" s="937" customFormat="1" ht="13.5" customHeight="1">
      <c r="A34" s="933"/>
      <c r="B34" s="933"/>
      <c r="C34" s="946"/>
      <c r="E34" s="20"/>
      <c r="F34" s="20"/>
      <c r="P34" s="939"/>
      <c r="Q34" s="939"/>
      <c r="R34" s="939"/>
      <c r="S34" s="940"/>
      <c r="T34" s="943"/>
      <c r="U34" s="940"/>
      <c r="V34" s="940"/>
    </row>
    <row r="35" spans="1:22" s="937" customFormat="1" ht="13.5" customHeight="1" thickBot="1">
      <c r="A35" s="933">
        <f>A33+1</f>
        <v>20</v>
      </c>
      <c r="B35" s="933"/>
      <c r="C35" s="945" t="s">
        <v>1050</v>
      </c>
      <c r="E35" s="20"/>
      <c r="F35" s="20"/>
      <c r="H35" s="949">
        <f>H15+SUM(H17:H21)+SUM(H23:H33)</f>
        <v>59.58264344429363</v>
      </c>
      <c r="I35" s="949">
        <f>I15+SUM(I17:I21)+SUM(I23:I33)</f>
        <v>43.11547525573012</v>
      </c>
      <c r="J35" s="949">
        <f t="shared" si="1"/>
        <v>102.69811870002374</v>
      </c>
      <c r="P35" s="939"/>
      <c r="Q35" s="939"/>
      <c r="R35" s="939"/>
      <c r="S35" s="940"/>
      <c r="T35" s="943"/>
      <c r="U35" s="940"/>
      <c r="V35" s="940"/>
    </row>
    <row r="36" spans="1:22" s="952" customFormat="1" ht="13.5" customHeight="1" thickTop="1">
      <c r="A36" s="933">
        <f t="shared" si="0"/>
        <v>21</v>
      </c>
      <c r="B36" s="950"/>
      <c r="C36" s="951" t="s">
        <v>720</v>
      </c>
      <c r="E36" s="953"/>
      <c r="F36" s="953"/>
      <c r="H36" s="952">
        <f>('A1-O&amp;M'!H20+'A2-A&amp;G'!J39)/10^6-H35</f>
        <v>3.4067347949170355</v>
      </c>
      <c r="I36" s="952">
        <f>('A1-O&amp;M'!H29+'A1-O&amp;M'!J33+'A1-O&amp;M'!J34+'A1-O&amp;M'!J35)/10^6-I35</f>
        <v>-2.7977764199998916</v>
      </c>
      <c r="J36" s="952">
        <f>H36+I36</f>
        <v>0.6089583749171439</v>
      </c>
      <c r="P36" s="954"/>
      <c r="Q36" s="954"/>
      <c r="R36" s="954"/>
      <c r="S36" s="955"/>
      <c r="T36" s="956"/>
      <c r="U36" s="955"/>
      <c r="V36" s="955"/>
    </row>
    <row r="37" spans="1:20" s="940" customFormat="1" ht="13.5" customHeight="1">
      <c r="A37" s="957"/>
      <c r="B37" s="957"/>
      <c r="C37" s="957"/>
      <c r="E37" s="958"/>
      <c r="F37" s="957"/>
      <c r="K37" s="939"/>
      <c r="P37" s="939"/>
      <c r="Q37" s="939"/>
      <c r="R37" s="939"/>
      <c r="T37" s="943"/>
    </row>
    <row r="38" spans="1:22" s="937" customFormat="1" ht="13.5" customHeight="1">
      <c r="A38" s="933"/>
      <c r="B38" s="941">
        <v>2</v>
      </c>
      <c r="C38" s="959" t="s">
        <v>1356</v>
      </c>
      <c r="E38" s="938"/>
      <c r="F38" s="933"/>
      <c r="K38" s="939"/>
      <c r="P38" s="939"/>
      <c r="Q38" s="939"/>
      <c r="R38" s="939"/>
      <c r="S38" s="940"/>
      <c r="T38" s="943"/>
      <c r="U38" s="940"/>
      <c r="V38" s="940"/>
    </row>
    <row r="39" spans="1:22" s="937" customFormat="1" ht="18" customHeight="1">
      <c r="A39" s="933"/>
      <c r="B39" s="933"/>
      <c r="C39" s="933"/>
      <c r="E39" s="938"/>
      <c r="F39" s="933"/>
      <c r="H39" s="1607">
        <v>2015</v>
      </c>
      <c r="I39" s="1608"/>
      <c r="J39" s="1608"/>
      <c r="K39" s="1609"/>
      <c r="L39" s="1607">
        <v>2014</v>
      </c>
      <c r="M39" s="1608"/>
      <c r="N39" s="1608"/>
      <c r="O39" s="1609"/>
      <c r="P39" s="939"/>
      <c r="Q39" s="939"/>
      <c r="R39" s="939"/>
      <c r="S39" s="940"/>
      <c r="T39" s="943"/>
      <c r="U39" s="940"/>
      <c r="V39" s="940"/>
    </row>
    <row r="40" spans="1:22" s="937" customFormat="1" ht="18" customHeight="1">
      <c r="A40" s="933"/>
      <c r="B40" s="960"/>
      <c r="C40" s="933"/>
      <c r="E40" s="938"/>
      <c r="F40" s="933"/>
      <c r="H40" s="941" t="s">
        <v>1351</v>
      </c>
      <c r="I40" s="941" t="s">
        <v>163</v>
      </c>
      <c r="J40" s="941" t="s">
        <v>1351</v>
      </c>
      <c r="K40" s="941" t="s">
        <v>72</v>
      </c>
      <c r="L40" s="941" t="s">
        <v>1351</v>
      </c>
      <c r="M40" s="941" t="s">
        <v>163</v>
      </c>
      <c r="N40" s="941" t="s">
        <v>1351</v>
      </c>
      <c r="O40" s="941" t="s">
        <v>72</v>
      </c>
      <c r="P40" s="939"/>
      <c r="Q40" s="943"/>
      <c r="R40" s="943"/>
      <c r="S40" s="939"/>
      <c r="T40" s="943"/>
      <c r="U40" s="940"/>
      <c r="V40" s="940"/>
    </row>
    <row r="41" spans="1:22" s="937" customFormat="1" ht="18" customHeight="1">
      <c r="A41" s="933"/>
      <c r="B41" s="961"/>
      <c r="C41" s="933"/>
      <c r="E41" s="938"/>
      <c r="F41" s="962"/>
      <c r="G41" s="942"/>
      <c r="H41" s="962" t="s">
        <v>954</v>
      </c>
      <c r="I41" s="962" t="s">
        <v>342</v>
      </c>
      <c r="J41" s="962" t="s">
        <v>1025</v>
      </c>
      <c r="K41" s="962" t="s">
        <v>956</v>
      </c>
      <c r="L41" s="962" t="s">
        <v>954</v>
      </c>
      <c r="M41" s="962" t="s">
        <v>342</v>
      </c>
      <c r="N41" s="962" t="s">
        <v>1025</v>
      </c>
      <c r="O41" s="962" t="s">
        <v>956</v>
      </c>
      <c r="P41" s="963"/>
      <c r="Q41" s="964"/>
      <c r="R41" s="964"/>
      <c r="S41" s="964"/>
      <c r="T41" s="964"/>
      <c r="U41" s="940"/>
      <c r="V41" s="940"/>
    </row>
    <row r="42" spans="1:6" s="934" customFormat="1" ht="13.5" customHeight="1">
      <c r="A42" s="933"/>
      <c r="B42" s="933"/>
      <c r="C42" s="933"/>
      <c r="D42" s="965"/>
      <c r="E42" s="966"/>
      <c r="F42" s="933"/>
    </row>
    <row r="43" spans="1:6" s="934" customFormat="1" ht="13.5" customHeight="1">
      <c r="A43" s="933"/>
      <c r="B43" s="933"/>
      <c r="C43" s="937" t="s">
        <v>1037</v>
      </c>
      <c r="E43" s="966"/>
      <c r="F43" s="933"/>
    </row>
    <row r="44" spans="1:15" s="934" customFormat="1" ht="13.5" customHeight="1">
      <c r="A44" s="933">
        <f>A36+1</f>
        <v>22</v>
      </c>
      <c r="B44" s="933"/>
      <c r="C44" s="946" t="s">
        <v>1030</v>
      </c>
      <c r="E44" s="966"/>
      <c r="F44" s="933"/>
      <c r="H44" s="967">
        <f>'WP-AR-Cap Assets'!O25</f>
        <v>588</v>
      </c>
      <c r="I44" s="967">
        <v>0</v>
      </c>
      <c r="J44" s="967">
        <f>H44-I44</f>
        <v>588</v>
      </c>
      <c r="K44" s="967">
        <v>0</v>
      </c>
      <c r="L44" s="967">
        <f>'WP-AR-Cap Assets'!I25</f>
        <v>421</v>
      </c>
      <c r="M44" s="967">
        <v>0</v>
      </c>
      <c r="N44" s="967">
        <f>L44-M44</f>
        <v>421</v>
      </c>
      <c r="O44" s="967">
        <v>0</v>
      </c>
    </row>
    <row r="45" spans="1:15" s="934" customFormat="1" ht="13.5" customHeight="1">
      <c r="A45" s="933">
        <f>A44+1</f>
        <v>23</v>
      </c>
      <c r="B45" s="933"/>
      <c r="C45" s="946" t="s">
        <v>1031</v>
      </c>
      <c r="E45" s="966"/>
      <c r="F45" s="933"/>
      <c r="H45" s="968">
        <f>'WP-AR-Cap Assets'!O35</f>
        <v>7674</v>
      </c>
      <c r="I45" s="968">
        <f>'WP-AR-Cap Assets'!O44</f>
        <v>3484</v>
      </c>
      <c r="J45" s="968">
        <f>H45-I45</f>
        <v>4190</v>
      </c>
      <c r="K45" s="968">
        <f>'WP-AR-IS'!G28</f>
        <v>237</v>
      </c>
      <c r="L45" s="968">
        <f>'WP-AR-Cap Assets'!I35</f>
        <v>7572</v>
      </c>
      <c r="M45" s="968">
        <f>'WP-AR-Cap Assets'!I44</f>
        <v>3262</v>
      </c>
      <c r="N45" s="968">
        <f>L45-M45</f>
        <v>4310</v>
      </c>
      <c r="O45" s="968">
        <f>'WP-AR-IS'!H28</f>
        <v>232</v>
      </c>
    </row>
    <row r="46" spans="1:15" s="934" customFormat="1" ht="13.5" customHeight="1">
      <c r="A46" s="933">
        <f aca="true" t="shared" si="2" ref="A46:A69">A45+1</f>
        <v>24</v>
      </c>
      <c r="B46" s="933"/>
      <c r="C46" s="946" t="s">
        <v>1021</v>
      </c>
      <c r="E46" s="966"/>
      <c r="F46" s="933"/>
      <c r="H46" s="967">
        <f>SUM(H44:H45)</f>
        <v>8262</v>
      </c>
      <c r="I46" s="967">
        <f>SUM(I44:I45)</f>
        <v>3484</v>
      </c>
      <c r="J46" s="967">
        <f aca="true" t="shared" si="3" ref="J46:O46">SUM(J44:J45)</f>
        <v>4778</v>
      </c>
      <c r="K46" s="967">
        <f t="shared" si="3"/>
        <v>237</v>
      </c>
      <c r="L46" s="967">
        <f t="shared" si="3"/>
        <v>7993</v>
      </c>
      <c r="M46" s="967">
        <f t="shared" si="3"/>
        <v>3262</v>
      </c>
      <c r="N46" s="967">
        <f t="shared" si="3"/>
        <v>4731</v>
      </c>
      <c r="O46" s="967">
        <f t="shared" si="3"/>
        <v>232</v>
      </c>
    </row>
    <row r="47" spans="1:15" s="934" customFormat="1" ht="13.5" customHeight="1">
      <c r="A47" s="933">
        <f t="shared" si="2"/>
        <v>25</v>
      </c>
      <c r="B47" s="933"/>
      <c r="C47" s="946" t="s">
        <v>1022</v>
      </c>
      <c r="E47" s="966"/>
      <c r="F47" s="933"/>
      <c r="H47" s="968">
        <f>-'WP-AR-Cap Assets'!O22</f>
        <v>-428</v>
      </c>
      <c r="I47" s="968">
        <v>0</v>
      </c>
      <c r="J47" s="968">
        <f>H47-I47</f>
        <v>-428</v>
      </c>
      <c r="K47" s="968">
        <v>0</v>
      </c>
      <c r="L47" s="968">
        <f>-'WP-AR-Cap Assets'!I22</f>
        <v>-261</v>
      </c>
      <c r="M47" s="968">
        <v>0</v>
      </c>
      <c r="N47" s="968">
        <f>L47-M47</f>
        <v>-261</v>
      </c>
      <c r="O47" s="968">
        <f>-'WP-BC'!L56</f>
        <v>0</v>
      </c>
    </row>
    <row r="48" spans="1:15" s="934" customFormat="1" ht="13.5" customHeight="1">
      <c r="A48" s="933">
        <f t="shared" si="2"/>
        <v>26</v>
      </c>
      <c r="B48" s="933"/>
      <c r="C48" s="946" t="s">
        <v>1023</v>
      </c>
      <c r="E48" s="966"/>
      <c r="F48" s="933"/>
      <c r="H48" s="967">
        <f>SUM(H46:H47)</f>
        <v>7834</v>
      </c>
      <c r="I48" s="967">
        <f aca="true" t="shared" si="4" ref="I48:O48">SUM(I46:I47)</f>
        <v>3484</v>
      </c>
      <c r="J48" s="967">
        <f t="shared" si="4"/>
        <v>4350</v>
      </c>
      <c r="K48" s="967">
        <f t="shared" si="4"/>
        <v>237</v>
      </c>
      <c r="L48" s="967">
        <f t="shared" si="4"/>
        <v>7732</v>
      </c>
      <c r="M48" s="967">
        <f t="shared" si="4"/>
        <v>3262</v>
      </c>
      <c r="N48" s="967">
        <f t="shared" si="4"/>
        <v>4470</v>
      </c>
      <c r="O48" s="967">
        <f t="shared" si="4"/>
        <v>232</v>
      </c>
    </row>
    <row r="49" spans="1:15" s="934" customFormat="1" ht="13.5" customHeight="1">
      <c r="A49" s="933">
        <f t="shared" si="2"/>
        <v>27</v>
      </c>
      <c r="B49" s="933"/>
      <c r="C49" s="945" t="s">
        <v>1032</v>
      </c>
      <c r="E49" s="966"/>
      <c r="F49" s="933"/>
      <c r="H49" s="967"/>
      <c r="I49" s="967"/>
      <c r="J49" s="967"/>
      <c r="K49" s="967"/>
      <c r="L49" s="967"/>
      <c r="M49" s="967"/>
      <c r="N49" s="967"/>
      <c r="O49" s="967"/>
    </row>
    <row r="50" spans="1:15" s="934" customFormat="1" ht="13.5" customHeight="1">
      <c r="A50" s="933">
        <f t="shared" si="2"/>
        <v>28</v>
      </c>
      <c r="B50" s="933"/>
      <c r="C50" s="946" t="s">
        <v>1033</v>
      </c>
      <c r="F50" s="933"/>
      <c r="H50" s="967"/>
      <c r="I50" s="967"/>
      <c r="J50" s="967"/>
      <c r="K50" s="967"/>
      <c r="L50" s="967"/>
      <c r="M50" s="967"/>
      <c r="N50" s="967"/>
      <c r="O50" s="967"/>
    </row>
    <row r="51" spans="1:15" s="934" customFormat="1" ht="13.5" customHeight="1">
      <c r="A51" s="933">
        <f t="shared" si="2"/>
        <v>29</v>
      </c>
      <c r="B51" s="933"/>
      <c r="C51" s="969" t="s">
        <v>35</v>
      </c>
      <c r="E51" s="966"/>
      <c r="F51" s="933"/>
      <c r="H51" s="967">
        <f>'B2-Plant'!H28/10^6</f>
        <v>0</v>
      </c>
      <c r="I51" s="967">
        <f>'B2-Plant'!I28/10^6</f>
        <v>98.124203</v>
      </c>
      <c r="J51" s="967">
        <f aca="true" t="shared" si="5" ref="J51:J63">H51-I51</f>
        <v>-98.124203</v>
      </c>
      <c r="K51" s="967">
        <f>'B2-Plant'!K28/10^6</f>
        <v>0</v>
      </c>
      <c r="L51" s="967">
        <f>'B2-Plant'!L28/10^6</f>
        <v>0</v>
      </c>
      <c r="M51" s="967">
        <f>'B2-Plant'!M28/10^6</f>
        <v>93.786811</v>
      </c>
      <c r="N51" s="967">
        <f aca="true" t="shared" si="6" ref="N51:N63">L51-M51</f>
        <v>-93.786811</v>
      </c>
      <c r="O51" s="967">
        <f>'B2-Plant'!O28/10^6</f>
        <v>0</v>
      </c>
    </row>
    <row r="52" spans="1:15" s="934" customFormat="1" ht="13.5" customHeight="1">
      <c r="A52" s="933">
        <f t="shared" si="2"/>
        <v>30</v>
      </c>
      <c r="B52" s="933"/>
      <c r="C52" s="969" t="s">
        <v>115</v>
      </c>
      <c r="E52" s="966"/>
      <c r="F52" s="933"/>
      <c r="H52" s="968">
        <f>'B2-Plant'!H49/10^6</f>
        <v>0</v>
      </c>
      <c r="I52" s="968">
        <f>'B2-Plant'!I49/10^6</f>
        <v>4.215005</v>
      </c>
      <c r="J52" s="968">
        <f t="shared" si="5"/>
        <v>-4.215005</v>
      </c>
      <c r="K52" s="968">
        <f>'B2-Plant'!K49/10^6</f>
        <v>0</v>
      </c>
      <c r="L52" s="968">
        <f>'B2-Plant'!L49/10^6</f>
        <v>0</v>
      </c>
      <c r="M52" s="968">
        <f>'B2-Plant'!M49/10^6</f>
        <v>4.215005</v>
      </c>
      <c r="N52" s="968">
        <f t="shared" si="6"/>
        <v>-4.215005</v>
      </c>
      <c r="O52" s="968">
        <f>'B2-Plant'!O49/10^6</f>
        <v>0</v>
      </c>
    </row>
    <row r="53" spans="1:15" s="934" customFormat="1" ht="13.5" customHeight="1">
      <c r="A53" s="933">
        <f t="shared" si="2"/>
        <v>31</v>
      </c>
      <c r="B53" s="933"/>
      <c r="C53" s="969" t="s">
        <v>4</v>
      </c>
      <c r="E53" s="966"/>
      <c r="F53" s="933"/>
      <c r="H53" s="967">
        <f>SUM(H51:H52)</f>
        <v>0</v>
      </c>
      <c r="I53" s="967">
        <f>SUM(I51:I52)</f>
        <v>102.339208</v>
      </c>
      <c r="J53" s="967">
        <f t="shared" si="5"/>
        <v>-102.339208</v>
      </c>
      <c r="K53" s="967">
        <f>SUM(K51:K52)</f>
        <v>0</v>
      </c>
      <c r="L53" s="967">
        <f>SUM(L51:L52)</f>
        <v>0</v>
      </c>
      <c r="M53" s="967">
        <f>SUM(M51:M52)</f>
        <v>98.001816</v>
      </c>
      <c r="N53" s="967">
        <f t="shared" si="6"/>
        <v>-98.001816</v>
      </c>
      <c r="O53" s="967">
        <f>SUM(O51:O52)</f>
        <v>0</v>
      </c>
    </row>
    <row r="54" spans="1:15" s="934" customFormat="1" ht="13.5" customHeight="1">
      <c r="A54" s="933">
        <f t="shared" si="2"/>
        <v>32</v>
      </c>
      <c r="B54" s="933"/>
      <c r="C54" s="946" t="s">
        <v>1034</v>
      </c>
      <c r="E54" s="966"/>
      <c r="F54" s="933"/>
      <c r="H54" s="967"/>
      <c r="I54" s="967"/>
      <c r="J54" s="967"/>
      <c r="K54" s="967"/>
      <c r="L54" s="967"/>
      <c r="M54" s="967"/>
      <c r="N54" s="967"/>
      <c r="O54" s="967"/>
    </row>
    <row r="55" spans="1:15" s="934" customFormat="1" ht="13.5" customHeight="1">
      <c r="A55" s="933">
        <f t="shared" si="2"/>
        <v>33</v>
      </c>
      <c r="B55" s="933"/>
      <c r="C55" s="969" t="s">
        <v>35</v>
      </c>
      <c r="E55" s="966"/>
      <c r="F55" s="933"/>
      <c r="H55" s="967">
        <f>'B2-Plant'!H30/10^6</f>
        <v>-346.483145</v>
      </c>
      <c r="I55" s="967">
        <f>'B2-Plant'!I30/10^6</f>
        <v>-188.43163282</v>
      </c>
      <c r="J55" s="967">
        <f t="shared" si="5"/>
        <v>-158.05151217999997</v>
      </c>
      <c r="K55" s="967">
        <f>'B2-Plant'!K30/10^6</f>
        <v>-12.87184523</v>
      </c>
      <c r="L55" s="967">
        <f>'B2-Plant'!L30/10^6</f>
        <v>-344.79642977</v>
      </c>
      <c r="M55" s="967">
        <f>'B2-Plant'!M30/10^6</f>
        <v>-175.55978758999998</v>
      </c>
      <c r="N55" s="967">
        <f t="shared" si="6"/>
        <v>-169.23664218</v>
      </c>
      <c r="O55" s="967">
        <f>'B2-Plant'!O30/10^6</f>
        <v>-14.22332993</v>
      </c>
    </row>
    <row r="56" spans="1:16" s="934" customFormat="1" ht="13.5" customHeight="1">
      <c r="A56" s="933">
        <f t="shared" si="2"/>
        <v>34</v>
      </c>
      <c r="B56" s="933"/>
      <c r="C56" s="969" t="s">
        <v>115</v>
      </c>
      <c r="E56" s="966"/>
      <c r="F56" s="933"/>
      <c r="H56" s="968">
        <f>'B2-Plant'!H51/10^6</f>
        <v>-16.11376154</v>
      </c>
      <c r="I56" s="968">
        <f>'B2-Plant'!I51/10^6</f>
        <v>-13.36383497</v>
      </c>
      <c r="J56" s="968">
        <f t="shared" si="5"/>
        <v>-2.7499265699999995</v>
      </c>
      <c r="K56" s="968">
        <f>'B2-Plant'!K51/10^6</f>
        <v>-0.4067952</v>
      </c>
      <c r="L56" s="968">
        <f>'B2-Plant'!L51/10^6</f>
        <v>-15.194345140000001</v>
      </c>
      <c r="M56" s="968">
        <f>'B2-Plant'!M51/10^6</f>
        <v>-12.953929769999998</v>
      </c>
      <c r="N56" s="968">
        <f t="shared" si="6"/>
        <v>-2.2404153700000027</v>
      </c>
      <c r="O56" s="968">
        <f>'B2-Plant'!O51/10^6</f>
        <v>-0.38126592000000004</v>
      </c>
      <c r="P56" s="939"/>
    </row>
    <row r="57" spans="1:16" s="934" customFormat="1" ht="13.5" customHeight="1">
      <c r="A57" s="933">
        <f t="shared" si="2"/>
        <v>35</v>
      </c>
      <c r="B57" s="933"/>
      <c r="C57" s="969" t="s">
        <v>4</v>
      </c>
      <c r="E57" s="966"/>
      <c r="F57" s="933"/>
      <c r="H57" s="967">
        <f>SUM(H55:H56)</f>
        <v>-362.59690653999996</v>
      </c>
      <c r="I57" s="967">
        <f>SUM(I55:I56)</f>
        <v>-201.79546779</v>
      </c>
      <c r="J57" s="967">
        <f t="shared" si="5"/>
        <v>-160.80143874999996</v>
      </c>
      <c r="K57" s="967">
        <f>SUM(K55:K56)</f>
        <v>-13.27864043</v>
      </c>
      <c r="L57" s="967">
        <f>SUM(L55:L56)</f>
        <v>-359.99077490999997</v>
      </c>
      <c r="M57" s="967">
        <f>SUM(M55:M56)</f>
        <v>-188.51371736</v>
      </c>
      <c r="N57" s="967">
        <f t="shared" si="6"/>
        <v>-171.47705754999998</v>
      </c>
      <c r="O57" s="967">
        <f>SUM(O55:O56)</f>
        <v>-14.60459585</v>
      </c>
      <c r="P57" s="939"/>
    </row>
    <row r="58" spans="1:15" s="934" customFormat="1" ht="13.5" customHeight="1">
      <c r="A58" s="933">
        <f t="shared" si="2"/>
        <v>36</v>
      </c>
      <c r="B58" s="933"/>
      <c r="C58" s="946" t="s">
        <v>1035</v>
      </c>
      <c r="E58" s="966"/>
      <c r="F58" s="933"/>
      <c r="H58" s="967"/>
      <c r="I58" s="967"/>
      <c r="J58" s="967"/>
      <c r="K58" s="967"/>
      <c r="L58" s="967"/>
      <c r="M58" s="967"/>
      <c r="N58" s="967"/>
      <c r="O58" s="967"/>
    </row>
    <row r="59" spans="1:15" s="934" customFormat="1" ht="13.5" customHeight="1">
      <c r="A59" s="933">
        <f t="shared" si="2"/>
        <v>37</v>
      </c>
      <c r="B59" s="933"/>
      <c r="C59" s="969" t="s">
        <v>35</v>
      </c>
      <c r="E59" s="966"/>
      <c r="F59" s="933"/>
      <c r="H59" s="967">
        <f>'B2-Plant'!H38/10^6</f>
        <v>-134.16718514</v>
      </c>
      <c r="I59" s="967">
        <f>'B2-Plant'!I38/10^6</f>
        <v>-38.53487014</v>
      </c>
      <c r="J59" s="967">
        <f t="shared" si="5"/>
        <v>-95.63231499999998</v>
      </c>
      <c r="K59" s="967">
        <f>'B2-Plant'!K38/10^6</f>
        <v>-1.03560385</v>
      </c>
      <c r="L59" s="967">
        <f>'B2-Plant'!L38/10^6</f>
        <v>-134.62343434000002</v>
      </c>
      <c r="M59" s="967">
        <f>'B2-Plant'!M38/10^6</f>
        <v>-36.047873339999995</v>
      </c>
      <c r="N59" s="967">
        <f t="shared" si="6"/>
        <v>-98.57556100000002</v>
      </c>
      <c r="O59" s="967">
        <f>'B2-Plant'!O38/10^6</f>
        <v>-1.0993609099999997</v>
      </c>
    </row>
    <row r="60" spans="1:15" s="934" customFormat="1" ht="13.5" customHeight="1">
      <c r="A60" s="933">
        <f t="shared" si="2"/>
        <v>38</v>
      </c>
      <c r="B60" s="933"/>
      <c r="C60" s="969" t="s">
        <v>115</v>
      </c>
      <c r="E60" s="966"/>
      <c r="F60" s="933"/>
      <c r="H60" s="968">
        <f>'B2-Plant'!H52/10^6-H52-H56</f>
        <v>-664.11790887</v>
      </c>
      <c r="I60" s="968">
        <f>'B2-Plant'!I52/10^6-I52-I56</f>
        <v>-135.08558287</v>
      </c>
      <c r="J60" s="968">
        <f t="shared" si="5"/>
        <v>-529.032326</v>
      </c>
      <c r="K60" s="968">
        <f>'B2-Plant'!K52/10^6-K52-K56</f>
        <v>-15.239698359999998</v>
      </c>
      <c r="L60" s="968">
        <f>'B2-Plant'!L52/10^6-L52-L56</f>
        <v>-657.0678235099999</v>
      </c>
      <c r="M60" s="968">
        <f>'B2-Plant'!M52/10^6-M52-M56</f>
        <v>-119.84588450999996</v>
      </c>
      <c r="N60" s="968">
        <f t="shared" si="6"/>
        <v>-537.221939</v>
      </c>
      <c r="O60" s="968">
        <f>'B2-Plant'!O52/10^6-O52-O56</f>
        <v>-15.145356459999999</v>
      </c>
    </row>
    <row r="61" spans="1:15" s="934" customFormat="1" ht="13.5" customHeight="1">
      <c r="A61" s="933">
        <f t="shared" si="2"/>
        <v>39</v>
      </c>
      <c r="B61" s="933"/>
      <c r="C61" s="969" t="s">
        <v>4</v>
      </c>
      <c r="E61" s="966"/>
      <c r="F61" s="933"/>
      <c r="H61" s="967">
        <f>SUM(H59:H60)</f>
        <v>-798.28509401</v>
      </c>
      <c r="I61" s="967">
        <f>SUM(I59:I60)</f>
        <v>-173.62045301</v>
      </c>
      <c r="J61" s="967">
        <f t="shared" si="5"/>
        <v>-624.664641</v>
      </c>
      <c r="K61" s="967">
        <f>SUM(K59:K60)</f>
        <v>-16.27530221</v>
      </c>
      <c r="L61" s="967">
        <f>SUM(L59:L60)</f>
        <v>-791.6912578499999</v>
      </c>
      <c r="M61" s="967">
        <f>SUM(M59:M60)</f>
        <v>-155.89375784999996</v>
      </c>
      <c r="N61" s="967">
        <f t="shared" si="6"/>
        <v>-635.7975</v>
      </c>
      <c r="O61" s="967">
        <f>SUM(O59:O60)</f>
        <v>-16.244717369999996</v>
      </c>
    </row>
    <row r="62" spans="1:15" s="934" customFormat="1" ht="13.5" customHeight="1">
      <c r="A62" s="933">
        <f t="shared" si="2"/>
        <v>40</v>
      </c>
      <c r="B62" s="933"/>
      <c r="C62" s="946"/>
      <c r="E62" s="966"/>
      <c r="F62" s="933"/>
      <c r="H62" s="967"/>
      <c r="I62" s="967"/>
      <c r="J62" s="967"/>
      <c r="K62" s="967"/>
      <c r="L62" s="967"/>
      <c r="M62" s="967"/>
      <c r="N62" s="967"/>
      <c r="O62" s="967"/>
    </row>
    <row r="63" spans="1:15" s="934" customFormat="1" ht="13.5" customHeight="1" thickBot="1">
      <c r="A63" s="933">
        <f t="shared" si="2"/>
        <v>41</v>
      </c>
      <c r="B63" s="933"/>
      <c r="C63" s="934" t="s">
        <v>1029</v>
      </c>
      <c r="E63" s="966"/>
      <c r="F63" s="933"/>
      <c r="H63" s="970">
        <f>H48+H53+H57+H61</f>
        <v>6673.11799945</v>
      </c>
      <c r="I63" s="970">
        <f>I48+I53+I57+I61</f>
        <v>3210.9232872</v>
      </c>
      <c r="J63" s="970">
        <f t="shared" si="5"/>
        <v>3462.19471225</v>
      </c>
      <c r="K63" s="970">
        <f>K48+K53+K57+K61</f>
        <v>207.44605736</v>
      </c>
      <c r="L63" s="970">
        <f>L48+L53+L57+L61</f>
        <v>6580.31796724</v>
      </c>
      <c r="M63" s="970">
        <f>M48+M53+M57+M61</f>
        <v>3015.59434079</v>
      </c>
      <c r="N63" s="970">
        <f t="shared" si="6"/>
        <v>3564.72362645</v>
      </c>
      <c r="O63" s="970">
        <f>O48+O53+O57+O61</f>
        <v>201.15068678</v>
      </c>
    </row>
    <row r="64" spans="1:15" s="934" customFormat="1" ht="13.5" customHeight="1" thickTop="1">
      <c r="A64" s="933">
        <f t="shared" si="2"/>
        <v>42</v>
      </c>
      <c r="B64" s="933"/>
      <c r="C64" s="934" t="s">
        <v>1024</v>
      </c>
      <c r="E64" s="966"/>
      <c r="F64" s="933"/>
      <c r="H64" s="967"/>
      <c r="I64" s="967"/>
      <c r="J64" s="967"/>
      <c r="K64" s="967"/>
      <c r="L64" s="967"/>
      <c r="M64" s="967"/>
      <c r="N64" s="967"/>
      <c r="O64" s="967"/>
    </row>
    <row r="65" spans="1:15" s="934" customFormat="1" ht="13.5" customHeight="1">
      <c r="A65" s="933">
        <f t="shared" si="2"/>
        <v>43</v>
      </c>
      <c r="B65" s="933"/>
      <c r="C65" s="946" t="s">
        <v>581</v>
      </c>
      <c r="E65" s="966"/>
      <c r="F65" s="933"/>
      <c r="H65" s="967">
        <f>'B2-Plant'!H21/10^6</f>
        <v>4527.6890717999995</v>
      </c>
      <c r="I65" s="967">
        <f>'B2-Plant'!I21/10^6</f>
        <v>1754.3972799175037</v>
      </c>
      <c r="J65" s="967">
        <f>'B2-Plant'!J21/10^6</f>
        <v>2773.2917920424957</v>
      </c>
      <c r="K65" s="967">
        <f>'B2-Plant'!K21/10^6</f>
        <v>141.29844057999998</v>
      </c>
      <c r="L65" s="967">
        <f>'B2-Plant'!L21/10^6</f>
        <v>4484.027836299999</v>
      </c>
      <c r="M65" s="967">
        <f>'B2-Plant'!M21/10^6</f>
        <v>1621.019653337504</v>
      </c>
      <c r="N65" s="967">
        <f>'B2-Plant'!N21/10^6</f>
        <v>2863.008182962496</v>
      </c>
      <c r="O65" s="967">
        <f>'B2-Plant'!O21/10^6</f>
        <v>141.09238390000002</v>
      </c>
    </row>
    <row r="66" spans="1:15" s="934" customFormat="1" ht="13.5" customHeight="1">
      <c r="A66" s="933">
        <f t="shared" si="2"/>
        <v>44</v>
      </c>
      <c r="B66" s="933"/>
      <c r="C66" s="946" t="s">
        <v>35</v>
      </c>
      <c r="E66" s="966"/>
      <c r="F66" s="933"/>
      <c r="H66" s="967">
        <f>'B2-Plant'!H40/10^6</f>
        <v>1568.63260516</v>
      </c>
      <c r="I66" s="967">
        <f>'B2-Plant'!I40/10^6</f>
        <v>1057.798382967606</v>
      </c>
      <c r="J66" s="967">
        <f>'B2-Plant'!J40/10^6</f>
        <v>510.8342217144935</v>
      </c>
      <c r="K66" s="967">
        <f>'B2-Plant'!K40/10^6</f>
        <v>38.823921110000015</v>
      </c>
      <c r="L66" s="967">
        <f>'B2-Plant'!L40/10^6</f>
        <v>1552.4491892</v>
      </c>
      <c r="M66" s="967">
        <f>'B2-Plant'!M40/10^6</f>
        <v>1021.2027539999998</v>
      </c>
      <c r="N66" s="967">
        <f>'B2-Plant'!N40/10^6</f>
        <v>531.2464352000001</v>
      </c>
      <c r="O66" s="967">
        <f>'B2-Plant'!O40/10^6</f>
        <v>34.18581228000001</v>
      </c>
    </row>
    <row r="67" spans="1:15" s="934" customFormat="1" ht="13.5" customHeight="1">
      <c r="A67" s="933">
        <f t="shared" si="2"/>
        <v>45</v>
      </c>
      <c r="B67" s="933"/>
      <c r="C67" s="946" t="s">
        <v>115</v>
      </c>
      <c r="E67" s="966"/>
      <c r="F67" s="933"/>
      <c r="H67" s="967">
        <f>'B2-Plant'!H54/10^6</f>
        <v>577.1283229549998</v>
      </c>
      <c r="I67" s="967">
        <f>'B2-Plant'!I54/10^6</f>
        <v>399.0254309399999</v>
      </c>
      <c r="J67" s="967">
        <f>'B2-Plant'!J54/10^6</f>
        <v>178.1028925050001</v>
      </c>
      <c r="K67" s="967">
        <f>'B2-Plant'!K54/10^6</f>
        <v>27.200023420000022</v>
      </c>
      <c r="L67" s="967">
        <f>'B2-Plant'!L54/10^6</f>
        <v>543.677678765</v>
      </c>
      <c r="M67" s="967">
        <f>'B2-Plant'!M54/10^6</f>
        <v>373.0104071399999</v>
      </c>
      <c r="N67" s="967">
        <f>'B2-Plant'!N54/10^6</f>
        <v>170.667271625</v>
      </c>
      <c r="O67" s="967">
        <f>'B2-Plant'!O54/10^6</f>
        <v>25.626559100000005</v>
      </c>
    </row>
    <row r="68" spans="1:15" s="934" customFormat="1" ht="13.5" customHeight="1" thickBot="1">
      <c r="A68" s="933">
        <f t="shared" si="2"/>
        <v>46</v>
      </c>
      <c r="B68" s="933"/>
      <c r="C68" s="946" t="s">
        <v>4</v>
      </c>
      <c r="E68" s="966"/>
      <c r="F68" s="933"/>
      <c r="H68" s="971">
        <f aca="true" t="shared" si="7" ref="H68:O68">SUM(H65:H67)</f>
        <v>6673.449999914999</v>
      </c>
      <c r="I68" s="971">
        <f t="shared" si="7"/>
        <v>3211.221093825109</v>
      </c>
      <c r="J68" s="971">
        <f t="shared" si="7"/>
        <v>3462.2289062619893</v>
      </c>
      <c r="K68" s="971">
        <f t="shared" si="7"/>
        <v>207.32238511000003</v>
      </c>
      <c r="L68" s="971">
        <f t="shared" si="7"/>
        <v>6580.154704264998</v>
      </c>
      <c r="M68" s="971">
        <f t="shared" si="7"/>
        <v>3015.232814477504</v>
      </c>
      <c r="N68" s="971">
        <f t="shared" si="7"/>
        <v>3564.921889787496</v>
      </c>
      <c r="O68" s="971">
        <f t="shared" si="7"/>
        <v>200.90475528000002</v>
      </c>
    </row>
    <row r="69" spans="1:15" s="934" customFormat="1" ht="13.5" customHeight="1" thickTop="1">
      <c r="A69" s="933">
        <f t="shared" si="2"/>
        <v>47</v>
      </c>
      <c r="B69" s="933"/>
      <c r="C69" s="972" t="s">
        <v>720</v>
      </c>
      <c r="E69" s="966"/>
      <c r="F69" s="933"/>
      <c r="G69" s="973" t="s">
        <v>1333</v>
      </c>
      <c r="H69" s="974">
        <f aca="true" t="shared" si="8" ref="H69:O69">H63-H68</f>
        <v>-0.33200046499950986</v>
      </c>
      <c r="I69" s="974">
        <f t="shared" si="8"/>
        <v>-0.2978066251093878</v>
      </c>
      <c r="J69" s="974">
        <f t="shared" si="8"/>
        <v>-0.03419401198925698</v>
      </c>
      <c r="K69" s="974">
        <f t="shared" si="8"/>
        <v>0.12367224999997006</v>
      </c>
      <c r="L69" s="974">
        <f t="shared" si="8"/>
        <v>0.1632629750019987</v>
      </c>
      <c r="M69" s="974">
        <f t="shared" si="8"/>
        <v>0.36152631249615297</v>
      </c>
      <c r="N69" s="974">
        <f t="shared" si="8"/>
        <v>-0.19826333749597325</v>
      </c>
      <c r="O69" s="974">
        <f t="shared" si="8"/>
        <v>0.24593149999998332</v>
      </c>
    </row>
    <row r="70" spans="1:22" s="934" customFormat="1" ht="12.75">
      <c r="A70" s="933"/>
      <c r="B70" s="933"/>
      <c r="C70" s="933"/>
      <c r="Q70" s="935"/>
      <c r="R70" s="935"/>
      <c r="S70" s="935"/>
      <c r="T70" s="935"/>
      <c r="U70" s="935"/>
      <c r="V70" s="935"/>
    </row>
    <row r="71" spans="1:22" s="934" customFormat="1" ht="12.75">
      <c r="A71" s="933"/>
      <c r="B71" s="933"/>
      <c r="C71" s="975" t="s">
        <v>424</v>
      </c>
      <c r="Q71" s="935"/>
      <c r="R71" s="935"/>
      <c r="S71" s="935"/>
      <c r="T71" s="935"/>
      <c r="U71" s="935"/>
      <c r="V71" s="935"/>
    </row>
    <row r="72" spans="1:22" s="934" customFormat="1" ht="12.75">
      <c r="A72" s="933"/>
      <c r="B72" s="933"/>
      <c r="C72" s="933">
        <v>1</v>
      </c>
      <c r="D72" s="934" t="s">
        <v>1044</v>
      </c>
      <c r="Q72" s="935"/>
      <c r="R72" s="935"/>
      <c r="S72" s="935"/>
      <c r="T72" s="935"/>
      <c r="U72" s="935"/>
      <c r="V72" s="935"/>
    </row>
    <row r="73" spans="1:22" s="934" customFormat="1" ht="12.75">
      <c r="A73" s="933"/>
      <c r="B73" s="933"/>
      <c r="C73" s="933">
        <v>2</v>
      </c>
      <c r="D73" s="934" t="s">
        <v>1045</v>
      </c>
      <c r="Q73" s="935"/>
      <c r="R73" s="935"/>
      <c r="S73" s="935"/>
      <c r="T73" s="935"/>
      <c r="U73" s="935"/>
      <c r="V73" s="935"/>
    </row>
    <row r="74" spans="1:22" s="934" customFormat="1" ht="12.75">
      <c r="A74" s="933"/>
      <c r="B74" s="933"/>
      <c r="C74" s="933">
        <v>3</v>
      </c>
      <c r="D74" s="934" t="s">
        <v>1352</v>
      </c>
      <c r="Q74" s="935"/>
      <c r="R74" s="935"/>
      <c r="S74" s="935"/>
      <c r="T74" s="935"/>
      <c r="U74" s="935"/>
      <c r="V74" s="935"/>
    </row>
    <row r="75" spans="1:22" s="934" customFormat="1" ht="12.75">
      <c r="A75" s="933"/>
      <c r="B75" s="933"/>
      <c r="C75" s="933"/>
      <c r="Q75" s="935"/>
      <c r="R75" s="935"/>
      <c r="S75" s="935"/>
      <c r="T75" s="935"/>
      <c r="U75" s="935"/>
      <c r="V75" s="935"/>
    </row>
    <row r="76" spans="1:22" s="934" customFormat="1" ht="12.75">
      <c r="A76" s="933"/>
      <c r="B76" s="941">
        <v>3</v>
      </c>
      <c r="C76" s="959" t="s">
        <v>1051</v>
      </c>
      <c r="Q76" s="935"/>
      <c r="R76" s="935"/>
      <c r="S76" s="935"/>
      <c r="T76" s="935"/>
      <c r="U76" s="935"/>
      <c r="V76" s="935"/>
    </row>
    <row r="77" spans="1:22" s="934" customFormat="1" ht="12.75">
      <c r="A77" s="933"/>
      <c r="B77" s="941"/>
      <c r="C77" s="959"/>
      <c r="H77" s="976">
        <v>2015</v>
      </c>
      <c r="I77" s="977">
        <v>2014</v>
      </c>
      <c r="Q77" s="935"/>
      <c r="R77" s="935"/>
      <c r="S77" s="935"/>
      <c r="T77" s="935"/>
      <c r="U77" s="935"/>
      <c r="V77" s="935"/>
    </row>
    <row r="78" spans="1:22" s="934" customFormat="1" ht="12.75">
      <c r="A78" s="933"/>
      <c r="B78" s="933"/>
      <c r="C78" s="937" t="s">
        <v>1037</v>
      </c>
      <c r="Q78" s="935"/>
      <c r="R78" s="935"/>
      <c r="S78" s="935"/>
      <c r="T78" s="935"/>
      <c r="U78" s="935"/>
      <c r="V78" s="935"/>
    </row>
    <row r="79" spans="1:22" s="934" customFormat="1" ht="12.75">
      <c r="A79" s="933">
        <f>A69+1</f>
        <v>48</v>
      </c>
      <c r="B79" s="933"/>
      <c r="C79" s="946" t="s">
        <v>1052</v>
      </c>
      <c r="H79" s="934">
        <f>'WP-AR-BS'!D22</f>
        <v>82</v>
      </c>
      <c r="I79" s="934">
        <f>'WP-AR-BS'!E22</f>
        <v>91</v>
      </c>
      <c r="Q79" s="935"/>
      <c r="R79" s="935"/>
      <c r="S79" s="935"/>
      <c r="T79" s="935"/>
      <c r="U79" s="935"/>
      <c r="V79" s="935"/>
    </row>
    <row r="80" spans="1:22" s="934" customFormat="1" ht="12.75">
      <c r="A80" s="933">
        <f>A79+1</f>
        <v>49</v>
      </c>
      <c r="B80" s="933"/>
      <c r="C80" s="937" t="s">
        <v>1047</v>
      </c>
      <c r="H80" s="934">
        <f>'WP-CA'!H28/10^6</f>
        <v>82.371712</v>
      </c>
      <c r="I80" s="934">
        <f>'WP-CA'!I28/10^6</f>
        <v>90.836811</v>
      </c>
      <c r="Q80" s="935"/>
      <c r="R80" s="935"/>
      <c r="S80" s="935"/>
      <c r="T80" s="935"/>
      <c r="U80" s="935"/>
      <c r="V80" s="935"/>
    </row>
    <row r="81" spans="1:22" s="972" customFormat="1" ht="12.75">
      <c r="A81" s="933">
        <f>A80+1</f>
        <v>50</v>
      </c>
      <c r="B81" s="950"/>
      <c r="C81" s="952" t="s">
        <v>720</v>
      </c>
      <c r="H81" s="972">
        <f>H79-H80</f>
        <v>-0.37171200000000226</v>
      </c>
      <c r="I81" s="972">
        <f>I79-I80</f>
        <v>0.1631890000000027</v>
      </c>
      <c r="Q81" s="978"/>
      <c r="R81" s="978"/>
      <c r="S81" s="978"/>
      <c r="T81" s="978"/>
      <c r="U81" s="978"/>
      <c r="V81" s="978"/>
    </row>
    <row r="82" spans="1:22" s="934" customFormat="1" ht="12.75">
      <c r="A82" s="933"/>
      <c r="B82" s="933"/>
      <c r="C82" s="933"/>
      <c r="Q82" s="935"/>
      <c r="R82" s="935"/>
      <c r="S82" s="935"/>
      <c r="T82" s="935"/>
      <c r="U82" s="935"/>
      <c r="V82" s="935"/>
    </row>
    <row r="83" spans="1:22" s="934" customFormat="1" ht="12.75">
      <c r="A83" s="933"/>
      <c r="B83" s="941">
        <v>4</v>
      </c>
      <c r="C83" s="959" t="s">
        <v>192</v>
      </c>
      <c r="Q83" s="935"/>
      <c r="R83" s="935"/>
      <c r="S83" s="935"/>
      <c r="T83" s="935"/>
      <c r="U83" s="935"/>
      <c r="V83" s="935"/>
    </row>
    <row r="84" spans="1:22" s="934" customFormat="1" ht="12.75">
      <c r="A84" s="933"/>
      <c r="B84" s="941"/>
      <c r="C84" s="959"/>
      <c r="H84" s="1607">
        <v>2015</v>
      </c>
      <c r="I84" s="1609"/>
      <c r="J84" s="1607">
        <v>2014</v>
      </c>
      <c r="K84" s="1609"/>
      <c r="Q84" s="935"/>
      <c r="R84" s="935"/>
      <c r="S84" s="935"/>
      <c r="T84" s="935"/>
      <c r="U84" s="935"/>
      <c r="V84" s="935"/>
    </row>
    <row r="85" spans="1:22" s="934" customFormat="1" ht="12.75">
      <c r="A85" s="933"/>
      <c r="B85" s="933"/>
      <c r="C85" s="933"/>
      <c r="H85" s="1416" t="s">
        <v>1055</v>
      </c>
      <c r="I85" s="1416" t="s">
        <v>199</v>
      </c>
      <c r="J85" s="1416" t="s">
        <v>1055</v>
      </c>
      <c r="K85" s="1416" t="s">
        <v>199</v>
      </c>
      <c r="Q85" s="935"/>
      <c r="R85" s="935"/>
      <c r="S85" s="935"/>
      <c r="T85" s="935"/>
      <c r="U85" s="935"/>
      <c r="V85" s="935"/>
    </row>
    <row r="86" spans="1:22" s="934" customFormat="1" ht="15">
      <c r="A86" s="933"/>
      <c r="B86" s="933"/>
      <c r="C86" s="937" t="s">
        <v>1037</v>
      </c>
      <c r="K86" s="20"/>
      <c r="Q86" s="935"/>
      <c r="R86" s="935"/>
      <c r="S86" s="935"/>
      <c r="T86" s="935"/>
      <c r="U86" s="935"/>
      <c r="V86" s="935"/>
    </row>
    <row r="87" spans="1:22" s="934" customFormat="1" ht="15">
      <c r="A87" s="933">
        <f>A81+1</f>
        <v>51</v>
      </c>
      <c r="B87" s="933"/>
      <c r="C87" s="946" t="s">
        <v>1053</v>
      </c>
      <c r="H87" s="934">
        <f>'WP-AR-BS'!D87</f>
        <v>871</v>
      </c>
      <c r="J87" s="934">
        <f>'WP-AR-BS'!E87</f>
        <v>1055</v>
      </c>
      <c r="K87" s="20"/>
      <c r="Q87" s="935"/>
      <c r="R87" s="935"/>
      <c r="S87" s="935"/>
      <c r="T87" s="935"/>
      <c r="U87" s="935"/>
      <c r="V87" s="935"/>
    </row>
    <row r="88" spans="1:22" s="934" customFormat="1" ht="15">
      <c r="A88" s="933">
        <f>A87+1</f>
        <v>52</v>
      </c>
      <c r="B88" s="933"/>
      <c r="C88" s="946" t="s">
        <v>1054</v>
      </c>
      <c r="H88" s="934">
        <f>'WP-AR-BS'!D72</f>
        <v>181</v>
      </c>
      <c r="J88" s="934">
        <f>'WP-AR-BS'!E72</f>
        <v>90</v>
      </c>
      <c r="K88" s="20"/>
      <c r="Q88" s="935"/>
      <c r="R88" s="935"/>
      <c r="S88" s="935"/>
      <c r="T88" s="935"/>
      <c r="U88" s="935"/>
      <c r="V88" s="935"/>
    </row>
    <row r="89" spans="1:22" s="934" customFormat="1" ht="12.75">
      <c r="A89" s="933">
        <f>A88+1</f>
        <v>53</v>
      </c>
      <c r="B89" s="933"/>
      <c r="C89" s="946" t="s">
        <v>4</v>
      </c>
      <c r="H89" s="979">
        <f>H87+H88</f>
        <v>1052</v>
      </c>
      <c r="I89" s="979">
        <f>'WP-AR-BS'!D111</f>
        <v>4059</v>
      </c>
      <c r="J89" s="979">
        <f>J87+J88</f>
        <v>1145</v>
      </c>
      <c r="K89" s="979">
        <f>'WP-AR-BS'!E111</f>
        <v>3991</v>
      </c>
      <c r="Q89" s="935"/>
      <c r="R89" s="935"/>
      <c r="S89" s="935"/>
      <c r="T89" s="935"/>
      <c r="U89" s="935"/>
      <c r="V89" s="935"/>
    </row>
    <row r="90" spans="1:22" s="934" customFormat="1" ht="12.75">
      <c r="A90" s="933">
        <f>A89+1</f>
        <v>54</v>
      </c>
      <c r="B90" s="933"/>
      <c r="C90" s="937" t="s">
        <v>1047</v>
      </c>
      <c r="H90" s="979">
        <f>'WP-DB'!E26/10^6</f>
        <v>1053.247264</v>
      </c>
      <c r="I90" s="979">
        <f>'WP-DB'!E28/10^6</f>
        <v>4065</v>
      </c>
      <c r="J90" s="979">
        <f>'WP-DB'!F26/10^6</f>
        <v>1145.461939</v>
      </c>
      <c r="K90" s="979">
        <f>'WP-DB'!F28/10^6</f>
        <v>3991</v>
      </c>
      <c r="Q90" s="935"/>
      <c r="R90" s="935"/>
      <c r="S90" s="935"/>
      <c r="T90" s="935"/>
      <c r="U90" s="935"/>
      <c r="V90" s="935"/>
    </row>
    <row r="91" spans="1:22" s="972" customFormat="1" ht="12.75">
      <c r="A91" s="933">
        <f>A90+1</f>
        <v>55</v>
      </c>
      <c r="B91" s="950"/>
      <c r="C91" s="952" t="s">
        <v>720</v>
      </c>
      <c r="H91" s="972">
        <f>H89-H90</f>
        <v>-1.2472640000000865</v>
      </c>
      <c r="I91" s="972">
        <f>I89-I90</f>
        <v>-6</v>
      </c>
      <c r="J91" s="972">
        <f>J89-J90</f>
        <v>-0.4619390000000294</v>
      </c>
      <c r="K91" s="972">
        <f>K89-K90</f>
        <v>0</v>
      </c>
      <c r="Q91" s="978"/>
      <c r="R91" s="978"/>
      <c r="S91" s="978"/>
      <c r="T91" s="978"/>
      <c r="U91" s="978"/>
      <c r="V91" s="978"/>
    </row>
    <row r="92" spans="1:22" s="934" customFormat="1" ht="12.75">
      <c r="A92" s="933"/>
      <c r="B92" s="933"/>
      <c r="C92" s="933"/>
      <c r="Q92" s="935"/>
      <c r="R92" s="935"/>
      <c r="S92" s="935"/>
      <c r="T92" s="935"/>
      <c r="U92" s="935"/>
      <c r="V92" s="935"/>
    </row>
    <row r="93" spans="1:22" s="934" customFormat="1" ht="12.75">
      <c r="A93" s="933"/>
      <c r="B93" s="941">
        <v>5</v>
      </c>
      <c r="C93" s="959" t="s">
        <v>1056</v>
      </c>
      <c r="Q93" s="935"/>
      <c r="R93" s="935"/>
      <c r="S93" s="935"/>
      <c r="T93" s="935"/>
      <c r="U93" s="935"/>
      <c r="V93" s="935"/>
    </row>
    <row r="94" spans="1:22" s="934" customFormat="1" ht="12.75">
      <c r="A94" s="933"/>
      <c r="B94" s="933"/>
      <c r="C94" s="933"/>
      <c r="H94" s="976">
        <v>2015</v>
      </c>
      <c r="I94" s="977">
        <v>2014</v>
      </c>
      <c r="Q94" s="935"/>
      <c r="R94" s="935"/>
      <c r="S94" s="935"/>
      <c r="T94" s="935"/>
      <c r="U94" s="935"/>
      <c r="V94" s="935"/>
    </row>
    <row r="95" spans="1:22" s="934" customFormat="1" ht="12.75">
      <c r="A95" s="933"/>
      <c r="B95" s="933"/>
      <c r="C95" s="937" t="s">
        <v>1037</v>
      </c>
      <c r="Q95" s="935"/>
      <c r="R95" s="935"/>
      <c r="S95" s="935"/>
      <c r="T95" s="935"/>
      <c r="U95" s="935"/>
      <c r="V95" s="935"/>
    </row>
    <row r="96" spans="1:22" s="934" customFormat="1" ht="12.75">
      <c r="A96" s="933">
        <f>A91+1</f>
        <v>56</v>
      </c>
      <c r="B96" s="933"/>
      <c r="C96" s="946" t="s">
        <v>757</v>
      </c>
      <c r="H96" s="934">
        <f>'WP-AR-IS'!G40</f>
        <v>55</v>
      </c>
      <c r="I96" s="934">
        <f>'WP-AR-IS'!H40</f>
        <v>59</v>
      </c>
      <c r="Q96" s="935"/>
      <c r="R96" s="935"/>
      <c r="S96" s="935"/>
      <c r="T96" s="935"/>
      <c r="U96" s="935"/>
      <c r="V96" s="935"/>
    </row>
    <row r="97" spans="1:22" s="934" customFormat="1" ht="12.75">
      <c r="A97" s="933">
        <f>A96+1</f>
        <v>57</v>
      </c>
      <c r="B97" s="933"/>
      <c r="C97" s="946" t="s">
        <v>246</v>
      </c>
      <c r="H97" s="934">
        <f>'WP-AR-IS'!G43</f>
        <v>-3</v>
      </c>
      <c r="I97" s="934">
        <f>'WP-AR-IS'!H43</f>
        <v>-3</v>
      </c>
      <c r="Q97" s="935"/>
      <c r="R97" s="935"/>
      <c r="S97" s="935"/>
      <c r="T97" s="935"/>
      <c r="U97" s="935"/>
      <c r="V97" s="935"/>
    </row>
    <row r="98" spans="1:22" s="934" customFormat="1" ht="12.75">
      <c r="A98" s="933">
        <f>A97+1</f>
        <v>58</v>
      </c>
      <c r="B98" s="933"/>
      <c r="C98" s="946" t="s">
        <v>4</v>
      </c>
      <c r="H98" s="979">
        <f>H96+H97</f>
        <v>52</v>
      </c>
      <c r="I98" s="979">
        <f>I96+I97</f>
        <v>56</v>
      </c>
      <c r="Q98" s="935"/>
      <c r="R98" s="935"/>
      <c r="S98" s="935"/>
      <c r="T98" s="935"/>
      <c r="U98" s="935"/>
      <c r="V98" s="935"/>
    </row>
    <row r="99" spans="1:22" s="934" customFormat="1" ht="12.75">
      <c r="A99" s="933"/>
      <c r="B99" s="933"/>
      <c r="C99" s="937" t="s">
        <v>1047</v>
      </c>
      <c r="H99" s="935"/>
      <c r="I99" s="935"/>
      <c r="Q99" s="935"/>
      <c r="R99" s="935"/>
      <c r="S99" s="935"/>
      <c r="T99" s="935"/>
      <c r="U99" s="935"/>
      <c r="V99" s="935"/>
    </row>
    <row r="100" spans="1:22" s="934" customFormat="1" ht="12.75">
      <c r="A100" s="933">
        <f>A98+1</f>
        <v>59</v>
      </c>
      <c r="B100" s="933"/>
      <c r="C100" s="946" t="s">
        <v>757</v>
      </c>
      <c r="H100" s="934">
        <f>'WP-DB'!E17/10^6</f>
        <v>55.09787426</v>
      </c>
      <c r="I100" s="934">
        <f>'WP-DB'!F17/10^6</f>
        <v>59.0500044</v>
      </c>
      <c r="Q100" s="935"/>
      <c r="R100" s="935"/>
      <c r="S100" s="935"/>
      <c r="T100" s="935"/>
      <c r="U100" s="935"/>
      <c r="V100" s="935"/>
    </row>
    <row r="101" spans="1:22" s="934" customFormat="1" ht="12.75">
      <c r="A101" s="933">
        <f>A100+1</f>
        <v>60</v>
      </c>
      <c r="B101" s="933"/>
      <c r="C101" s="946" t="s">
        <v>246</v>
      </c>
      <c r="H101" s="934">
        <f>'WP-DB'!E18/10^6</f>
        <v>-2.67167469</v>
      </c>
      <c r="I101" s="934">
        <f>'WP-DB'!F18/10^6</f>
        <v>-2.719707</v>
      </c>
      <c r="Q101" s="935"/>
      <c r="R101" s="935"/>
      <c r="S101" s="935"/>
      <c r="T101" s="935"/>
      <c r="U101" s="935"/>
      <c r="V101" s="935"/>
    </row>
    <row r="102" spans="1:22" s="934" customFormat="1" ht="12.75">
      <c r="A102" s="933">
        <f>A101+1</f>
        <v>61</v>
      </c>
      <c r="B102" s="933"/>
      <c r="C102" s="946" t="s">
        <v>4</v>
      </c>
      <c r="H102" s="979">
        <f>'WP-DB'!E20/10^6</f>
        <v>52.42619957</v>
      </c>
      <c r="I102" s="979">
        <f>'WP-DB'!F20/10^6</f>
        <v>56.3302974</v>
      </c>
      <c r="Q102" s="935"/>
      <c r="R102" s="935"/>
      <c r="S102" s="935"/>
      <c r="T102" s="935"/>
      <c r="U102" s="935"/>
      <c r="V102" s="935"/>
    </row>
    <row r="103" spans="1:22" s="972" customFormat="1" ht="12.75">
      <c r="A103" s="933">
        <f>A102+1</f>
        <v>62</v>
      </c>
      <c r="B103" s="950"/>
      <c r="C103" s="952" t="s">
        <v>720</v>
      </c>
      <c r="H103" s="972">
        <f>H98-H102</f>
        <v>-0.4261995700000014</v>
      </c>
      <c r="I103" s="972">
        <f>I98-I102</f>
        <v>-0.3302973999999992</v>
      </c>
      <c r="Q103" s="978"/>
      <c r="R103" s="978"/>
      <c r="S103" s="978"/>
      <c r="T103" s="978"/>
      <c r="U103" s="978"/>
      <c r="V103" s="978"/>
    </row>
    <row r="104" spans="1:22" s="934" customFormat="1" ht="12.75">
      <c r="A104" s="933"/>
      <c r="B104" s="933"/>
      <c r="C104" s="933"/>
      <c r="Q104" s="935"/>
      <c r="R104" s="935"/>
      <c r="S104" s="935"/>
      <c r="T104" s="935"/>
      <c r="U104" s="935"/>
      <c r="V104" s="935"/>
    </row>
    <row r="105" spans="1:22" s="934" customFormat="1" ht="12.75">
      <c r="A105" s="933"/>
      <c r="B105" s="933"/>
      <c r="C105" s="933"/>
      <c r="Q105" s="935"/>
      <c r="R105" s="935"/>
      <c r="S105" s="935"/>
      <c r="T105" s="935"/>
      <c r="U105" s="935"/>
      <c r="V105" s="935"/>
    </row>
    <row r="106" spans="1:22" s="934" customFormat="1" ht="12.75">
      <c r="A106" s="933"/>
      <c r="B106" s="941">
        <v>6</v>
      </c>
      <c r="C106" s="959" t="s">
        <v>1080</v>
      </c>
      <c r="Q106" s="935"/>
      <c r="R106" s="935"/>
      <c r="S106" s="935"/>
      <c r="T106" s="935"/>
      <c r="U106" s="935"/>
      <c r="V106" s="935"/>
    </row>
    <row r="107" spans="1:22" s="934" customFormat="1" ht="12.75">
      <c r="A107" s="933"/>
      <c r="B107" s="941"/>
      <c r="C107" s="959"/>
      <c r="H107" s="977">
        <v>2015</v>
      </c>
      <c r="Q107" s="935"/>
      <c r="R107" s="935"/>
      <c r="S107" s="935"/>
      <c r="T107" s="935"/>
      <c r="U107" s="935"/>
      <c r="V107" s="935"/>
    </row>
    <row r="108" spans="1:22" s="934" customFormat="1" ht="12.75">
      <c r="A108" s="933"/>
      <c r="B108" s="941"/>
      <c r="C108" s="959"/>
      <c r="H108" s="1442"/>
      <c r="Q108" s="935"/>
      <c r="R108" s="935"/>
      <c r="S108" s="935"/>
      <c r="T108" s="935"/>
      <c r="U108" s="935"/>
      <c r="V108" s="935"/>
    </row>
    <row r="109" spans="1:22" s="934" customFormat="1" ht="12.75">
      <c r="A109" s="933">
        <f>A103+1</f>
        <v>63</v>
      </c>
      <c r="B109" s="933"/>
      <c r="C109" s="937" t="s">
        <v>1037</v>
      </c>
      <c r="H109" s="934">
        <v>160</v>
      </c>
      <c r="Q109" s="935"/>
      <c r="R109" s="935"/>
      <c r="S109" s="935"/>
      <c r="T109" s="935"/>
      <c r="U109" s="935"/>
      <c r="V109" s="935"/>
    </row>
    <row r="110" spans="1:22" s="934" customFormat="1" ht="15.75" customHeight="1">
      <c r="A110" s="933">
        <f aca="true" t="shared" si="9" ref="A110:A115">A109+1</f>
        <v>64</v>
      </c>
      <c r="B110" s="933"/>
      <c r="C110" s="946" t="s">
        <v>1083</v>
      </c>
      <c r="D110" s="946"/>
      <c r="E110" s="946"/>
      <c r="H110" s="980">
        <v>23.1</v>
      </c>
      <c r="I110" s="1505"/>
      <c r="Q110" s="935"/>
      <c r="R110" s="935"/>
      <c r="S110" s="935"/>
      <c r="T110" s="935"/>
      <c r="U110" s="935"/>
      <c r="V110" s="935"/>
    </row>
    <row r="111" spans="1:22" s="934" customFormat="1" ht="15.75" customHeight="1">
      <c r="A111" s="933">
        <f t="shared" si="9"/>
        <v>65</v>
      </c>
      <c r="B111" s="933"/>
      <c r="C111" s="946" t="s">
        <v>1084</v>
      </c>
      <c r="D111" s="946"/>
      <c r="E111" s="946"/>
      <c r="H111" s="980">
        <f>-11</f>
        <v>-11</v>
      </c>
      <c r="I111" s="1505"/>
      <c r="Q111" s="935"/>
      <c r="R111" s="935"/>
      <c r="S111" s="935"/>
      <c r="T111" s="935"/>
      <c r="U111" s="935"/>
      <c r="V111" s="935"/>
    </row>
    <row r="112" spans="1:22" s="934" customFormat="1" ht="15.75" customHeight="1">
      <c r="A112" s="933">
        <f t="shared" si="9"/>
        <v>66</v>
      </c>
      <c r="B112" s="933"/>
      <c r="C112" s="946" t="s">
        <v>1082</v>
      </c>
      <c r="D112" s="946"/>
      <c r="E112" s="946"/>
      <c r="H112" s="1510">
        <v>3.5</v>
      </c>
      <c r="I112" s="966"/>
      <c r="Q112" s="935"/>
      <c r="R112" s="935"/>
      <c r="S112" s="935"/>
      <c r="T112" s="935"/>
      <c r="U112" s="935"/>
      <c r="V112" s="935"/>
    </row>
    <row r="113" spans="1:22" s="934" customFormat="1" ht="12.75">
      <c r="A113" s="933">
        <f t="shared" si="9"/>
        <v>67</v>
      </c>
      <c r="B113" s="933"/>
      <c r="C113" s="946" t="s">
        <v>1354</v>
      </c>
      <c r="D113" s="946"/>
      <c r="E113" s="946"/>
      <c r="H113" s="981">
        <f>SUM(H110:H112)</f>
        <v>15.600000000000001</v>
      </c>
      <c r="Q113" s="935"/>
      <c r="R113" s="935"/>
      <c r="S113" s="935"/>
      <c r="T113" s="935"/>
      <c r="U113" s="935"/>
      <c r="V113" s="935"/>
    </row>
    <row r="114" spans="1:22" s="934" customFormat="1" ht="13.5">
      <c r="A114" s="933">
        <f t="shared" si="9"/>
        <v>68</v>
      </c>
      <c r="B114" s="933"/>
      <c r="C114" s="982" t="s">
        <v>1353</v>
      </c>
      <c r="D114" s="982"/>
      <c r="E114" s="983"/>
      <c r="H114" s="934">
        <f>H109+H113</f>
        <v>175.6</v>
      </c>
      <c r="Q114" s="935"/>
      <c r="R114" s="935"/>
      <c r="S114" s="935"/>
      <c r="T114" s="935"/>
      <c r="U114" s="935"/>
      <c r="V114" s="935"/>
    </row>
    <row r="115" spans="1:22" s="934" customFormat="1" ht="12.75">
      <c r="A115" s="933">
        <f t="shared" si="9"/>
        <v>69</v>
      </c>
      <c r="B115" s="933"/>
      <c r="C115" s="952" t="s">
        <v>720</v>
      </c>
      <c r="H115" s="934">
        <f>H114-H109-H113</f>
        <v>0</v>
      </c>
      <c r="Q115" s="935"/>
      <c r="R115" s="935"/>
      <c r="S115" s="935"/>
      <c r="T115" s="935"/>
      <c r="U115" s="935"/>
      <c r="V115" s="935"/>
    </row>
    <row r="116" spans="1:22" s="934" customFormat="1" ht="12.75">
      <c r="A116" s="933"/>
      <c r="B116" s="933"/>
      <c r="C116" s="933"/>
      <c r="H116" s="984"/>
      <c r="Q116" s="935"/>
      <c r="R116" s="935"/>
      <c r="S116" s="935"/>
      <c r="T116" s="935"/>
      <c r="U116" s="935"/>
      <c r="V116" s="935"/>
    </row>
    <row r="117" spans="1:22" s="934" customFormat="1" ht="12.75">
      <c r="A117" s="933"/>
      <c r="B117" s="933"/>
      <c r="C117" s="933"/>
      <c r="Q117" s="935"/>
      <c r="R117" s="935"/>
      <c r="S117" s="935"/>
      <c r="T117" s="935"/>
      <c r="U117" s="935"/>
      <c r="V117" s="935"/>
    </row>
    <row r="118" spans="1:22" s="934" customFormat="1" ht="12.75">
      <c r="A118" s="933"/>
      <c r="B118" s="933"/>
      <c r="C118" s="975" t="s">
        <v>424</v>
      </c>
      <c r="Q118" s="935"/>
      <c r="R118" s="935"/>
      <c r="S118" s="935"/>
      <c r="T118" s="935"/>
      <c r="U118" s="935"/>
      <c r="V118" s="935"/>
    </row>
    <row r="119" spans="1:22" s="934" customFormat="1" ht="12.75">
      <c r="A119" s="933"/>
      <c r="B119" s="933"/>
      <c r="C119" s="933">
        <v>4</v>
      </c>
      <c r="D119" s="937" t="s">
        <v>1355</v>
      </c>
      <c r="Q119" s="935"/>
      <c r="R119" s="935"/>
      <c r="S119" s="935"/>
      <c r="T119" s="935"/>
      <c r="U119" s="935"/>
      <c r="V119" s="935"/>
    </row>
    <row r="120" spans="1:22" s="934" customFormat="1" ht="12.75">
      <c r="A120" s="933"/>
      <c r="B120" s="933"/>
      <c r="C120" s="933">
        <v>5</v>
      </c>
      <c r="D120" s="937" t="s">
        <v>1081</v>
      </c>
      <c r="Q120" s="935"/>
      <c r="R120" s="935"/>
      <c r="S120" s="935"/>
      <c r="T120" s="935"/>
      <c r="U120" s="935"/>
      <c r="V120" s="935"/>
    </row>
    <row r="124" spans="1:22" s="934" customFormat="1" ht="12.75">
      <c r="A124" s="933"/>
      <c r="B124" s="941">
        <v>7</v>
      </c>
      <c r="C124" s="959" t="s">
        <v>1364</v>
      </c>
      <c r="Q124" s="935"/>
      <c r="R124" s="935"/>
      <c r="S124" s="935"/>
      <c r="T124" s="935"/>
      <c r="U124" s="935"/>
      <c r="V124" s="935"/>
    </row>
    <row r="125" spans="1:22" s="934" customFormat="1" ht="12.75">
      <c r="A125" s="933"/>
      <c r="B125" s="941"/>
      <c r="C125" s="959"/>
      <c r="Q125" s="935"/>
      <c r="R125" s="935"/>
      <c r="S125" s="935"/>
      <c r="T125" s="935"/>
      <c r="U125" s="935"/>
      <c r="V125" s="935"/>
    </row>
    <row r="126" spans="3:8" ht="13.5">
      <c r="C126" s="959"/>
      <c r="D126" s="934"/>
      <c r="E126" s="934"/>
      <c r="F126" s="934"/>
      <c r="G126" s="934"/>
      <c r="H126" s="977">
        <v>2015</v>
      </c>
    </row>
    <row r="127" spans="1:22" s="934" customFormat="1" ht="12.75">
      <c r="A127" s="933">
        <f>A115+1</f>
        <v>70</v>
      </c>
      <c r="B127" s="933"/>
      <c r="C127" s="937" t="s">
        <v>1037</v>
      </c>
      <c r="Q127" s="935"/>
      <c r="R127" s="935"/>
      <c r="S127" s="935"/>
      <c r="T127" s="935"/>
      <c r="U127" s="935"/>
      <c r="V127" s="935"/>
    </row>
    <row r="128" spans="1:22" s="934" customFormat="1" ht="12.75">
      <c r="A128" s="933">
        <f>A127+1</f>
        <v>71</v>
      </c>
      <c r="B128" s="933"/>
      <c r="C128" s="937" t="s">
        <v>1365</v>
      </c>
      <c r="H128" s="934">
        <v>38.14</v>
      </c>
      <c r="Q128" s="935"/>
      <c r="R128" s="935"/>
      <c r="S128" s="935"/>
      <c r="T128" s="935"/>
      <c r="U128" s="935"/>
      <c r="V128" s="935"/>
    </row>
    <row r="129" spans="1:22" s="934" customFormat="1" ht="12.75">
      <c r="A129" s="933">
        <f>A128+1</f>
        <v>72</v>
      </c>
      <c r="B129" s="933"/>
      <c r="C129" s="937" t="s">
        <v>1047</v>
      </c>
      <c r="Q129" s="935"/>
      <c r="R129" s="935"/>
      <c r="S129" s="935"/>
      <c r="T129" s="935"/>
      <c r="U129" s="935"/>
      <c r="V129" s="935"/>
    </row>
    <row r="130" spans="1:22" s="934" customFormat="1" ht="12.75">
      <c r="A130" s="933">
        <f>A129+1</f>
        <v>73</v>
      </c>
      <c r="B130" s="933"/>
      <c r="C130" s="937" t="s">
        <v>1267</v>
      </c>
      <c r="H130" s="1511">
        <f>'WP-AF'!H13/1000000</f>
        <v>38.4996</v>
      </c>
      <c r="Q130" s="935"/>
      <c r="R130" s="935"/>
      <c r="S130" s="935"/>
      <c r="T130" s="935"/>
      <c r="U130" s="935"/>
      <c r="V130" s="935"/>
    </row>
    <row r="131" spans="1:22" s="934" customFormat="1" ht="12.75">
      <c r="A131" s="933">
        <f>A130+1</f>
        <v>74</v>
      </c>
      <c r="B131" s="933"/>
      <c r="C131" s="952" t="s">
        <v>720</v>
      </c>
      <c r="D131" s="972"/>
      <c r="E131" s="972"/>
      <c r="F131" s="972"/>
      <c r="G131" s="972"/>
      <c r="H131" s="972">
        <f>H128-H130</f>
        <v>-0.35960000000000036</v>
      </c>
      <c r="I131" s="972"/>
      <c r="Q131" s="935"/>
      <c r="R131" s="935"/>
      <c r="S131" s="935"/>
      <c r="T131" s="935"/>
      <c r="U131" s="935"/>
      <c r="V131" s="935"/>
    </row>
  </sheetData>
  <sheetProtection/>
  <mergeCells count="11">
    <mergeCell ref="Q11:T11"/>
    <mergeCell ref="A4:O4"/>
    <mergeCell ref="A5:O5"/>
    <mergeCell ref="A6:O6"/>
    <mergeCell ref="A8:P8"/>
    <mergeCell ref="A9:P9"/>
    <mergeCell ref="H39:K39"/>
    <mergeCell ref="L39:O39"/>
    <mergeCell ref="H11:J11"/>
    <mergeCell ref="J84:K84"/>
    <mergeCell ref="H84:I84"/>
  </mergeCells>
  <printOptions/>
  <pageMargins left="0.7" right="0.7" top="0.75" bottom="0.75" header="0.3" footer="0.3"/>
  <pageSetup horizontalDpi="600" verticalDpi="600" orientation="landscape" scale="65" r:id="rId2"/>
  <rowBreaks count="2" manualBreakCount="2">
    <brk id="37" max="255" man="1"/>
    <brk id="75" max="14" man="1"/>
  </rowBreaks>
  <drawing r:id="rId1"/>
</worksheet>
</file>

<file path=xl/worksheets/sheet5.xml><?xml version="1.0" encoding="utf-8"?>
<worksheet xmlns="http://schemas.openxmlformats.org/spreadsheetml/2006/main" xmlns:r="http://schemas.openxmlformats.org/officeDocument/2006/relationships">
  <sheetPr transitionEvaluation="1">
    <tabColor rgb="FF0070C0"/>
    <pageSetUpPr fitToPage="1"/>
  </sheetPr>
  <dimension ref="A1:R55"/>
  <sheetViews>
    <sheetView showGridLines="0" defaultGridColor="0" view="pageBreakPreview" zoomScaleNormal="55" zoomScaleSheetLayoutView="100" zoomScalePageLayoutView="80" colorId="22" workbookViewId="0" topLeftCell="A25">
      <selection activeCell="B28" sqref="B28"/>
    </sheetView>
  </sheetViews>
  <sheetFormatPr defaultColWidth="13.625" defaultRowHeight="12.75"/>
  <cols>
    <col min="1" max="1" width="9.00390625" style="13" bestFit="1" customWidth="1"/>
    <col min="2" max="2" width="2.25390625" style="13" customWidth="1"/>
    <col min="3" max="3" width="7.625" style="13" customWidth="1"/>
    <col min="4" max="4" width="2.25390625" style="13" customWidth="1"/>
    <col min="5" max="5" width="27.75390625" style="13" customWidth="1"/>
    <col min="6" max="6" width="23.50390625" style="13" customWidth="1"/>
    <col min="7" max="7" width="16.875" style="13" customWidth="1"/>
    <col min="8" max="8" width="19.25390625" style="13" customWidth="1"/>
    <col min="9" max="9" width="5.875" style="13" customWidth="1"/>
    <col min="10" max="10" width="17.00390625" style="13" customWidth="1"/>
    <col min="11" max="11" width="8.00390625" style="13" customWidth="1"/>
    <col min="12" max="12" width="10.00390625" style="13" customWidth="1"/>
    <col min="13" max="13" width="6.375" style="13" customWidth="1"/>
    <col min="14" max="14" width="17.125" style="13" bestFit="1" customWidth="1"/>
    <col min="15" max="15" width="6.125" style="13" customWidth="1"/>
    <col min="16" max="16" width="13.875" style="13" customWidth="1"/>
    <col min="17" max="17" width="2.375" style="13" customWidth="1"/>
    <col min="18" max="16384" width="13.625" style="13" customWidth="1"/>
  </cols>
  <sheetData>
    <row r="1" spans="1:18" s="17" customFormat="1" ht="21">
      <c r="A1" s="690" t="s">
        <v>1072</v>
      </c>
      <c r="B1" s="20"/>
      <c r="C1" s="20"/>
      <c r="D1" s="20"/>
      <c r="E1" s="105"/>
      <c r="F1" s="20"/>
      <c r="G1" s="20"/>
      <c r="H1" s="20"/>
      <c r="I1" s="20"/>
      <c r="J1" s="20"/>
      <c r="K1" s="20"/>
      <c r="L1" s="20"/>
      <c r="M1" s="20"/>
      <c r="N1" s="20"/>
      <c r="O1" s="20"/>
      <c r="P1" s="168"/>
      <c r="Q1" s="60"/>
      <c r="R1" s="20"/>
    </row>
    <row r="2" spans="2:15" ht="17.25">
      <c r="B2" s="11"/>
      <c r="C2" s="11"/>
      <c r="D2" s="11"/>
      <c r="F2" s="11"/>
      <c r="G2" s="11"/>
      <c r="H2" s="11"/>
      <c r="I2" s="11"/>
      <c r="J2" s="11"/>
      <c r="K2" s="11"/>
      <c r="L2" s="11"/>
      <c r="M2" s="11"/>
      <c r="N2" s="11"/>
      <c r="O2" s="11"/>
    </row>
    <row r="3" spans="2:18" ht="17.25">
      <c r="B3" s="11"/>
      <c r="C3" s="11"/>
      <c r="D3" s="11"/>
      <c r="F3" s="11"/>
      <c r="G3" s="11"/>
      <c r="H3" s="11"/>
      <c r="I3" s="11"/>
      <c r="J3" s="11"/>
      <c r="K3" s="11"/>
      <c r="L3" s="11"/>
      <c r="M3" s="11"/>
      <c r="N3" s="11"/>
      <c r="O3" s="11"/>
      <c r="P3" s="11"/>
      <c r="Q3" s="11"/>
      <c r="R3" s="11"/>
    </row>
    <row r="4" spans="1:18" ht="17.25">
      <c r="A4" s="1531" t="s">
        <v>227</v>
      </c>
      <c r="B4" s="1531"/>
      <c r="C4" s="1531"/>
      <c r="D4" s="1531"/>
      <c r="E4" s="1531"/>
      <c r="F4" s="1531"/>
      <c r="G4" s="1531"/>
      <c r="H4" s="1531"/>
      <c r="I4" s="1531"/>
      <c r="J4" s="1531"/>
      <c r="K4" s="1531"/>
      <c r="L4" s="1531"/>
      <c r="M4" s="1531"/>
      <c r="N4" s="1531"/>
      <c r="O4" s="1531"/>
      <c r="P4" s="1531"/>
      <c r="Q4" s="1531"/>
      <c r="R4" s="11"/>
    </row>
    <row r="5" spans="1:18" ht="17.25">
      <c r="A5" s="1531" t="s">
        <v>111</v>
      </c>
      <c r="B5" s="1531"/>
      <c r="C5" s="1531"/>
      <c r="D5" s="1531"/>
      <c r="E5" s="1531"/>
      <c r="F5" s="1531"/>
      <c r="G5" s="1531"/>
      <c r="H5" s="1531"/>
      <c r="I5" s="1531"/>
      <c r="J5" s="1531"/>
      <c r="K5" s="1531"/>
      <c r="L5" s="1531"/>
      <c r="M5" s="1531"/>
      <c r="N5" s="1531"/>
      <c r="O5" s="1531"/>
      <c r="P5" s="1531"/>
      <c r="Q5" s="1531"/>
      <c r="R5" s="11"/>
    </row>
    <row r="6" spans="1:18" ht="17.25">
      <c r="A6" s="1532" t="s">
        <v>1377</v>
      </c>
      <c r="B6" s="1532"/>
      <c r="C6" s="1532"/>
      <c r="D6" s="1532"/>
      <c r="E6" s="1532"/>
      <c r="F6" s="1532"/>
      <c r="G6" s="1532"/>
      <c r="H6" s="1532"/>
      <c r="I6" s="1532"/>
      <c r="J6" s="1532"/>
      <c r="K6" s="1532"/>
      <c r="L6" s="1532"/>
      <c r="M6" s="1532"/>
      <c r="N6" s="1532"/>
      <c r="O6" s="1532"/>
      <c r="P6" s="1532"/>
      <c r="Q6" s="1532"/>
      <c r="R6" s="11"/>
    </row>
    <row r="8" spans="1:18" ht="17.25">
      <c r="A8" s="1533" t="s">
        <v>1071</v>
      </c>
      <c r="B8" s="1533"/>
      <c r="C8" s="1533"/>
      <c r="D8" s="1533"/>
      <c r="E8" s="1533"/>
      <c r="F8" s="1533"/>
      <c r="G8" s="1533"/>
      <c r="H8" s="1533"/>
      <c r="I8" s="1533"/>
      <c r="J8" s="1533"/>
      <c r="K8" s="1533"/>
      <c r="L8" s="1533"/>
      <c r="M8" s="1533"/>
      <c r="N8" s="1533"/>
      <c r="O8" s="1533"/>
      <c r="P8" s="1533"/>
      <c r="Q8" s="1533"/>
      <c r="R8" s="11"/>
    </row>
    <row r="9" spans="1:18" ht="17.25">
      <c r="A9" s="1531" t="s">
        <v>978</v>
      </c>
      <c r="B9" s="1531"/>
      <c r="C9" s="1531"/>
      <c r="D9" s="1531"/>
      <c r="E9" s="1531"/>
      <c r="F9" s="1531"/>
      <c r="G9" s="1531"/>
      <c r="H9" s="1531"/>
      <c r="I9" s="1531"/>
      <c r="J9" s="1531"/>
      <c r="K9" s="1531"/>
      <c r="L9" s="1531"/>
      <c r="M9" s="1531"/>
      <c r="N9" s="1531"/>
      <c r="O9" s="1531"/>
      <c r="P9" s="1531"/>
      <c r="Q9" s="1531"/>
      <c r="R9" s="11"/>
    </row>
    <row r="10" spans="2:18" ht="17.25">
      <c r="B10" s="11"/>
      <c r="C10" s="11"/>
      <c r="D10" s="11"/>
      <c r="E10" s="11"/>
      <c r="F10" s="11"/>
      <c r="G10" s="11"/>
      <c r="H10" s="11"/>
      <c r="I10" s="11"/>
      <c r="J10" s="11"/>
      <c r="K10" s="11"/>
      <c r="L10" s="11"/>
      <c r="M10" s="11"/>
      <c r="N10" s="11"/>
      <c r="O10" s="11"/>
      <c r="P10" s="11"/>
      <c r="Q10" s="11"/>
      <c r="R10" s="11"/>
    </row>
    <row r="11" spans="2:18" ht="17.25">
      <c r="B11" s="11"/>
      <c r="C11" s="11"/>
      <c r="D11" s="11"/>
      <c r="E11" s="11"/>
      <c r="F11" s="11"/>
      <c r="G11" s="11"/>
      <c r="H11" s="11"/>
      <c r="I11" s="11"/>
      <c r="J11" s="11"/>
      <c r="K11" s="11"/>
      <c r="M11" s="11"/>
      <c r="N11" s="11"/>
      <c r="O11" s="11"/>
      <c r="P11" s="11"/>
      <c r="Q11" s="11"/>
      <c r="R11" s="11"/>
    </row>
    <row r="12" spans="2:18" s="64" customFormat="1" ht="15">
      <c r="B12" s="138"/>
      <c r="C12" s="138"/>
      <c r="D12" s="138"/>
      <c r="E12" s="138"/>
      <c r="F12" s="138"/>
      <c r="G12" s="138"/>
      <c r="H12" s="138"/>
      <c r="I12" s="138"/>
      <c r="J12" s="138"/>
      <c r="K12" s="138"/>
      <c r="M12" s="138"/>
      <c r="N12" s="1392"/>
      <c r="O12" s="1392"/>
      <c r="P12" s="1392" t="s">
        <v>4</v>
      </c>
      <c r="R12" s="138"/>
    </row>
    <row r="13" spans="2:18" s="64" customFormat="1" ht="15">
      <c r="B13" s="138"/>
      <c r="C13" s="138"/>
      <c r="D13" s="138"/>
      <c r="E13" s="138"/>
      <c r="F13" s="138"/>
      <c r="G13" s="138"/>
      <c r="H13" s="138"/>
      <c r="I13" s="138"/>
      <c r="J13" s="138"/>
      <c r="K13" s="138"/>
      <c r="M13" s="138"/>
      <c r="N13" s="1392" t="s">
        <v>105</v>
      </c>
      <c r="O13" s="1392"/>
      <c r="P13" s="1392" t="s">
        <v>107</v>
      </c>
      <c r="R13" s="138"/>
    </row>
    <row r="14" spans="2:18" s="104" customFormat="1" ht="15">
      <c r="B14" s="20"/>
      <c r="C14" s="1444" t="s">
        <v>0</v>
      </c>
      <c r="D14" s="20"/>
      <c r="E14" s="20"/>
      <c r="F14" s="20"/>
      <c r="G14" s="20"/>
      <c r="H14" s="20"/>
      <c r="I14" s="20"/>
      <c r="J14" s="20"/>
      <c r="K14" s="20"/>
      <c r="L14" s="831" t="s">
        <v>35</v>
      </c>
      <c r="M14" s="20"/>
      <c r="N14" s="831" t="s">
        <v>34</v>
      </c>
      <c r="O14" s="20"/>
      <c r="P14" s="831" t="s">
        <v>72</v>
      </c>
      <c r="R14" s="20"/>
    </row>
    <row r="15" spans="1:18" s="104" customFormat="1" ht="15">
      <c r="A15" s="985" t="s">
        <v>1</v>
      </c>
      <c r="B15" s="20"/>
      <c r="C15" s="985" t="s">
        <v>2</v>
      </c>
      <c r="D15" s="20"/>
      <c r="E15" s="986" t="s">
        <v>3</v>
      </c>
      <c r="F15" s="20"/>
      <c r="G15" s="1477" t="s">
        <v>588</v>
      </c>
      <c r="H15" s="985" t="s">
        <v>35</v>
      </c>
      <c r="I15" s="20"/>
      <c r="J15" s="985" t="s">
        <v>105</v>
      </c>
      <c r="K15" s="20"/>
      <c r="L15" s="985" t="s">
        <v>106</v>
      </c>
      <c r="M15" s="20"/>
      <c r="N15" s="985" t="s">
        <v>1290</v>
      </c>
      <c r="O15" s="20"/>
      <c r="P15" s="985" t="s">
        <v>1008</v>
      </c>
      <c r="R15" s="20"/>
    </row>
    <row r="16" spans="2:18" s="104" customFormat="1" ht="15">
      <c r="B16" s="20"/>
      <c r="C16" s="20"/>
      <c r="D16" s="20"/>
      <c r="E16" s="20"/>
      <c r="F16" s="20"/>
      <c r="G16" s="1476" t="s">
        <v>1386</v>
      </c>
      <c r="H16" s="831" t="s">
        <v>7</v>
      </c>
      <c r="J16" s="831" t="s">
        <v>8</v>
      </c>
      <c r="L16" s="831" t="s">
        <v>9</v>
      </c>
      <c r="N16" s="831" t="s">
        <v>27</v>
      </c>
      <c r="P16" s="987" t="s">
        <v>456</v>
      </c>
      <c r="Q16" s="831"/>
      <c r="R16" s="20"/>
    </row>
    <row r="17" spans="2:18" s="104" customFormat="1" ht="15">
      <c r="B17" s="20"/>
      <c r="C17" s="20"/>
      <c r="D17" s="20"/>
      <c r="E17" s="20"/>
      <c r="F17" s="20"/>
      <c r="G17" s="20"/>
      <c r="H17" s="831"/>
      <c r="I17" s="20"/>
      <c r="J17" s="831"/>
      <c r="K17" s="20"/>
      <c r="L17" s="831"/>
      <c r="M17" s="20"/>
      <c r="N17" s="831"/>
      <c r="O17" s="20"/>
      <c r="P17" s="831"/>
      <c r="Q17" s="831"/>
      <c r="R17" s="20"/>
    </row>
    <row r="18" spans="1:18" s="104" customFormat="1" ht="15">
      <c r="A18" s="332">
        <v>1</v>
      </c>
      <c r="B18" s="998"/>
      <c r="C18" s="21">
        <v>352</v>
      </c>
      <c r="D18" s="998"/>
      <c r="E18" s="998" t="s">
        <v>73</v>
      </c>
      <c r="F18" s="989"/>
      <c r="G18" s="20" t="s">
        <v>1086</v>
      </c>
      <c r="H18" s="989">
        <f>'WP-BA'!J96</f>
        <v>1660156.928275954</v>
      </c>
      <c r="I18" s="992"/>
      <c r="J18" s="992"/>
      <c r="K18" s="20"/>
      <c r="L18" s="20"/>
      <c r="M18" s="20"/>
      <c r="N18" s="20"/>
      <c r="O18" s="20"/>
      <c r="P18" s="20"/>
      <c r="Q18" s="20"/>
      <c r="R18" s="20"/>
    </row>
    <row r="19" spans="1:18" s="104" customFormat="1" ht="15">
      <c r="A19" s="332">
        <f>A18+1</f>
        <v>2</v>
      </c>
      <c r="B19" s="998"/>
      <c r="C19" s="21">
        <v>353</v>
      </c>
      <c r="D19" s="998"/>
      <c r="E19" s="998" t="s">
        <v>20</v>
      </c>
      <c r="F19" s="20"/>
      <c r="G19" s="20" t="s">
        <v>1086</v>
      </c>
      <c r="H19" s="989">
        <f>'WP-BA'!J106</f>
        <v>15088783.47452273</v>
      </c>
      <c r="I19" s="992"/>
      <c r="J19" s="992"/>
      <c r="K19" s="20"/>
      <c r="L19" s="20"/>
      <c r="M19" s="20"/>
      <c r="N19" s="20"/>
      <c r="O19" s="20"/>
      <c r="P19" s="20"/>
      <c r="Q19" s="20"/>
      <c r="R19" s="20"/>
    </row>
    <row r="20" spans="1:18" s="104" customFormat="1" ht="15">
      <c r="A20" s="332">
        <f aca="true" t="shared" si="0" ref="A20:A45">A19+1</f>
        <v>3</v>
      </c>
      <c r="B20" s="998"/>
      <c r="C20" s="21">
        <v>354</v>
      </c>
      <c r="D20" s="998"/>
      <c r="E20" s="998" t="s">
        <v>78</v>
      </c>
      <c r="F20" s="20"/>
      <c r="G20" s="20" t="s">
        <v>1086</v>
      </c>
      <c r="H20" s="989">
        <f>'WP-BA'!J114</f>
        <v>4017874.782848501</v>
      </c>
      <c r="I20" s="992"/>
      <c r="J20" s="992"/>
      <c r="K20" s="20"/>
      <c r="L20" s="20"/>
      <c r="M20" s="20"/>
      <c r="N20" s="20"/>
      <c r="O20" s="20"/>
      <c r="P20" s="20"/>
      <c r="Q20" s="20"/>
      <c r="R20" s="20"/>
    </row>
    <row r="21" spans="1:18" s="104" customFormat="1" ht="15">
      <c r="A21" s="332">
        <f t="shared" si="0"/>
        <v>4</v>
      </c>
      <c r="B21" s="998"/>
      <c r="C21" s="21">
        <v>355</v>
      </c>
      <c r="D21" s="998"/>
      <c r="E21" s="998" t="s">
        <v>79</v>
      </c>
      <c r="F21" s="20"/>
      <c r="G21" s="20" t="s">
        <v>1086</v>
      </c>
      <c r="H21" s="989">
        <f>'WP-BA'!J121</f>
        <v>6012741.902099458</v>
      </c>
      <c r="I21" s="992"/>
      <c r="J21" s="992"/>
      <c r="K21" s="20"/>
      <c r="L21" s="20"/>
      <c r="M21" s="20"/>
      <c r="N21" s="20"/>
      <c r="O21" s="20"/>
      <c r="P21" s="20"/>
      <c r="Q21" s="20"/>
      <c r="R21" s="20"/>
    </row>
    <row r="22" spans="1:18" s="104" customFormat="1" ht="15">
      <c r="A22" s="332">
        <f t="shared" si="0"/>
        <v>5</v>
      </c>
      <c r="B22" s="998"/>
      <c r="C22" s="21">
        <v>356</v>
      </c>
      <c r="D22" s="998"/>
      <c r="E22" s="998" t="s">
        <v>80</v>
      </c>
      <c r="F22" s="20"/>
      <c r="G22" s="20" t="s">
        <v>1086</v>
      </c>
      <c r="H22" s="989">
        <f>'WP-BA'!J129</f>
        <v>4396111.881905524</v>
      </c>
      <c r="I22" s="992"/>
      <c r="J22" s="992"/>
      <c r="K22" s="20"/>
      <c r="L22" s="20"/>
      <c r="M22" s="20"/>
      <c r="N22" s="20"/>
      <c r="O22" s="20"/>
      <c r="P22" s="20"/>
      <c r="Q22" s="20"/>
      <c r="R22" s="20"/>
    </row>
    <row r="23" spans="1:18" s="104" customFormat="1" ht="15">
      <c r="A23" s="332">
        <f t="shared" si="0"/>
        <v>6</v>
      </c>
      <c r="B23" s="998"/>
      <c r="C23" s="21">
        <v>357</v>
      </c>
      <c r="D23" s="998"/>
      <c r="E23" s="998" t="s">
        <v>81</v>
      </c>
      <c r="F23" s="20"/>
      <c r="G23" s="20" t="s">
        <v>1086</v>
      </c>
      <c r="H23" s="989">
        <f>'WP-BA'!J134</f>
        <v>2639458.9998888</v>
      </c>
      <c r="I23" s="992"/>
      <c r="J23" s="992"/>
      <c r="K23" s="20"/>
      <c r="L23" s="20"/>
      <c r="M23" s="20"/>
      <c r="N23" s="20"/>
      <c r="O23" s="20"/>
      <c r="P23" s="20"/>
      <c r="Q23" s="20"/>
      <c r="R23" s="20"/>
    </row>
    <row r="24" spans="1:18" s="104" customFormat="1" ht="15">
      <c r="A24" s="332">
        <f t="shared" si="0"/>
        <v>7</v>
      </c>
      <c r="B24" s="998"/>
      <c r="C24" s="21">
        <v>358</v>
      </c>
      <c r="D24" s="998"/>
      <c r="E24" s="998" t="s">
        <v>82</v>
      </c>
      <c r="F24" s="20"/>
      <c r="G24" s="20" t="s">
        <v>1086</v>
      </c>
      <c r="H24" s="989">
        <f>'WP-BA'!J139</f>
        <v>5757438.992505115</v>
      </c>
      <c r="I24" s="992"/>
      <c r="J24" s="992"/>
      <c r="K24" s="20"/>
      <c r="L24" s="20"/>
      <c r="M24" s="20"/>
      <c r="N24" s="20"/>
      <c r="O24" s="20"/>
      <c r="P24" s="20"/>
      <c r="Q24" s="20"/>
      <c r="R24" s="20"/>
    </row>
    <row r="25" spans="1:18" s="104" customFormat="1" ht="15">
      <c r="A25" s="332">
        <f t="shared" si="0"/>
        <v>8</v>
      </c>
      <c r="B25" s="998"/>
      <c r="C25" s="21">
        <v>359</v>
      </c>
      <c r="D25" s="998"/>
      <c r="E25" s="998" t="s">
        <v>83</v>
      </c>
      <c r="F25" s="20"/>
      <c r="G25" s="20" t="s">
        <v>1086</v>
      </c>
      <c r="H25" s="990">
        <f>'WP-BA'!J147</f>
        <v>286957.9979539187</v>
      </c>
      <c r="I25" s="992"/>
      <c r="J25" s="992"/>
      <c r="K25" s="20"/>
      <c r="L25" s="20"/>
      <c r="M25" s="20"/>
      <c r="N25" s="20"/>
      <c r="O25" s="20"/>
      <c r="P25" s="20"/>
      <c r="Q25" s="20"/>
      <c r="R25" s="20"/>
    </row>
    <row r="26" spans="1:18" s="104" customFormat="1" ht="15">
      <c r="A26" s="332">
        <f>A25+1</f>
        <v>9</v>
      </c>
      <c r="B26" s="998"/>
      <c r="C26" s="1028" t="s">
        <v>1028</v>
      </c>
      <c r="D26" s="998"/>
      <c r="F26" s="20"/>
      <c r="G26" s="20"/>
      <c r="H26" s="993">
        <f>'WP-BA'!J149</f>
        <v>39859524.95999999</v>
      </c>
      <c r="I26" s="992"/>
      <c r="J26" s="993">
        <f>'WP-BA'!J86</f>
        <v>42439721.78</v>
      </c>
      <c r="K26" s="20"/>
      <c r="L26" s="20"/>
      <c r="M26" s="20"/>
      <c r="N26" s="20"/>
      <c r="O26" s="20"/>
      <c r="P26" s="20"/>
      <c r="Q26" s="20"/>
      <c r="R26" s="20"/>
    </row>
    <row r="27" spans="1:18" s="104" customFormat="1" ht="15">
      <c r="A27" s="332"/>
      <c r="B27" s="998"/>
      <c r="C27" s="1029"/>
      <c r="D27" s="998"/>
      <c r="F27" s="20"/>
      <c r="G27" s="20"/>
      <c r="H27" s="992"/>
      <c r="I27" s="992"/>
      <c r="J27" s="992"/>
      <c r="K27" s="20"/>
      <c r="L27" s="20"/>
      <c r="M27" s="20"/>
      <c r="N27" s="20"/>
      <c r="O27" s="20"/>
      <c r="P27" s="20"/>
      <c r="Q27" s="20"/>
      <c r="R27" s="20"/>
    </row>
    <row r="28" spans="1:18" s="104" customFormat="1" ht="15">
      <c r="A28" s="332">
        <f>A26+1</f>
        <v>10</v>
      </c>
      <c r="B28" s="998"/>
      <c r="C28" s="21">
        <v>390</v>
      </c>
      <c r="D28" s="998"/>
      <c r="E28" s="998" t="s">
        <v>73</v>
      </c>
      <c r="F28" s="20"/>
      <c r="G28" s="20" t="s">
        <v>1086</v>
      </c>
      <c r="I28" s="988"/>
      <c r="J28" s="1030">
        <f>'WP-BA'!J22</f>
        <v>4276260.53</v>
      </c>
      <c r="K28" s="20"/>
      <c r="L28" s="20"/>
      <c r="M28" s="20"/>
      <c r="N28" s="20"/>
      <c r="O28" s="20"/>
      <c r="P28" s="20"/>
      <c r="Q28" s="20"/>
      <c r="R28" s="20"/>
    </row>
    <row r="29" spans="1:18" s="104" customFormat="1" ht="15">
      <c r="A29" s="332">
        <f t="shared" si="0"/>
        <v>11</v>
      </c>
      <c r="B29" s="998"/>
      <c r="C29" s="21">
        <v>391</v>
      </c>
      <c r="D29" s="998"/>
      <c r="E29" s="998" t="s">
        <v>84</v>
      </c>
      <c r="F29" s="1031"/>
      <c r="G29" s="20" t="s">
        <v>1086</v>
      </c>
      <c r="I29" s="988"/>
      <c r="J29" s="1030">
        <f>'WP-BA'!J29</f>
        <v>15602022.079999998</v>
      </c>
      <c r="K29" s="20"/>
      <c r="L29" s="20"/>
      <c r="M29" s="20"/>
      <c r="N29" s="20"/>
      <c r="O29" s="20"/>
      <c r="P29" s="20"/>
      <c r="Q29" s="20"/>
      <c r="R29" s="20"/>
    </row>
    <row r="30" spans="1:18" s="104" customFormat="1" ht="15">
      <c r="A30" s="332">
        <f t="shared" si="0"/>
        <v>12</v>
      </c>
      <c r="B30" s="998"/>
      <c r="C30" s="21">
        <v>392</v>
      </c>
      <c r="D30" s="998"/>
      <c r="E30" s="998" t="s">
        <v>85</v>
      </c>
      <c r="F30" s="20"/>
      <c r="G30" s="20" t="s">
        <v>1086</v>
      </c>
      <c r="I30" s="988"/>
      <c r="J30" s="1030">
        <f>'WP-BA'!J36</f>
        <v>3362267.25</v>
      </c>
      <c r="K30" s="20"/>
      <c r="L30" s="20"/>
      <c r="M30" s="20"/>
      <c r="N30" s="20"/>
      <c r="O30" s="20"/>
      <c r="P30" s="20"/>
      <c r="Q30" s="20"/>
      <c r="R30" s="20"/>
    </row>
    <row r="31" spans="1:18" s="104" customFormat="1" ht="15">
      <c r="A31" s="332">
        <f t="shared" si="0"/>
        <v>13</v>
      </c>
      <c r="B31" s="998"/>
      <c r="C31" s="21">
        <v>393</v>
      </c>
      <c r="D31" s="998"/>
      <c r="E31" s="998" t="s">
        <v>86</v>
      </c>
      <c r="F31" s="20"/>
      <c r="G31" s="20" t="s">
        <v>1086</v>
      </c>
      <c r="I31" s="988"/>
      <c r="J31" s="1030">
        <f>'WP-BA'!J42</f>
        <v>27159</v>
      </c>
      <c r="K31" s="20"/>
      <c r="L31" s="20"/>
      <c r="M31" s="20"/>
      <c r="N31" s="20"/>
      <c r="O31" s="20"/>
      <c r="P31" s="20"/>
      <c r="Q31" s="20"/>
      <c r="R31" s="20"/>
    </row>
    <row r="32" spans="1:18" s="104" customFormat="1" ht="15">
      <c r="A32" s="332">
        <f t="shared" si="0"/>
        <v>14</v>
      </c>
      <c r="B32" s="998"/>
      <c r="C32" s="21">
        <v>394</v>
      </c>
      <c r="D32" s="998"/>
      <c r="E32" s="998" t="s">
        <v>87</v>
      </c>
      <c r="F32" s="20"/>
      <c r="G32" s="20" t="s">
        <v>1086</v>
      </c>
      <c r="I32" s="988"/>
      <c r="J32" s="1030">
        <f>'WP-BA'!J49</f>
        <v>515515.12</v>
      </c>
      <c r="K32" s="20"/>
      <c r="L32" s="20"/>
      <c r="M32" s="20"/>
      <c r="N32" s="20"/>
      <c r="O32" s="20"/>
      <c r="P32" s="20"/>
      <c r="Q32" s="20"/>
      <c r="R32" s="20"/>
    </row>
    <row r="33" spans="1:18" s="104" customFormat="1" ht="15">
      <c r="A33" s="332">
        <f t="shared" si="0"/>
        <v>15</v>
      </c>
      <c r="B33" s="998"/>
      <c r="C33" s="21">
        <v>395</v>
      </c>
      <c r="D33" s="998"/>
      <c r="E33" s="998" t="s">
        <v>88</v>
      </c>
      <c r="F33" s="20"/>
      <c r="G33" s="20" t="s">
        <v>1086</v>
      </c>
      <c r="I33" s="1032"/>
      <c r="J33" s="1030">
        <f>'WP-BA'!J56</f>
        <v>429337.24000000005</v>
      </c>
      <c r="K33" s="20"/>
      <c r="L33" s="20"/>
      <c r="M33" s="20"/>
      <c r="N33" s="20"/>
      <c r="O33" s="20"/>
      <c r="P33" s="20"/>
      <c r="Q33" s="20"/>
      <c r="R33" s="20"/>
    </row>
    <row r="34" spans="1:18" s="104" customFormat="1" ht="15">
      <c r="A34" s="332">
        <f t="shared" si="0"/>
        <v>16</v>
      </c>
      <c r="B34" s="998"/>
      <c r="C34" s="21">
        <v>396</v>
      </c>
      <c r="D34" s="998"/>
      <c r="E34" s="998" t="s">
        <v>89</v>
      </c>
      <c r="F34" s="20"/>
      <c r="G34" s="20" t="s">
        <v>1086</v>
      </c>
      <c r="I34" s="988"/>
      <c r="J34" s="1030">
        <f>'WP-BA'!J63</f>
        <v>1192414.49</v>
      </c>
      <c r="K34" s="20"/>
      <c r="L34" s="20"/>
      <c r="M34" s="20"/>
      <c r="N34" s="20"/>
      <c r="O34" s="20"/>
      <c r="P34" s="20"/>
      <c r="Q34" s="20"/>
      <c r="R34" s="20"/>
    </row>
    <row r="35" spans="1:18" s="104" customFormat="1" ht="15">
      <c r="A35" s="332">
        <f t="shared" si="0"/>
        <v>17</v>
      </c>
      <c r="B35" s="998"/>
      <c r="C35" s="21">
        <v>397</v>
      </c>
      <c r="D35" s="998"/>
      <c r="E35" s="998" t="s">
        <v>90</v>
      </c>
      <c r="F35" s="20"/>
      <c r="G35" s="20" t="s">
        <v>1086</v>
      </c>
      <c r="I35" s="988"/>
      <c r="J35" s="1030">
        <f>'WP-BA'!J72</f>
        <v>434857</v>
      </c>
      <c r="K35" s="20"/>
      <c r="L35" s="20"/>
      <c r="M35" s="20"/>
      <c r="N35" s="20"/>
      <c r="O35" s="20"/>
      <c r="P35" s="20"/>
      <c r="Q35" s="20"/>
      <c r="R35" s="20"/>
    </row>
    <row r="36" spans="1:18" s="104" customFormat="1" ht="15">
      <c r="A36" s="332">
        <f t="shared" si="0"/>
        <v>18</v>
      </c>
      <c r="B36" s="998"/>
      <c r="C36" s="21">
        <v>398</v>
      </c>
      <c r="D36" s="998"/>
      <c r="E36" s="998" t="s">
        <v>91</v>
      </c>
      <c r="F36" s="20"/>
      <c r="G36" s="20" t="s">
        <v>1086</v>
      </c>
      <c r="I36" s="988"/>
      <c r="J36" s="1030">
        <f>'WP-BA'!J79</f>
        <v>16542187.07</v>
      </c>
      <c r="K36" s="20"/>
      <c r="L36" s="20"/>
      <c r="M36" s="20"/>
      <c r="N36" s="20"/>
      <c r="O36" s="20"/>
      <c r="P36" s="20"/>
      <c r="Q36" s="20"/>
      <c r="R36" s="20"/>
    </row>
    <row r="37" spans="1:18" s="104" customFormat="1" ht="15">
      <c r="A37" s="332">
        <f t="shared" si="0"/>
        <v>19</v>
      </c>
      <c r="B37" s="998"/>
      <c r="C37" s="21">
        <v>399</v>
      </c>
      <c r="D37" s="998"/>
      <c r="E37" s="998" t="s">
        <v>92</v>
      </c>
      <c r="F37" s="20"/>
      <c r="G37" s="20" t="s">
        <v>1086</v>
      </c>
      <c r="I37" s="988"/>
      <c r="J37" s="1033">
        <f>'WP-BA'!J84</f>
        <v>57702</v>
      </c>
      <c r="K37" s="20"/>
      <c r="L37" s="20"/>
      <c r="M37" s="20"/>
      <c r="N37" s="20"/>
      <c r="O37" s="20"/>
      <c r="P37" s="20"/>
      <c r="Q37" s="20"/>
      <c r="R37" s="20"/>
    </row>
    <row r="38" spans="1:18" s="104" customFormat="1" ht="15">
      <c r="A38" s="332">
        <f t="shared" si="0"/>
        <v>20</v>
      </c>
      <c r="B38" s="998"/>
      <c r="C38" s="1028" t="s">
        <v>853</v>
      </c>
      <c r="D38" s="1029"/>
      <c r="E38" s="1029"/>
      <c r="F38" s="20"/>
      <c r="G38" s="20"/>
      <c r="I38" s="992"/>
      <c r="J38" s="993">
        <f>SUM(J28:J37)</f>
        <v>42439721.78</v>
      </c>
      <c r="K38" s="20"/>
      <c r="L38" s="20"/>
      <c r="M38" s="20"/>
      <c r="N38" s="20"/>
      <c r="O38" s="20"/>
      <c r="P38" s="20"/>
      <c r="Q38" s="20"/>
      <c r="R38" s="20"/>
    </row>
    <row r="39" spans="1:18" s="104" customFormat="1" ht="15">
      <c r="A39" s="332"/>
      <c r="B39" s="998"/>
      <c r="C39" s="998"/>
      <c r="D39" s="998"/>
      <c r="E39" s="1029"/>
      <c r="F39" s="20"/>
      <c r="G39" s="20"/>
      <c r="H39" s="992"/>
      <c r="I39" s="992"/>
      <c r="J39" s="992"/>
      <c r="K39" s="20"/>
      <c r="L39" s="20"/>
      <c r="M39" s="20"/>
      <c r="N39" s="20"/>
      <c r="O39" s="20"/>
      <c r="P39" s="20"/>
      <c r="Q39" s="20"/>
      <c r="R39" s="20"/>
    </row>
    <row r="40" spans="1:18" s="104" customFormat="1" ht="15">
      <c r="A40" s="332"/>
      <c r="B40" s="998"/>
      <c r="C40" s="1028" t="s">
        <v>211</v>
      </c>
      <c r="D40" s="998"/>
      <c r="F40" s="20"/>
      <c r="G40" s="20"/>
      <c r="H40" s="992"/>
      <c r="I40" s="992"/>
      <c r="J40" s="992"/>
      <c r="K40" s="20"/>
      <c r="L40" s="20"/>
      <c r="M40" s="20"/>
      <c r="N40" s="20"/>
      <c r="O40" s="20"/>
      <c r="P40" s="20"/>
      <c r="Q40" s="20"/>
      <c r="R40" s="20"/>
    </row>
    <row r="41" spans="1:18" s="104" customFormat="1" ht="15">
      <c r="A41" s="332">
        <f>A38+1</f>
        <v>21</v>
      </c>
      <c r="B41" s="998"/>
      <c r="C41" s="998"/>
      <c r="D41" s="998"/>
      <c r="E41" s="384" t="s">
        <v>441</v>
      </c>
      <c r="F41" s="384"/>
      <c r="G41" s="1383" t="s">
        <v>1091</v>
      </c>
      <c r="H41" s="1004">
        <f>'B2-Plant'!K37</f>
        <v>2178735.56</v>
      </c>
      <c r="I41" s="1034"/>
      <c r="J41" s="1035"/>
      <c r="K41" s="1034"/>
      <c r="L41" s="1034"/>
      <c r="M41" s="1034"/>
      <c r="N41" s="1034"/>
      <c r="O41" s="1034"/>
      <c r="P41" s="1034"/>
      <c r="Q41" s="1034"/>
      <c r="R41" s="20"/>
    </row>
    <row r="42" spans="1:18" s="104" customFormat="1" ht="15">
      <c r="A42" s="332">
        <f t="shared" si="0"/>
        <v>22</v>
      </c>
      <c r="B42" s="20"/>
      <c r="C42" s="20"/>
      <c r="D42" s="20"/>
      <c r="E42" s="384" t="s">
        <v>159</v>
      </c>
      <c r="F42" s="384"/>
      <c r="G42" s="1383" t="s">
        <v>1092</v>
      </c>
      <c r="H42" s="1004">
        <f>'B2-Plant'!K36</f>
        <v>-891698</v>
      </c>
      <c r="I42" s="1036"/>
      <c r="J42" s="1036"/>
      <c r="K42" s="1034"/>
      <c r="L42" s="1034"/>
      <c r="M42" s="1034"/>
      <c r="N42" s="1034"/>
      <c r="O42" s="1034"/>
      <c r="P42" s="1034"/>
      <c r="Q42" s="1034"/>
      <c r="R42" s="20"/>
    </row>
    <row r="43" spans="1:18" s="104" customFormat="1" ht="15">
      <c r="A43" s="332">
        <f t="shared" si="0"/>
        <v>23</v>
      </c>
      <c r="B43" s="20"/>
      <c r="C43" s="20"/>
      <c r="D43" s="20"/>
      <c r="E43" s="384" t="s">
        <v>285</v>
      </c>
      <c r="F43" s="384"/>
      <c r="G43" s="1383" t="s">
        <v>1093</v>
      </c>
      <c r="H43" s="1004">
        <f>'B2-Plant'!K34</f>
        <v>-1608459</v>
      </c>
      <c r="I43" s="1036"/>
      <c r="J43" s="1036"/>
      <c r="K43" s="1034"/>
      <c r="L43" s="1034"/>
      <c r="M43" s="1034"/>
      <c r="N43" s="1034"/>
      <c r="O43" s="1034"/>
      <c r="P43" s="1034"/>
      <c r="Q43" s="1034"/>
      <c r="R43" s="20"/>
    </row>
    <row r="44" spans="1:18" s="104" customFormat="1" ht="15">
      <c r="A44" s="332">
        <f t="shared" si="0"/>
        <v>24</v>
      </c>
      <c r="B44" s="20"/>
      <c r="C44" s="20"/>
      <c r="D44" s="20"/>
      <c r="E44" s="384" t="s">
        <v>158</v>
      </c>
      <c r="F44" s="384"/>
      <c r="G44" s="1383" t="s">
        <v>1094</v>
      </c>
      <c r="H44" s="1004">
        <f>'B2-Plant'!K35</f>
        <v>-714182.41</v>
      </c>
      <c r="I44" s="1036"/>
      <c r="J44" s="1036"/>
      <c r="K44" s="1034"/>
      <c r="L44" s="1034"/>
      <c r="M44" s="1034"/>
      <c r="N44" s="1034"/>
      <c r="O44" s="1034"/>
      <c r="P44" s="1034"/>
      <c r="Q44" s="1034"/>
      <c r="R44" s="20"/>
    </row>
    <row r="45" spans="1:17" s="104" customFormat="1" ht="15">
      <c r="A45" s="332">
        <f t="shared" si="0"/>
        <v>25</v>
      </c>
      <c r="B45" s="998"/>
      <c r="D45" s="20"/>
      <c r="E45" s="1003" t="s">
        <v>308</v>
      </c>
      <c r="F45" s="384"/>
      <c r="G45" s="1003" t="s">
        <v>1095</v>
      </c>
      <c r="H45" s="1037"/>
      <c r="I45" s="1034"/>
      <c r="J45" s="999">
        <f>-'WP-BG'!H35</f>
        <v>-15239698.36</v>
      </c>
      <c r="K45" s="1034"/>
      <c r="L45" s="1034"/>
      <c r="M45" s="1034"/>
      <c r="N45" s="1034"/>
      <c r="O45" s="1034"/>
      <c r="P45" s="1034"/>
      <c r="Q45" s="1038"/>
    </row>
    <row r="46" spans="1:18" s="104" customFormat="1" ht="15.75" thickBot="1">
      <c r="A46" s="332"/>
      <c r="B46" s="20"/>
      <c r="C46" s="20"/>
      <c r="D46" s="20"/>
      <c r="E46" s="20"/>
      <c r="F46" s="20"/>
      <c r="G46" s="20"/>
      <c r="H46" s="20"/>
      <c r="I46" s="20"/>
      <c r="J46" s="20"/>
      <c r="K46" s="20"/>
      <c r="L46" s="20"/>
      <c r="M46" s="20"/>
      <c r="N46" s="20"/>
      <c r="O46" s="20"/>
      <c r="P46" s="20"/>
      <c r="Q46" s="20"/>
      <c r="R46" s="20"/>
    </row>
    <row r="47" spans="1:18" s="104" customFormat="1" ht="16.5" thickBot="1" thickTop="1">
      <c r="A47" s="332">
        <f>A45+1</f>
        <v>26</v>
      </c>
      <c r="B47" s="20"/>
      <c r="C47" s="20"/>
      <c r="D47" s="20"/>
      <c r="E47" s="831" t="s">
        <v>33</v>
      </c>
      <c r="F47" s="20"/>
      <c r="G47" s="20" t="s">
        <v>599</v>
      </c>
      <c r="H47" s="993">
        <f>SUM(H26:H45)</f>
        <v>38823921.11</v>
      </c>
      <c r="I47" s="1039"/>
      <c r="J47" s="993">
        <f>SUM(J38:J46)</f>
        <v>27200023.42</v>
      </c>
      <c r="K47" s="20"/>
      <c r="L47" s="1040">
        <f>+'E1-Labor Ratio'!H21</f>
        <v>0.27609832339076545</v>
      </c>
      <c r="M47" s="14" t="s">
        <v>445</v>
      </c>
      <c r="N47" s="993">
        <f>J47*L47</f>
        <v>7509880.862451554</v>
      </c>
      <c r="O47" s="993"/>
      <c r="P47" s="1041">
        <f>H47+N47</f>
        <v>46333801.97245155</v>
      </c>
      <c r="R47" s="20"/>
    </row>
    <row r="48" spans="2:18" s="104" customFormat="1" ht="15.75" thickTop="1">
      <c r="B48" s="20"/>
      <c r="C48" s="20"/>
      <c r="D48" s="20"/>
      <c r="E48" s="20"/>
      <c r="F48" s="20"/>
      <c r="G48" s="20"/>
      <c r="H48" s="993"/>
      <c r="I48" s="20"/>
      <c r="K48" s="20"/>
      <c r="L48" s="20"/>
      <c r="M48" s="20"/>
      <c r="N48" s="20"/>
      <c r="O48" s="20"/>
      <c r="P48" s="20"/>
      <c r="Q48" s="20"/>
      <c r="R48" s="20"/>
    </row>
    <row r="49" spans="1:18" s="104" customFormat="1" ht="15">
      <c r="A49" s="14" t="s">
        <v>1262</v>
      </c>
      <c r="C49" s="20"/>
      <c r="D49" s="20"/>
      <c r="E49" s="20"/>
      <c r="F49" s="20"/>
      <c r="G49" s="20"/>
      <c r="H49" s="993"/>
      <c r="I49" s="20"/>
      <c r="K49" s="20"/>
      <c r="L49" s="20"/>
      <c r="M49" s="20"/>
      <c r="N49" s="20"/>
      <c r="O49" s="20"/>
      <c r="P49" s="20"/>
      <c r="Q49" s="20"/>
      <c r="R49" s="20"/>
    </row>
    <row r="50" spans="3:18" s="64" customFormat="1" ht="15">
      <c r="C50" s="142"/>
      <c r="D50" s="142"/>
      <c r="E50" s="142"/>
      <c r="F50" s="142"/>
      <c r="G50" s="138"/>
      <c r="H50" s="455"/>
      <c r="J50" s="138"/>
      <c r="K50" s="138"/>
      <c r="L50" s="138"/>
      <c r="M50" s="138"/>
      <c r="N50" s="138"/>
      <c r="O50" s="138"/>
      <c r="P50" s="138"/>
      <c r="Q50" s="138"/>
      <c r="R50" s="138"/>
    </row>
    <row r="51" spans="2:18" s="64" customFormat="1" ht="15">
      <c r="B51" s="145"/>
      <c r="C51" s="145"/>
      <c r="D51" s="145"/>
      <c r="E51" s="145"/>
      <c r="F51" s="142"/>
      <c r="G51" s="193"/>
      <c r="H51" s="142"/>
      <c r="I51" s="138"/>
      <c r="J51" s="140"/>
      <c r="K51" s="138"/>
      <c r="L51" s="138"/>
      <c r="M51" s="138"/>
      <c r="N51" s="138"/>
      <c r="O51" s="138"/>
      <c r="P51" s="138"/>
      <c r="Q51" s="138"/>
      <c r="R51" s="138"/>
    </row>
    <row r="52" spans="2:18" s="64" customFormat="1" ht="15">
      <c r="B52" s="138"/>
      <c r="C52" s="138"/>
      <c r="D52" s="138"/>
      <c r="E52" s="138"/>
      <c r="F52" s="138"/>
      <c r="G52" s="138"/>
      <c r="H52" s="138"/>
      <c r="I52" s="138"/>
      <c r="J52" s="138"/>
      <c r="K52" s="138"/>
      <c r="L52" s="138"/>
      <c r="M52" s="138"/>
      <c r="N52" s="138"/>
      <c r="O52" s="138"/>
      <c r="P52" s="138"/>
      <c r="Q52" s="138"/>
      <c r="R52" s="138"/>
    </row>
    <row r="53" spans="2:18" ht="17.25">
      <c r="B53" s="11"/>
      <c r="C53" s="11"/>
      <c r="D53" s="11"/>
      <c r="E53" s="11"/>
      <c r="F53" s="11"/>
      <c r="G53" s="11"/>
      <c r="H53" s="11"/>
      <c r="I53" s="11"/>
      <c r="J53" s="11"/>
      <c r="K53" s="11"/>
      <c r="L53" s="11"/>
      <c r="M53" s="11"/>
      <c r="N53" s="11"/>
      <c r="O53" s="11"/>
      <c r="P53" s="11"/>
      <c r="Q53" s="11"/>
      <c r="R53" s="11"/>
    </row>
    <row r="54" spans="2:18" ht="17.25">
      <c r="B54" s="11"/>
      <c r="C54" s="11"/>
      <c r="D54" s="11"/>
      <c r="E54" s="11"/>
      <c r="F54" s="11"/>
      <c r="G54" s="11"/>
      <c r="H54" s="11"/>
      <c r="I54" s="11"/>
      <c r="J54" s="11"/>
      <c r="K54" s="11"/>
      <c r="L54" s="11"/>
      <c r="M54" s="11"/>
      <c r="N54" s="11"/>
      <c r="O54" s="11"/>
      <c r="P54" s="11"/>
      <c r="Q54" s="11"/>
      <c r="R54" s="11"/>
    </row>
    <row r="55" spans="2:18" ht="17.25">
      <c r="B55" s="11"/>
      <c r="C55" s="11"/>
      <c r="D55" s="11"/>
      <c r="E55" s="11"/>
      <c r="F55" s="11"/>
      <c r="G55" s="11"/>
      <c r="H55" s="11"/>
      <c r="I55" s="11"/>
      <c r="J55" s="11"/>
      <c r="K55" s="11"/>
      <c r="L55" s="11"/>
      <c r="M55" s="11"/>
      <c r="N55" s="11"/>
      <c r="O55" s="11"/>
      <c r="P55" s="11"/>
      <c r="Q55" s="11"/>
      <c r="R55" s="11"/>
    </row>
  </sheetData>
  <sheetProtection/>
  <mergeCells count="5">
    <mergeCell ref="A4:Q4"/>
    <mergeCell ref="A5:Q5"/>
    <mergeCell ref="A9:Q9"/>
    <mergeCell ref="A6:Q6"/>
    <mergeCell ref="A8:Q8"/>
  </mergeCells>
  <printOptions horizontalCentered="1"/>
  <pageMargins left="0.25" right="0.25" top="0.25" bottom="0.25" header="0.5" footer="0.5"/>
  <pageSetup fitToHeight="1" fitToWidth="1" horizontalDpi="600" verticalDpi="600" orientation="landscape" scale="69" r:id="rId2"/>
  <colBreaks count="1" manualBreakCount="1">
    <brk id="23" max="65535" man="1"/>
  </colBreaks>
  <drawing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T89"/>
  <sheetViews>
    <sheetView zoomScale="115" zoomScaleNormal="115" zoomScaleSheetLayoutView="115" zoomScalePageLayoutView="0" workbookViewId="0" topLeftCell="A43">
      <selection activeCell="B28" sqref="B28"/>
    </sheetView>
  </sheetViews>
  <sheetFormatPr defaultColWidth="9.00390625" defaultRowHeight="13.5" customHeight="1"/>
  <cols>
    <col min="1" max="1" width="0.875" style="63" customWidth="1"/>
    <col min="2" max="2" width="5.00390625" style="63" customWidth="1"/>
    <col min="3" max="3" width="0.6171875" style="63" customWidth="1"/>
    <col min="4" max="4" width="18.625" style="63" customWidth="1"/>
    <col min="5" max="5" width="14.125" style="151" customWidth="1"/>
    <col min="6" max="6" width="10.625" style="148" customWidth="1"/>
    <col min="7" max="7" width="21.375" style="63" customWidth="1"/>
    <col min="8" max="17" width="14.75390625" style="63" customWidth="1"/>
    <col min="18" max="18" width="1.625" style="63" customWidth="1"/>
    <col min="19" max="19" width="14.75390625" style="63" customWidth="1"/>
    <col min="20" max="20" width="1.625" style="27" customWidth="1"/>
    <col min="21" max="21" width="10.50390625" style="27" bestFit="1" customWidth="1"/>
    <col min="22" max="16384" width="9.00390625" style="27" customWidth="1"/>
  </cols>
  <sheetData>
    <row r="1" spans="1:19" s="363" customFormat="1" ht="21">
      <c r="A1" s="330"/>
      <c r="B1" s="688" t="s">
        <v>1097</v>
      </c>
      <c r="C1" s="361"/>
      <c r="D1" s="330"/>
      <c r="F1" s="355"/>
      <c r="G1" s="361"/>
      <c r="H1" s="361"/>
      <c r="I1" s="361"/>
      <c r="J1" s="361"/>
      <c r="K1" s="361"/>
      <c r="L1" s="361"/>
      <c r="M1" s="361"/>
      <c r="N1" s="361"/>
      <c r="O1" s="361"/>
      <c r="P1" s="361"/>
      <c r="Q1" s="330"/>
      <c r="R1" s="360"/>
      <c r="S1" s="356"/>
    </row>
    <row r="2" spans="1:20" s="365" customFormat="1" ht="15.75" customHeight="1">
      <c r="A2" s="330"/>
      <c r="B2" s="361"/>
      <c r="C2" s="361"/>
      <c r="D2" s="330"/>
      <c r="E2" s="362"/>
      <c r="F2" s="355"/>
      <c r="G2" s="361"/>
      <c r="H2" s="361"/>
      <c r="I2" s="361"/>
      <c r="J2" s="361"/>
      <c r="K2" s="361"/>
      <c r="L2" s="361"/>
      <c r="M2" s="361"/>
      <c r="N2" s="361"/>
      <c r="O2" s="361"/>
      <c r="P2" s="361"/>
      <c r="Q2" s="361"/>
      <c r="R2" s="361"/>
      <c r="S2" s="364"/>
      <c r="T2" s="21"/>
    </row>
    <row r="3" spans="1:20" s="365" customFormat="1" ht="15">
      <c r="A3" s="1538" t="s">
        <v>227</v>
      </c>
      <c r="B3" s="1538"/>
      <c r="C3" s="1538"/>
      <c r="D3" s="1538"/>
      <c r="E3" s="1538"/>
      <c r="F3" s="1538"/>
      <c r="G3" s="1538"/>
      <c r="H3" s="1538"/>
      <c r="I3" s="1538"/>
      <c r="J3" s="1538"/>
      <c r="K3" s="1538"/>
      <c r="L3" s="1538"/>
      <c r="M3" s="1538"/>
      <c r="N3" s="1538"/>
      <c r="O3" s="1538"/>
      <c r="P3" s="1538"/>
      <c r="Q3" s="1538"/>
      <c r="R3" s="1538"/>
      <c r="S3" s="1538"/>
      <c r="T3" s="1538"/>
    </row>
    <row r="4" spans="1:20" s="365" customFormat="1" ht="15">
      <c r="A4" s="1538" t="s">
        <v>111</v>
      </c>
      <c r="B4" s="1538"/>
      <c r="C4" s="1538"/>
      <c r="D4" s="1538"/>
      <c r="E4" s="1538"/>
      <c r="F4" s="1538"/>
      <c r="G4" s="1538"/>
      <c r="H4" s="1538"/>
      <c r="I4" s="1538"/>
      <c r="J4" s="1538"/>
      <c r="K4" s="1538"/>
      <c r="L4" s="1538"/>
      <c r="M4" s="1538"/>
      <c r="N4" s="1538"/>
      <c r="O4" s="1538"/>
      <c r="P4" s="1538"/>
      <c r="Q4" s="1538"/>
      <c r="R4" s="1538"/>
      <c r="S4" s="1538"/>
      <c r="T4" s="1538"/>
    </row>
    <row r="5" spans="1:20" s="365" customFormat="1" ht="15">
      <c r="A5" s="1534" t="s">
        <v>1377</v>
      </c>
      <c r="B5" s="1534"/>
      <c r="C5" s="1534"/>
      <c r="D5" s="1534"/>
      <c r="E5" s="1534"/>
      <c r="F5" s="1534"/>
      <c r="G5" s="1534"/>
      <c r="H5" s="1534"/>
      <c r="I5" s="1534"/>
      <c r="J5" s="1534"/>
      <c r="K5" s="1534"/>
      <c r="L5" s="1534"/>
      <c r="M5" s="1534"/>
      <c r="N5" s="1534"/>
      <c r="O5" s="1534"/>
      <c r="P5" s="1534"/>
      <c r="Q5" s="1534"/>
      <c r="R5" s="1534"/>
      <c r="S5" s="1534"/>
      <c r="T5" s="352"/>
    </row>
    <row r="6" spans="1:19" s="365" customFormat="1" ht="13.5">
      <c r="A6" s="330"/>
      <c r="B6" s="330"/>
      <c r="C6" s="330"/>
      <c r="D6" s="330"/>
      <c r="E6" s="366"/>
      <c r="F6" s="148"/>
      <c r="G6" s="330"/>
      <c r="H6" s="330"/>
      <c r="I6" s="330"/>
      <c r="J6" s="330"/>
      <c r="K6" s="330"/>
      <c r="L6" s="330"/>
      <c r="M6" s="330"/>
      <c r="N6" s="330"/>
      <c r="O6" s="330"/>
      <c r="P6" s="330"/>
      <c r="Q6" s="330"/>
      <c r="R6" s="330"/>
      <c r="S6" s="330"/>
    </row>
    <row r="7" spans="1:20" s="365" customFormat="1" ht="15">
      <c r="A7" s="1538" t="s">
        <v>1096</v>
      </c>
      <c r="B7" s="1538"/>
      <c r="C7" s="1538"/>
      <c r="D7" s="1538"/>
      <c r="E7" s="1538"/>
      <c r="F7" s="1538"/>
      <c r="G7" s="1538"/>
      <c r="H7" s="1538"/>
      <c r="I7" s="1538"/>
      <c r="J7" s="1538"/>
      <c r="K7" s="1538"/>
      <c r="L7" s="1538"/>
      <c r="M7" s="1538"/>
      <c r="N7" s="1538"/>
      <c r="O7" s="1538"/>
      <c r="P7" s="1538"/>
      <c r="Q7" s="1538"/>
      <c r="R7" s="1538"/>
      <c r="S7" s="1538"/>
      <c r="T7" s="1538"/>
    </row>
    <row r="8" spans="1:20" s="365" customFormat="1" ht="15">
      <c r="A8" s="1538" t="s">
        <v>233</v>
      </c>
      <c r="B8" s="1538"/>
      <c r="C8" s="1538"/>
      <c r="D8" s="1538"/>
      <c r="E8" s="1538"/>
      <c r="F8" s="1538"/>
      <c r="G8" s="1538"/>
      <c r="H8" s="1538"/>
      <c r="I8" s="1538"/>
      <c r="J8" s="1538"/>
      <c r="K8" s="1538"/>
      <c r="L8" s="1538"/>
      <c r="M8" s="1538"/>
      <c r="N8" s="1538"/>
      <c r="O8" s="1538"/>
      <c r="P8" s="1538"/>
      <c r="Q8" s="1538"/>
      <c r="R8" s="1538"/>
      <c r="S8" s="1538"/>
      <c r="T8" s="1538"/>
    </row>
    <row r="9" spans="1:19" s="365" customFormat="1" ht="13.5">
      <c r="A9" s="330"/>
      <c r="B9" s="330"/>
      <c r="C9" s="330"/>
      <c r="D9" s="357"/>
      <c r="E9" s="358"/>
      <c r="F9" s="353"/>
      <c r="G9" s="357"/>
      <c r="H9" s="357"/>
      <c r="I9" s="357"/>
      <c r="J9" s="357"/>
      <c r="K9" s="357"/>
      <c r="L9" s="357"/>
      <c r="M9" s="357"/>
      <c r="N9" s="357"/>
      <c r="O9" s="357"/>
      <c r="P9" s="357"/>
      <c r="Q9" s="357"/>
      <c r="R9" s="357"/>
      <c r="S9" s="357"/>
    </row>
    <row r="10" spans="1:19" s="365" customFormat="1" ht="13.5">
      <c r="A10" s="330"/>
      <c r="B10" s="330"/>
      <c r="C10" s="330"/>
      <c r="D10" s="357"/>
      <c r="E10" s="358"/>
      <c r="F10" s="353"/>
      <c r="G10" s="357"/>
      <c r="H10" s="354"/>
      <c r="I10" s="354"/>
      <c r="J10" s="354"/>
      <c r="K10" s="354"/>
      <c r="L10" s="330"/>
      <c r="M10" s="330"/>
      <c r="N10" s="330"/>
      <c r="O10" s="330"/>
      <c r="P10" s="357"/>
      <c r="Q10" s="357"/>
      <c r="R10" s="357"/>
      <c r="S10" s="357"/>
    </row>
    <row r="11" spans="5:19" s="330" customFormat="1" ht="18" customHeight="1">
      <c r="E11" s="366"/>
      <c r="F11" s="148"/>
      <c r="H11" s="1535">
        <v>2015</v>
      </c>
      <c r="I11" s="1536"/>
      <c r="J11" s="1536"/>
      <c r="K11" s="1537"/>
      <c r="L11" s="1535">
        <v>2014</v>
      </c>
      <c r="M11" s="1536"/>
      <c r="N11" s="1536"/>
      <c r="O11" s="1537"/>
      <c r="P11" s="1535" t="s">
        <v>1382</v>
      </c>
      <c r="Q11" s="1536"/>
      <c r="R11" s="1536"/>
      <c r="S11" s="1537"/>
    </row>
    <row r="12" spans="5:19" s="330" customFormat="1" ht="18" customHeight="1">
      <c r="E12" s="366"/>
      <c r="F12" s="148"/>
      <c r="K12" s="354"/>
      <c r="P12" s="359"/>
      <c r="Q12" s="359"/>
      <c r="R12" s="367"/>
      <c r="S12" s="353" t="s">
        <v>244</v>
      </c>
    </row>
    <row r="13" spans="2:19" s="365" customFormat="1" ht="18" customHeight="1">
      <c r="B13" s="932" t="s">
        <v>59</v>
      </c>
      <c r="E13" s="1042"/>
      <c r="F13" s="1043"/>
      <c r="H13" s="1044" t="s">
        <v>273</v>
      </c>
      <c r="I13" s="1044" t="s">
        <v>163</v>
      </c>
      <c r="J13" s="1044" t="s">
        <v>273</v>
      </c>
      <c r="K13" s="1044" t="s">
        <v>72</v>
      </c>
      <c r="L13" s="1044" t="s">
        <v>273</v>
      </c>
      <c r="M13" s="1044" t="s">
        <v>163</v>
      </c>
      <c r="N13" s="1044" t="s">
        <v>273</v>
      </c>
      <c r="O13" s="1044" t="s">
        <v>72</v>
      </c>
      <c r="P13" s="1044" t="s">
        <v>273</v>
      </c>
      <c r="Q13" s="1044" t="s">
        <v>163</v>
      </c>
      <c r="R13" s="1045"/>
      <c r="S13" s="1044" t="s">
        <v>273</v>
      </c>
    </row>
    <row r="14" spans="2:19" s="365" customFormat="1" ht="18" customHeight="1">
      <c r="B14" s="936" t="s">
        <v>60</v>
      </c>
      <c r="E14" s="1042"/>
      <c r="F14" s="1046"/>
      <c r="G14" s="1047"/>
      <c r="H14" s="1046" t="s">
        <v>954</v>
      </c>
      <c r="I14" s="1046" t="s">
        <v>342</v>
      </c>
      <c r="J14" s="1046" t="s">
        <v>1025</v>
      </c>
      <c r="K14" s="1046" t="s">
        <v>956</v>
      </c>
      <c r="L14" s="1046" t="s">
        <v>954</v>
      </c>
      <c r="M14" s="1046" t="s">
        <v>342</v>
      </c>
      <c r="N14" s="1046" t="s">
        <v>1025</v>
      </c>
      <c r="O14" s="1046" t="s">
        <v>956</v>
      </c>
      <c r="P14" s="1046" t="s">
        <v>954</v>
      </c>
      <c r="Q14" s="1046" t="s">
        <v>342</v>
      </c>
      <c r="R14" s="1046"/>
      <c r="S14" s="1046" t="s">
        <v>954</v>
      </c>
    </row>
    <row r="15" spans="2:19" s="365" customFormat="1" ht="18" customHeight="1">
      <c r="B15" s="1048"/>
      <c r="E15" s="1042"/>
      <c r="F15" s="1043"/>
      <c r="H15" s="1049" t="s">
        <v>220</v>
      </c>
      <c r="I15" s="1049" t="s">
        <v>221</v>
      </c>
      <c r="J15" s="1049" t="s">
        <v>222</v>
      </c>
      <c r="K15" s="1049" t="s">
        <v>223</v>
      </c>
      <c r="L15" s="1049" t="s">
        <v>224</v>
      </c>
      <c r="M15" s="1049" t="s">
        <v>456</v>
      </c>
      <c r="N15" s="1049" t="s">
        <v>457</v>
      </c>
      <c r="O15" s="1049" t="s">
        <v>1087</v>
      </c>
      <c r="P15" s="1049" t="s">
        <v>1088</v>
      </c>
      <c r="Q15" s="1049" t="s">
        <v>1089</v>
      </c>
      <c r="R15" s="1043"/>
      <c r="S15" s="1049" t="s">
        <v>1090</v>
      </c>
    </row>
    <row r="16" spans="2:19" s="365" customFormat="1" ht="18" customHeight="1">
      <c r="B16" s="1048"/>
      <c r="E16" s="1042"/>
      <c r="F16" s="1043"/>
      <c r="H16" s="1049"/>
      <c r="I16" s="1049"/>
      <c r="J16" s="1049"/>
      <c r="K16" s="1050"/>
      <c r="L16" s="1049"/>
      <c r="M16" s="1049"/>
      <c r="N16" s="1049"/>
      <c r="O16" s="1050"/>
      <c r="P16" s="1049"/>
      <c r="Q16" s="1049"/>
      <c r="R16" s="1043"/>
      <c r="S16" s="1049"/>
    </row>
    <row r="17" spans="2:19" s="365" customFormat="1" ht="18" customHeight="1">
      <c r="B17" s="1048"/>
      <c r="D17" s="1045" t="s">
        <v>54</v>
      </c>
      <c r="E17" s="1042"/>
      <c r="F17" s="1045" t="s">
        <v>588</v>
      </c>
      <c r="H17" s="1049"/>
      <c r="I17" s="1049"/>
      <c r="J17" s="1049"/>
      <c r="K17" s="1050"/>
      <c r="L17" s="1049"/>
      <c r="M17" s="1049"/>
      <c r="N17" s="1049"/>
      <c r="O17" s="1050"/>
      <c r="P17" s="1049"/>
      <c r="Q17" s="1049"/>
      <c r="R17" s="1043"/>
      <c r="S17" s="1049"/>
    </row>
    <row r="18" spans="2:19" s="365" customFormat="1" ht="18" customHeight="1">
      <c r="B18" s="932">
        <v>1</v>
      </c>
      <c r="D18" s="1051" t="s">
        <v>856</v>
      </c>
      <c r="E18" s="1052"/>
      <c r="F18" s="1053" t="s">
        <v>1345</v>
      </c>
      <c r="G18" s="1054"/>
      <c r="H18" s="1055">
        <f>SUM('WP-BC'!E33:E50)</f>
        <v>100992575.77000001</v>
      </c>
      <c r="I18" s="1056">
        <f>SUM('WP-BC'!F33:F50)</f>
        <v>0</v>
      </c>
      <c r="J18" s="1056">
        <f>SUM('WP-BC'!G33:G50)</f>
        <v>100992575.77000001</v>
      </c>
      <c r="K18" s="1056">
        <f>SUM('WP-BC'!H33:H50)</f>
        <v>0</v>
      </c>
      <c r="L18" s="1056">
        <f>SUM('WP-BC'!I33:I50)</f>
        <v>100905217.59</v>
      </c>
      <c r="M18" s="1056">
        <f>SUM('WP-BC'!J33:J50)</f>
        <v>0</v>
      </c>
      <c r="N18" s="1056">
        <f>SUM('WP-BC'!K33:K50)</f>
        <v>100905217.59</v>
      </c>
      <c r="O18" s="1056">
        <f>SUM('WP-BC'!L33:L50)</f>
        <v>0</v>
      </c>
      <c r="P18" s="1056">
        <f aca="true" t="shared" si="0" ref="P18:Q21">AVERAGE(H18,L18)</f>
        <v>100948896.68</v>
      </c>
      <c r="Q18" s="1056">
        <f t="shared" si="0"/>
        <v>0</v>
      </c>
      <c r="R18" s="1056"/>
      <c r="S18" s="1057">
        <f>P18-Q18</f>
        <v>100948896.68</v>
      </c>
    </row>
    <row r="19" spans="2:19" s="365" customFormat="1" ht="18" customHeight="1">
      <c r="B19" s="932">
        <f>B18+1</f>
        <v>2</v>
      </c>
      <c r="D19" s="1058" t="s">
        <v>760</v>
      </c>
      <c r="E19" s="1059"/>
      <c r="F19" s="1060" t="s">
        <v>1345</v>
      </c>
      <c r="G19" s="1050"/>
      <c r="H19" s="1061">
        <f>'WP-BC'!E98</f>
        <v>1999903271.98</v>
      </c>
      <c r="I19" s="1062">
        <f>'WP-BC'!F98</f>
        <v>769574686.97</v>
      </c>
      <c r="J19" s="1062">
        <f>'WP-BC'!G98</f>
        <v>1230328585.0099998</v>
      </c>
      <c r="K19" s="1062">
        <f>'WP-BC'!H98</f>
        <v>39112123.36</v>
      </c>
      <c r="L19" s="1062">
        <f>'WP-BC'!I98</f>
        <v>1963361852.9999998</v>
      </c>
      <c r="M19" s="1062">
        <f>'WP-BC'!J98</f>
        <v>739532762.6100001</v>
      </c>
      <c r="N19" s="1062">
        <f>'WP-BC'!K98</f>
        <v>1223829090.3899999</v>
      </c>
      <c r="O19" s="1062">
        <f>'WP-BC'!L98</f>
        <v>37891393.31</v>
      </c>
      <c r="P19" s="1062">
        <f t="shared" si="0"/>
        <v>1981632562.4899998</v>
      </c>
      <c r="Q19" s="1062">
        <f t="shared" si="0"/>
        <v>754553724.7900001</v>
      </c>
      <c r="R19" s="1062"/>
      <c r="S19" s="1063">
        <f>P19-Q19</f>
        <v>1227078837.6999998</v>
      </c>
    </row>
    <row r="20" spans="2:19" s="1064" customFormat="1" ht="18" customHeight="1">
      <c r="B20" s="932">
        <f>B19+1</f>
        <v>3</v>
      </c>
      <c r="D20" s="1058" t="s">
        <v>857</v>
      </c>
      <c r="E20" s="1065"/>
      <c r="F20" s="1060" t="s">
        <v>1345</v>
      </c>
      <c r="G20" s="1066"/>
      <c r="H20" s="1067">
        <f>'WP-BC'!E157</f>
        <v>2426793224.0499997</v>
      </c>
      <c r="I20" s="1068">
        <f>'WP-BC'!F157</f>
        <v>984822592.9475037</v>
      </c>
      <c r="J20" s="1068">
        <f>'WP-BC'!G157</f>
        <v>1441970631.2624962</v>
      </c>
      <c r="K20" s="1068">
        <f>'WP-BC'!H157</f>
        <v>102186317.21999998</v>
      </c>
      <c r="L20" s="1068">
        <f>'WP-BC'!I157</f>
        <v>2419760765.71</v>
      </c>
      <c r="M20" s="1068">
        <f>'WP-BC'!J157</f>
        <v>881486890.7275038</v>
      </c>
      <c r="N20" s="1068">
        <f>'WP-BC'!K157</f>
        <v>1538273874.9824963</v>
      </c>
      <c r="O20" s="1068">
        <f>'WP-BC'!L157</f>
        <v>103200990.59</v>
      </c>
      <c r="P20" s="1068">
        <f t="shared" si="0"/>
        <v>2423276994.88</v>
      </c>
      <c r="Q20" s="1068">
        <f t="shared" si="0"/>
        <v>933154741.8375037</v>
      </c>
      <c r="R20" s="1068"/>
      <c r="S20" s="1069">
        <f>P20-Q20</f>
        <v>1490122253.0424964</v>
      </c>
    </row>
    <row r="21" spans="2:19" s="365" customFormat="1" ht="18" customHeight="1">
      <c r="B21" s="932">
        <f>B20+1</f>
        <v>4</v>
      </c>
      <c r="D21" s="1070"/>
      <c r="E21" s="1071"/>
      <c r="F21" s="1072"/>
      <c r="G21" s="1073"/>
      <c r="H21" s="1074">
        <f aca="true" t="shared" si="1" ref="H21:O21">SUM(H18:H20)</f>
        <v>4527689071.799999</v>
      </c>
      <c r="I21" s="1075">
        <f t="shared" si="1"/>
        <v>1754397279.9175038</v>
      </c>
      <c r="J21" s="1075">
        <f t="shared" si="1"/>
        <v>2773291792.0424957</v>
      </c>
      <c r="K21" s="1075">
        <f t="shared" si="1"/>
        <v>141298440.57999998</v>
      </c>
      <c r="L21" s="1075">
        <f t="shared" si="1"/>
        <v>4484027836.299999</v>
      </c>
      <c r="M21" s="1075">
        <f t="shared" si="1"/>
        <v>1621019653.337504</v>
      </c>
      <c r="N21" s="1075">
        <f t="shared" si="1"/>
        <v>2863008182.962496</v>
      </c>
      <c r="O21" s="1075">
        <f t="shared" si="1"/>
        <v>141092383.9</v>
      </c>
      <c r="P21" s="1075">
        <f t="shared" si="0"/>
        <v>4505858454.049999</v>
      </c>
      <c r="Q21" s="1075">
        <f t="shared" si="0"/>
        <v>1687708466.6275039</v>
      </c>
      <c r="R21" s="1075"/>
      <c r="S21" s="1076">
        <f>P21-Q21</f>
        <v>2818149987.4224954</v>
      </c>
    </row>
    <row r="22" spans="2:19" s="365" customFormat="1" ht="18" customHeight="1">
      <c r="B22" s="932"/>
      <c r="E22" s="1042"/>
      <c r="F22" s="1043"/>
      <c r="H22" s="1077"/>
      <c r="I22" s="1077"/>
      <c r="J22" s="1077"/>
      <c r="K22" s="1077"/>
      <c r="L22" s="1077"/>
      <c r="M22" s="1077"/>
      <c r="N22" s="1077"/>
      <c r="O22" s="1077"/>
      <c r="P22" s="1078"/>
      <c r="Q22" s="1078"/>
      <c r="R22" s="1062"/>
      <c r="S22" s="1078"/>
    </row>
    <row r="23" spans="2:19" s="365" customFormat="1" ht="18" customHeight="1">
      <c r="B23" s="932"/>
      <c r="D23" s="1045" t="s">
        <v>26</v>
      </c>
      <c r="E23" s="1042"/>
      <c r="F23" s="1043"/>
      <c r="H23" s="1077"/>
      <c r="I23" s="1077"/>
      <c r="J23" s="1077"/>
      <c r="K23" s="1077"/>
      <c r="L23" s="1077"/>
      <c r="M23" s="1077"/>
      <c r="N23" s="1077"/>
      <c r="O23" s="1077"/>
      <c r="P23" s="1078"/>
      <c r="Q23" s="1078"/>
      <c r="R23" s="1062"/>
      <c r="S23" s="1078"/>
    </row>
    <row r="24" spans="2:19" s="365" customFormat="1" ht="18" customHeight="1">
      <c r="B24" s="932">
        <f>B21+1</f>
        <v>5</v>
      </c>
      <c r="D24" s="1079" t="s">
        <v>858</v>
      </c>
      <c r="E24" s="1080"/>
      <c r="F24" s="1081" t="s">
        <v>1345</v>
      </c>
      <c r="G24" s="1082"/>
      <c r="H24" s="1083">
        <f>SUM('WP-BC'!E17:E23,'WP-BC'!E31:E32)</f>
        <v>47453978.99</v>
      </c>
      <c r="I24" s="1084">
        <f>SUM('WP-BC'!F17:F23,'WP-BC'!F31:F32)</f>
        <v>0</v>
      </c>
      <c r="J24" s="1084">
        <f>SUM('WP-BC'!G17:G23,'WP-BC'!G31:G32)</f>
        <v>47453978.99</v>
      </c>
      <c r="K24" s="1084">
        <f>SUM('WP-BC'!H17:H23,'WP-BC'!H31:H32)</f>
        <v>0</v>
      </c>
      <c r="L24" s="1084">
        <f>SUM('WP-BC'!I17:I23,'WP-BC'!I31:I32)</f>
        <v>47552905.99</v>
      </c>
      <c r="M24" s="1084">
        <f>SUM('WP-BC'!J17:J23,'WP-BC'!J31:J32)</f>
        <v>0</v>
      </c>
      <c r="N24" s="1084">
        <f>SUM('WP-BC'!K17:K23,'WP-BC'!K31:K32)</f>
        <v>47552905.99</v>
      </c>
      <c r="O24" s="1084">
        <f>SUM('WP-BC'!L17:L23,'WP-BC'!L31:L32)</f>
        <v>0</v>
      </c>
      <c r="P24" s="1084">
        <f aca="true" t="shared" si="2" ref="P24:Q26">AVERAGE(H24,L24)</f>
        <v>47503442.49</v>
      </c>
      <c r="Q24" s="1084">
        <f t="shared" si="2"/>
        <v>0</v>
      </c>
      <c r="R24" s="1084"/>
      <c r="S24" s="1085">
        <f>P24-Q24</f>
        <v>47503442.49</v>
      </c>
    </row>
    <row r="25" spans="2:19" s="365" customFormat="1" ht="18" customHeight="1">
      <c r="B25" s="932">
        <f>B24+1</f>
        <v>6</v>
      </c>
      <c r="D25" s="1058" t="s">
        <v>35</v>
      </c>
      <c r="E25" s="1059"/>
      <c r="F25" s="1060" t="s">
        <v>1345</v>
      </c>
      <c r="G25" s="1050"/>
      <c r="H25" s="1086">
        <f>'WP-BC'!E232</f>
        <v>2001828956.31</v>
      </c>
      <c r="I25" s="1087">
        <f>'WP-BC'!F232</f>
        <v>1186640682.9276059</v>
      </c>
      <c r="J25" s="1087">
        <f>'WP-BC'!G232</f>
        <v>815188272.9044935</v>
      </c>
      <c r="K25" s="1087">
        <f>'WP-BC'!H232</f>
        <v>52731370.19000002</v>
      </c>
      <c r="L25" s="1087">
        <f>'WP-BC'!I232</f>
        <v>1984316147.32</v>
      </c>
      <c r="M25" s="1087">
        <f>'WP-BC'!J232</f>
        <v>1139023603.9299996</v>
      </c>
      <c r="N25" s="1087">
        <f>'WP-BC'!K232</f>
        <v>845292543.3900001</v>
      </c>
      <c r="O25" s="1087">
        <f>'WP-BC'!L232</f>
        <v>49508503.120000005</v>
      </c>
      <c r="P25" s="1087">
        <f t="shared" si="2"/>
        <v>1993072551.815</v>
      </c>
      <c r="Q25" s="1087">
        <f t="shared" si="2"/>
        <v>1162832143.4288027</v>
      </c>
      <c r="R25" s="1087"/>
      <c r="S25" s="1088">
        <f>P25-Q25</f>
        <v>830240408.3861973</v>
      </c>
    </row>
    <row r="26" spans="2:19" s="365" customFormat="1" ht="18" customHeight="1">
      <c r="B26" s="932">
        <f>B25+1</f>
        <v>7</v>
      </c>
      <c r="D26" s="1058"/>
      <c r="E26" s="1059"/>
      <c r="F26" s="1060"/>
      <c r="G26" s="1050"/>
      <c r="H26" s="1061">
        <f aca="true" t="shared" si="3" ref="H26:O26">H24+H25</f>
        <v>2049282935.3</v>
      </c>
      <c r="I26" s="1062">
        <f t="shared" si="3"/>
        <v>1186640682.9276059</v>
      </c>
      <c r="J26" s="1062">
        <f t="shared" si="3"/>
        <v>862642251.8944935</v>
      </c>
      <c r="K26" s="1062">
        <f t="shared" si="3"/>
        <v>52731370.19000002</v>
      </c>
      <c r="L26" s="1062">
        <f t="shared" si="3"/>
        <v>2031869053.31</v>
      </c>
      <c r="M26" s="1062">
        <f t="shared" si="3"/>
        <v>1139023603.9299996</v>
      </c>
      <c r="N26" s="1062">
        <f t="shared" si="3"/>
        <v>892845449.3800001</v>
      </c>
      <c r="O26" s="1062">
        <f t="shared" si="3"/>
        <v>49508503.120000005</v>
      </c>
      <c r="P26" s="1062">
        <f t="shared" si="2"/>
        <v>2040575994.3049998</v>
      </c>
      <c r="Q26" s="1062">
        <f t="shared" si="2"/>
        <v>1162832143.4288027</v>
      </c>
      <c r="R26" s="1062"/>
      <c r="S26" s="1063">
        <f>P26-Q26</f>
        <v>877743850.8761971</v>
      </c>
    </row>
    <row r="27" spans="2:19" s="365" customFormat="1" ht="18" customHeight="1">
      <c r="B27" s="932"/>
      <c r="D27" s="1058"/>
      <c r="E27" s="1059"/>
      <c r="F27" s="1060"/>
      <c r="G27" s="1050"/>
      <c r="H27" s="1061"/>
      <c r="I27" s="1062"/>
      <c r="J27" s="1062"/>
      <c r="K27" s="1062"/>
      <c r="L27" s="1062"/>
      <c r="M27" s="1062"/>
      <c r="N27" s="1062"/>
      <c r="O27" s="1062"/>
      <c r="P27" s="1062"/>
      <c r="Q27" s="1062"/>
      <c r="R27" s="1062"/>
      <c r="S27" s="1063"/>
    </row>
    <row r="28" spans="2:19" s="365" customFormat="1" ht="18" customHeight="1">
      <c r="B28" s="932">
        <f>B26+1</f>
        <v>8</v>
      </c>
      <c r="D28" s="1058" t="s">
        <v>1057</v>
      </c>
      <c r="E28" s="1059"/>
      <c r="F28" s="1060" t="s">
        <v>1345</v>
      </c>
      <c r="G28" s="1050"/>
      <c r="H28" s="1061">
        <f>-'WP-BC'!E231</f>
        <v>0</v>
      </c>
      <c r="I28" s="1062">
        <f>-'WP-BC'!F231</f>
        <v>98124203</v>
      </c>
      <c r="J28" s="1062">
        <f>-'WP-BC'!G231</f>
        <v>-98124203</v>
      </c>
      <c r="K28" s="1062">
        <f>-'WP-BC'!H231</f>
        <v>0</v>
      </c>
      <c r="L28" s="1062">
        <f>-'WP-BC'!I231</f>
        <v>0</v>
      </c>
      <c r="M28" s="1062">
        <f>-'WP-BC'!J231</f>
        <v>93786811</v>
      </c>
      <c r="N28" s="1062">
        <f>-'WP-BC'!K231</f>
        <v>-93786811</v>
      </c>
      <c r="O28" s="1062">
        <f>-'WP-BC'!L231</f>
        <v>0</v>
      </c>
      <c r="P28" s="1062">
        <f>AVERAGE(H28,L28)</f>
        <v>0</v>
      </c>
      <c r="Q28" s="1062">
        <f>AVERAGE(I28,M28)</f>
        <v>95955507</v>
      </c>
      <c r="R28" s="1062"/>
      <c r="S28" s="1063">
        <f>P28-Q28</f>
        <v>-95955507</v>
      </c>
    </row>
    <row r="29" spans="2:19" s="365" customFormat="1" ht="18" customHeight="1">
      <c r="B29" s="932"/>
      <c r="D29" s="1058"/>
      <c r="E29" s="1059"/>
      <c r="F29" s="1089"/>
      <c r="G29" s="1050"/>
      <c r="H29" s="1061"/>
      <c r="I29" s="1062"/>
      <c r="J29" s="1062"/>
      <c r="K29" s="1062"/>
      <c r="L29" s="1062"/>
      <c r="M29" s="1062"/>
      <c r="N29" s="1062"/>
      <c r="O29" s="1062"/>
      <c r="P29" s="1062"/>
      <c r="Q29" s="1062"/>
      <c r="R29" s="1062"/>
      <c r="S29" s="1063"/>
    </row>
    <row r="30" spans="2:19" s="365" customFormat="1" ht="18" customHeight="1">
      <c r="B30" s="932">
        <f>B28+1</f>
        <v>9</v>
      </c>
      <c r="D30" s="1090" t="s">
        <v>1058</v>
      </c>
      <c r="E30" s="1059"/>
      <c r="F30" s="1060" t="s">
        <v>1348</v>
      </c>
      <c r="G30" s="1050"/>
      <c r="H30" s="1086">
        <f>-'WP-BB'!G$53</f>
        <v>-346483145</v>
      </c>
      <c r="I30" s="1087">
        <f>-'WP-BB'!H$53</f>
        <v>-188431632.82</v>
      </c>
      <c r="J30" s="1087">
        <f>-'WP-BB'!I$53</f>
        <v>-158051512.18</v>
      </c>
      <c r="K30" s="1087">
        <f>-'WP-BB'!J$53</f>
        <v>-12871845.23</v>
      </c>
      <c r="L30" s="1087">
        <f>-'WP-BB'!K$53</f>
        <v>-344796429.77</v>
      </c>
      <c r="M30" s="1087">
        <f>-'WP-BB'!L$53</f>
        <v>-175559787.58999997</v>
      </c>
      <c r="N30" s="1087">
        <f>-'WP-BB'!M$53</f>
        <v>-169236642.18</v>
      </c>
      <c r="O30" s="1087">
        <f>-'WP-BB'!N$53</f>
        <v>-14223329.93</v>
      </c>
      <c r="P30" s="1087">
        <f>AVERAGE(H30,L30)</f>
        <v>-345639787.385</v>
      </c>
      <c r="Q30" s="1087">
        <f>AVERAGE(I30,M30)</f>
        <v>-181995710.20499998</v>
      </c>
      <c r="R30" s="1062"/>
      <c r="S30" s="1088">
        <f>P30-Q30</f>
        <v>-163644077.18</v>
      </c>
    </row>
    <row r="31" spans="2:19" s="365" customFormat="1" ht="18" customHeight="1">
      <c r="B31" s="932"/>
      <c r="D31" s="1058"/>
      <c r="E31" s="1059"/>
      <c r="F31" s="1060"/>
      <c r="G31" s="1050"/>
      <c r="H31" s="1061"/>
      <c r="I31" s="1062"/>
      <c r="J31" s="1062"/>
      <c r="K31" s="1062"/>
      <c r="L31" s="1062"/>
      <c r="M31" s="1062"/>
      <c r="N31" s="1062"/>
      <c r="O31" s="1062"/>
      <c r="P31" s="1062"/>
      <c r="Q31" s="1062"/>
      <c r="R31" s="1062"/>
      <c r="S31" s="1063"/>
    </row>
    <row r="32" spans="2:19" s="365" customFormat="1" ht="18" customHeight="1">
      <c r="B32" s="932"/>
      <c r="D32" s="1091" t="s">
        <v>912</v>
      </c>
      <c r="E32" s="1059"/>
      <c r="F32" s="1060"/>
      <c r="G32" s="1050"/>
      <c r="H32" s="1092"/>
      <c r="I32" s="1093"/>
      <c r="J32" s="1093"/>
      <c r="K32" s="1093"/>
      <c r="L32" s="1093"/>
      <c r="M32" s="1093"/>
      <c r="N32" s="1093"/>
      <c r="O32" s="1093"/>
      <c r="P32" s="1062"/>
      <c r="Q32" s="1062"/>
      <c r="R32" s="1062"/>
      <c r="S32" s="1063"/>
    </row>
    <row r="33" spans="2:19" s="365" customFormat="1" ht="18" customHeight="1">
      <c r="B33" s="932">
        <f>B30+1</f>
        <v>10</v>
      </c>
      <c r="D33" s="1058" t="s">
        <v>859</v>
      </c>
      <c r="E33" s="1059"/>
      <c r="F33" s="1060" t="s">
        <v>1345</v>
      </c>
      <c r="G33" s="1050"/>
      <c r="H33" s="1061">
        <f>-'WP-BC'!E230</f>
        <v>30000000</v>
      </c>
      <c r="I33" s="1062">
        <f>-'WP-BC'!F230</f>
        <v>0</v>
      </c>
      <c r="J33" s="1062">
        <f>-'WP-BC'!G230</f>
        <v>30000000</v>
      </c>
      <c r="K33" s="1062">
        <f>-'WP-BC'!H230</f>
        <v>0</v>
      </c>
      <c r="L33" s="1062">
        <f>-'WP-BC'!I230</f>
        <v>30000000</v>
      </c>
      <c r="M33" s="1062">
        <f>-'WP-BC'!J230</f>
        <v>0</v>
      </c>
      <c r="N33" s="1062">
        <f>-'WP-BC'!K230</f>
        <v>30000000</v>
      </c>
      <c r="O33" s="1062">
        <f>-'WP-BC'!L230</f>
        <v>0</v>
      </c>
      <c r="P33" s="1062">
        <f>AVERAGE(H33,L33)</f>
        <v>30000000</v>
      </c>
      <c r="Q33" s="1062">
        <f>AVERAGE(I33,M33)</f>
        <v>0</v>
      </c>
      <c r="R33" s="1062"/>
      <c r="S33" s="1063">
        <f>P33-Q33</f>
        <v>30000000</v>
      </c>
    </row>
    <row r="34" spans="2:19" s="365" customFormat="1" ht="18" customHeight="1">
      <c r="B34" s="932">
        <f>B33+1</f>
        <v>11</v>
      </c>
      <c r="D34" s="1058" t="s">
        <v>285</v>
      </c>
      <c r="E34" s="1094"/>
      <c r="F34" s="1060" t="s">
        <v>1345</v>
      </c>
      <c r="G34" s="1050"/>
      <c r="H34" s="1061">
        <f>-('WP-BC'!E184+'WP-BC'!E187)</f>
        <v>-79826053</v>
      </c>
      <c r="I34" s="1062">
        <f>-('WP-BC'!F184+'WP-BC'!F187)</f>
        <v>-5654299</v>
      </c>
      <c r="J34" s="1062">
        <f>-('WP-BC'!G184+'WP-BC'!G187)</f>
        <v>-74171754</v>
      </c>
      <c r="K34" s="1062">
        <f>-('WP-BC'!H184+'WP-BC'!H187)</f>
        <v>-1608459</v>
      </c>
      <c r="L34" s="1062">
        <f>-('WP-BC'!I184+'WP-BC'!I187)</f>
        <v>-79826053</v>
      </c>
      <c r="M34" s="1062">
        <f>-('WP-BC'!J184+'WP-BC'!J187)</f>
        <v>-4045840</v>
      </c>
      <c r="N34" s="1062">
        <f>-('WP-BC'!K184+'WP-BC'!K187)</f>
        <v>-75780213</v>
      </c>
      <c r="O34" s="1062">
        <f>-('WP-BC'!L184+'WP-BC'!L187)</f>
        <v>-1608459</v>
      </c>
      <c r="P34" s="1062">
        <f aca="true" t="shared" si="4" ref="P34:Q36">AVERAGE(H34,L34)</f>
        <v>-79826053</v>
      </c>
      <c r="Q34" s="1062">
        <f t="shared" si="4"/>
        <v>-4850069.5</v>
      </c>
      <c r="R34" s="1062"/>
      <c r="S34" s="1063">
        <f>P34-Q34</f>
        <v>-74975983.5</v>
      </c>
    </row>
    <row r="35" spans="2:19" s="365" customFormat="1" ht="18" customHeight="1">
      <c r="B35" s="932">
        <f aca="true" t="shared" si="5" ref="B35:B40">B34+1</f>
        <v>12</v>
      </c>
      <c r="D35" s="1058" t="s">
        <v>868</v>
      </c>
      <c r="E35" s="1059"/>
      <c r="F35" s="1060" t="s">
        <v>1346</v>
      </c>
      <c r="G35" s="1094"/>
      <c r="H35" s="1061">
        <f>-'WP-BF'!E44</f>
        <v>-39841215.63</v>
      </c>
      <c r="I35" s="1062">
        <f>'WP-BF'!G44</f>
        <v>-20877529.63</v>
      </c>
      <c r="J35" s="1062">
        <f>H35-I35</f>
        <v>-18963686.000000004</v>
      </c>
      <c r="K35" s="1062">
        <f>-'WP-BF'!K44</f>
        <v>-714182.41</v>
      </c>
      <c r="L35" s="1062">
        <f>-'WP-BF'!M44</f>
        <v>-40297464.83</v>
      </c>
      <c r="M35" s="1062">
        <f>'WP-BF'!O44</f>
        <v>-20890689.83</v>
      </c>
      <c r="N35" s="1062">
        <f>L35-M35</f>
        <v>-19406775</v>
      </c>
      <c r="O35" s="1062">
        <f>-'WP-BF'!S44</f>
        <v>-759109.47</v>
      </c>
      <c r="P35" s="1062">
        <f t="shared" si="4"/>
        <v>-40069340.230000004</v>
      </c>
      <c r="Q35" s="1062">
        <f t="shared" si="4"/>
        <v>-20884109.729999997</v>
      </c>
      <c r="R35" s="1062"/>
      <c r="S35" s="1063">
        <f>P35-Q35</f>
        <v>-19185230.500000007</v>
      </c>
    </row>
    <row r="36" spans="2:19" s="365" customFormat="1" ht="18" customHeight="1">
      <c r="B36" s="932">
        <f t="shared" si="5"/>
        <v>13</v>
      </c>
      <c r="D36" s="1058" t="s">
        <v>159</v>
      </c>
      <c r="E36" s="1059"/>
      <c r="F36" s="1060" t="s">
        <v>1113</v>
      </c>
      <c r="G36" s="1094"/>
      <c r="H36" s="1061">
        <f>-'WP-BE'!F41</f>
        <v>-44499916.51</v>
      </c>
      <c r="I36" s="1062">
        <f>'WP-BE'!G41</f>
        <v>-12003041.51</v>
      </c>
      <c r="J36" s="1062">
        <f>H36-I36</f>
        <v>-32496875</v>
      </c>
      <c r="K36" s="1062">
        <f>'WP-BE'!I41</f>
        <v>-891698</v>
      </c>
      <c r="L36" s="1062">
        <f>-'WP-BE'!J41</f>
        <v>-44499916.51</v>
      </c>
      <c r="M36" s="1062">
        <f>'WP-BE'!K41</f>
        <v>-11111343.51</v>
      </c>
      <c r="N36" s="1062">
        <f>L36-M36</f>
        <v>-33388573</v>
      </c>
      <c r="O36" s="1062">
        <f>'WP-BE'!M41</f>
        <v>-910528.0000000002</v>
      </c>
      <c r="P36" s="1062">
        <f t="shared" si="4"/>
        <v>-44499916.51</v>
      </c>
      <c r="Q36" s="1062">
        <f t="shared" si="4"/>
        <v>-11557192.51</v>
      </c>
      <c r="R36" s="1062"/>
      <c r="S36" s="1063">
        <f>P36-Q36</f>
        <v>-32942724</v>
      </c>
    </row>
    <row r="37" spans="2:19" s="365" customFormat="1" ht="18" customHeight="1">
      <c r="B37" s="932">
        <f t="shared" si="5"/>
        <v>14</v>
      </c>
      <c r="D37" s="1058" t="s">
        <v>1295</v>
      </c>
      <c r="E37" s="1059"/>
      <c r="F37" s="1089"/>
      <c r="G37" s="1094"/>
      <c r="H37" s="1061"/>
      <c r="I37" s="1062"/>
      <c r="J37" s="1062"/>
      <c r="K37" s="1062">
        <f>'WP-BD'!H44</f>
        <v>2178735.56</v>
      </c>
      <c r="L37" s="1062"/>
      <c r="M37" s="1062"/>
      <c r="N37" s="1062"/>
      <c r="O37" s="1062">
        <f>'WP-BD'!H43</f>
        <v>2178735.56</v>
      </c>
      <c r="P37" s="1062"/>
      <c r="Q37" s="1062"/>
      <c r="R37" s="1062"/>
      <c r="S37" s="1063"/>
    </row>
    <row r="38" spans="2:19" s="365" customFormat="1" ht="18" customHeight="1">
      <c r="B38" s="932">
        <f t="shared" si="5"/>
        <v>15</v>
      </c>
      <c r="D38" s="1058" t="s">
        <v>442</v>
      </c>
      <c r="E38" s="1059"/>
      <c r="F38" s="1095"/>
      <c r="G38" s="1094"/>
      <c r="H38" s="1061">
        <f aca="true" t="shared" si="6" ref="H38:S38">SUM(H33:H37)</f>
        <v>-134167185.13999999</v>
      </c>
      <c r="I38" s="1062">
        <f t="shared" si="6"/>
        <v>-38534870.14</v>
      </c>
      <c r="J38" s="1062">
        <f t="shared" si="6"/>
        <v>-95632315</v>
      </c>
      <c r="K38" s="1062">
        <f t="shared" si="6"/>
        <v>-1035603.8500000001</v>
      </c>
      <c r="L38" s="1062">
        <f t="shared" si="6"/>
        <v>-134623434.34</v>
      </c>
      <c r="M38" s="1062">
        <f t="shared" si="6"/>
        <v>-36047873.339999996</v>
      </c>
      <c r="N38" s="1062">
        <f t="shared" si="6"/>
        <v>-98575561</v>
      </c>
      <c r="O38" s="1062">
        <f t="shared" si="6"/>
        <v>-1099360.9099999997</v>
      </c>
      <c r="P38" s="1062">
        <f t="shared" si="6"/>
        <v>-134395309.74</v>
      </c>
      <c r="Q38" s="1062">
        <f t="shared" si="6"/>
        <v>-37291371.739999995</v>
      </c>
      <c r="R38" s="1062">
        <f t="shared" si="6"/>
        <v>0</v>
      </c>
      <c r="S38" s="1063">
        <f t="shared" si="6"/>
        <v>-97103938</v>
      </c>
    </row>
    <row r="39" spans="2:19" s="365" customFormat="1" ht="18" customHeight="1">
      <c r="B39" s="932">
        <f t="shared" si="5"/>
        <v>16</v>
      </c>
      <c r="D39" s="1058"/>
      <c r="E39" s="1059"/>
      <c r="F39" s="1060"/>
      <c r="G39" s="1050"/>
      <c r="H39" s="1061"/>
      <c r="I39" s="1062"/>
      <c r="J39" s="1062"/>
      <c r="K39" s="1062"/>
      <c r="L39" s="1062"/>
      <c r="M39" s="1062"/>
      <c r="N39" s="1062"/>
      <c r="O39" s="1062"/>
      <c r="P39" s="1062"/>
      <c r="Q39" s="1062"/>
      <c r="R39" s="1062"/>
      <c r="S39" s="1063"/>
    </row>
    <row r="40" spans="2:19" s="365" customFormat="1" ht="18" customHeight="1">
      <c r="B40" s="932">
        <f t="shared" si="5"/>
        <v>17</v>
      </c>
      <c r="D40" s="1096" t="s">
        <v>225</v>
      </c>
      <c r="E40" s="1097"/>
      <c r="F40" s="1098"/>
      <c r="G40" s="1099"/>
      <c r="H40" s="1074">
        <f aca="true" t="shared" si="7" ref="H40:S40">H38+H26+H28+H30</f>
        <v>1568632605.1599998</v>
      </c>
      <c r="I40" s="1075">
        <f t="shared" si="7"/>
        <v>1057798382.9676058</v>
      </c>
      <c r="J40" s="1075">
        <f t="shared" si="7"/>
        <v>510834221.71449345</v>
      </c>
      <c r="K40" s="1075">
        <f t="shared" si="7"/>
        <v>38823921.110000014</v>
      </c>
      <c r="L40" s="1075">
        <f t="shared" si="7"/>
        <v>1552449189.2</v>
      </c>
      <c r="M40" s="1075">
        <f t="shared" si="7"/>
        <v>1021202753.9999998</v>
      </c>
      <c r="N40" s="1075">
        <f t="shared" si="7"/>
        <v>531246435.2000001</v>
      </c>
      <c r="O40" s="1075">
        <f t="shared" si="7"/>
        <v>34185812.28000001</v>
      </c>
      <c r="P40" s="1075">
        <f t="shared" si="7"/>
        <v>1560540897.1799998</v>
      </c>
      <c r="Q40" s="1075">
        <f t="shared" si="7"/>
        <v>1039500568.4838028</v>
      </c>
      <c r="R40" s="1075">
        <f t="shared" si="7"/>
        <v>0</v>
      </c>
      <c r="S40" s="1076">
        <f t="shared" si="7"/>
        <v>521040328.6961971</v>
      </c>
    </row>
    <row r="41" spans="2:19" s="365" customFormat="1" ht="18" customHeight="1">
      <c r="B41" s="932"/>
      <c r="E41" s="1042"/>
      <c r="F41" s="1043"/>
      <c r="H41" s="1078"/>
      <c r="I41" s="1078"/>
      <c r="J41" s="1078"/>
      <c r="K41" s="1078"/>
      <c r="L41" s="1078"/>
      <c r="M41" s="1078"/>
      <c r="N41" s="1078"/>
      <c r="O41" s="1078"/>
      <c r="P41" s="1078"/>
      <c r="Q41" s="1078"/>
      <c r="R41" s="1062"/>
      <c r="S41" s="1078"/>
    </row>
    <row r="42" spans="2:19" s="365" customFormat="1" ht="18" customHeight="1">
      <c r="B42" s="932"/>
      <c r="E42" s="1042"/>
      <c r="F42" s="1043"/>
      <c r="H42" s="1078"/>
      <c r="I42" s="1078"/>
      <c r="J42" s="1078"/>
      <c r="K42" s="1078"/>
      <c r="L42" s="1078">
        <f>H42-I42</f>
        <v>0</v>
      </c>
      <c r="M42" s="1078"/>
      <c r="N42" s="1078"/>
      <c r="O42" s="1078"/>
      <c r="P42" s="1078"/>
      <c r="Q42" s="1078"/>
      <c r="R42" s="1062"/>
      <c r="S42" s="1078"/>
    </row>
    <row r="43" spans="2:19" s="365" customFormat="1" ht="18" customHeight="1">
      <c r="B43" s="932"/>
      <c r="D43" s="1045" t="s">
        <v>869</v>
      </c>
      <c r="E43" s="1042"/>
      <c r="F43" s="1043"/>
      <c r="H43" s="1078"/>
      <c r="I43" s="1078"/>
      <c r="J43" s="1078"/>
      <c r="K43" s="1078"/>
      <c r="L43" s="1078"/>
      <c r="M43" s="1078"/>
      <c r="N43" s="1078"/>
      <c r="O43" s="1078"/>
      <c r="P43" s="1078"/>
      <c r="Q43" s="1078"/>
      <c r="R43" s="1062"/>
      <c r="S43" s="1078"/>
    </row>
    <row r="44" spans="2:19" s="365" customFormat="1" ht="18" customHeight="1">
      <c r="B44" s="932">
        <f>B40+1</f>
        <v>18</v>
      </c>
      <c r="D44" s="1051" t="s">
        <v>860</v>
      </c>
      <c r="E44" s="1052"/>
      <c r="F44" s="1053" t="s">
        <v>1345</v>
      </c>
      <c r="G44" s="1054"/>
      <c r="H44" s="1055">
        <f>SUM('WP-BC'!E24:E30)</f>
        <v>11614441</v>
      </c>
      <c r="I44" s="1056">
        <f>SUM('WP-BC'!F24:F30)</f>
        <v>0</v>
      </c>
      <c r="J44" s="1056">
        <f>SUM('WP-BC'!G24:G30)</f>
        <v>11614441</v>
      </c>
      <c r="K44" s="1056">
        <f>SUM('WP-BC'!L24:L30)</f>
        <v>0</v>
      </c>
      <c r="L44" s="1056">
        <f>SUM('WP-BC'!I24:I30)</f>
        <v>11614441</v>
      </c>
      <c r="M44" s="1056">
        <f>SUM('WP-BC'!J24:J30)</f>
        <v>0</v>
      </c>
      <c r="N44" s="1056">
        <f>SUM('WP-BC'!K24:K30)</f>
        <v>11614441</v>
      </c>
      <c r="O44" s="1056">
        <f>SUM('WP-BC'!L24:L30)</f>
        <v>0</v>
      </c>
      <c r="P44" s="1056">
        <f aca="true" t="shared" si="8" ref="P44:Q46">AVERAGE(H44,L44)</f>
        <v>11614441</v>
      </c>
      <c r="Q44" s="1056">
        <f t="shared" si="8"/>
        <v>0</v>
      </c>
      <c r="R44" s="1056"/>
      <c r="S44" s="1057">
        <f>P44-Q44</f>
        <v>11614441</v>
      </c>
    </row>
    <row r="45" spans="2:19" s="365" customFormat="1" ht="18" customHeight="1">
      <c r="B45" s="932">
        <f>B44+1</f>
        <v>19</v>
      </c>
      <c r="D45" s="1058" t="s">
        <v>115</v>
      </c>
      <c r="E45" s="1059"/>
      <c r="F45" s="1060" t="s">
        <v>1345</v>
      </c>
      <c r="G45" s="1050"/>
      <c r="H45" s="1086">
        <f>'WP-BC'!E325</f>
        <v>1245745552.3649998</v>
      </c>
      <c r="I45" s="1087">
        <f>'WP-BC'!F325</f>
        <v>543259843.78</v>
      </c>
      <c r="J45" s="1087">
        <f>'WP-BC'!G325</f>
        <v>702485709.6450001</v>
      </c>
      <c r="K45" s="1087">
        <f>'WP-BC'!H325</f>
        <v>42846516.98000002</v>
      </c>
      <c r="L45" s="1087">
        <f>'WP-BC'!I325</f>
        <v>1204325406.415</v>
      </c>
      <c r="M45" s="1087">
        <f>'WP-BC'!J325</f>
        <v>501595216.4199999</v>
      </c>
      <c r="N45" s="1087">
        <f>'WP-BC'!K325</f>
        <v>702730189.995</v>
      </c>
      <c r="O45" s="1087">
        <f>'WP-BC'!L325</f>
        <v>41153181.480000004</v>
      </c>
      <c r="P45" s="1087">
        <f t="shared" si="8"/>
        <v>1225035479.3899999</v>
      </c>
      <c r="Q45" s="1087">
        <f t="shared" si="8"/>
        <v>522427530.0999999</v>
      </c>
      <c r="R45" s="1087"/>
      <c r="S45" s="1088">
        <f>P45-Q45</f>
        <v>702607949.29</v>
      </c>
    </row>
    <row r="46" spans="2:19" s="365" customFormat="1" ht="18" customHeight="1">
      <c r="B46" s="932">
        <f>B45+1</f>
        <v>20</v>
      </c>
      <c r="D46" s="1058"/>
      <c r="E46" s="1059"/>
      <c r="F46" s="1060"/>
      <c r="G46" s="1050"/>
      <c r="H46" s="1061">
        <f aca="true" t="shared" si="9" ref="H46:O46">SUM(H44:H45)</f>
        <v>1257359993.3649998</v>
      </c>
      <c r="I46" s="1062">
        <f t="shared" si="9"/>
        <v>543259843.78</v>
      </c>
      <c r="J46" s="1062">
        <f t="shared" si="9"/>
        <v>714100150.6450001</v>
      </c>
      <c r="K46" s="1062">
        <f t="shared" si="9"/>
        <v>42846516.98000002</v>
      </c>
      <c r="L46" s="1062">
        <f t="shared" si="9"/>
        <v>1215939847.415</v>
      </c>
      <c r="M46" s="1062">
        <f t="shared" si="9"/>
        <v>501595216.4199999</v>
      </c>
      <c r="N46" s="1062">
        <f t="shared" si="9"/>
        <v>714344630.995</v>
      </c>
      <c r="O46" s="1062">
        <f t="shared" si="9"/>
        <v>41153181.480000004</v>
      </c>
      <c r="P46" s="1062">
        <f t="shared" si="8"/>
        <v>1236649920.3899999</v>
      </c>
      <c r="Q46" s="1062">
        <f t="shared" si="8"/>
        <v>522427530.0999999</v>
      </c>
      <c r="R46" s="1062"/>
      <c r="S46" s="1063">
        <f>P46-Q46</f>
        <v>714222390.29</v>
      </c>
    </row>
    <row r="47" spans="2:19" s="365" customFormat="1" ht="18" customHeight="1">
      <c r="B47" s="932"/>
      <c r="D47" s="1091" t="s">
        <v>912</v>
      </c>
      <c r="E47" s="1059"/>
      <c r="F47" s="1060"/>
      <c r="G47" s="1050"/>
      <c r="H47" s="1061"/>
      <c r="I47" s="1062"/>
      <c r="J47" s="1062"/>
      <c r="K47" s="1062"/>
      <c r="L47" s="1062"/>
      <c r="M47" s="1062"/>
      <c r="N47" s="1062"/>
      <c r="O47" s="1062"/>
      <c r="P47" s="1062"/>
      <c r="Q47" s="1062"/>
      <c r="R47" s="1062"/>
      <c r="S47" s="1063"/>
    </row>
    <row r="48" spans="2:19" s="365" customFormat="1" ht="18" customHeight="1">
      <c r="B48" s="932">
        <f>B46+1</f>
        <v>21</v>
      </c>
      <c r="D48" s="1058" t="s">
        <v>861</v>
      </c>
      <c r="E48" s="1059"/>
      <c r="F48" s="1060"/>
      <c r="G48" s="1050"/>
      <c r="H48" s="1061">
        <v>0</v>
      </c>
      <c r="I48" s="1062">
        <v>0</v>
      </c>
      <c r="J48" s="1062">
        <v>0</v>
      </c>
      <c r="K48" s="1062">
        <v>0</v>
      </c>
      <c r="L48" s="1062">
        <v>0</v>
      </c>
      <c r="M48" s="1062">
        <v>0</v>
      </c>
      <c r="N48" s="1062">
        <v>0</v>
      </c>
      <c r="O48" s="1062">
        <v>0</v>
      </c>
      <c r="P48" s="1062">
        <f aca="true" t="shared" si="10" ref="P48:Q51">AVERAGE(H48,L48)</f>
        <v>0</v>
      </c>
      <c r="Q48" s="1062">
        <f t="shared" si="10"/>
        <v>0</v>
      </c>
      <c r="R48" s="1062"/>
      <c r="S48" s="1063">
        <f>P48-Q48</f>
        <v>0</v>
      </c>
    </row>
    <row r="49" spans="2:19" s="365" customFormat="1" ht="18" customHeight="1">
      <c r="B49" s="932">
        <f>B48+1</f>
        <v>22</v>
      </c>
      <c r="D49" s="1058" t="s">
        <v>862</v>
      </c>
      <c r="E49" s="1059"/>
      <c r="F49" s="1060" t="s">
        <v>1345</v>
      </c>
      <c r="G49" s="1050"/>
      <c r="H49" s="1061">
        <f>-'WP-BC'!E324</f>
        <v>0</v>
      </c>
      <c r="I49" s="1062">
        <f>-'WP-BC'!F324</f>
        <v>4215005</v>
      </c>
      <c r="J49" s="1062">
        <f>-'WP-BC'!G324</f>
        <v>-4215005</v>
      </c>
      <c r="K49" s="1062">
        <f>-'WP-BC'!H324</f>
        <v>0</v>
      </c>
      <c r="L49" s="1062">
        <f>-'WP-BC'!I324</f>
        <v>0</v>
      </c>
      <c r="M49" s="1062">
        <f>-'WP-BC'!J324</f>
        <v>4215005</v>
      </c>
      <c r="N49" s="1062">
        <f>-'WP-BC'!K324</f>
        <v>-4215005</v>
      </c>
      <c r="O49" s="1062">
        <f>-'WP-BC'!L324</f>
        <v>0</v>
      </c>
      <c r="P49" s="1062">
        <f t="shared" si="10"/>
        <v>0</v>
      </c>
      <c r="Q49" s="1062">
        <f t="shared" si="10"/>
        <v>4215005</v>
      </c>
      <c r="R49" s="1062"/>
      <c r="S49" s="1063">
        <f>P49-Q49</f>
        <v>-4215005</v>
      </c>
    </row>
    <row r="50" spans="2:19" s="365" customFormat="1" ht="18" customHeight="1">
      <c r="B50" s="932">
        <f>B49+1</f>
        <v>23</v>
      </c>
      <c r="D50" s="1058" t="s">
        <v>812</v>
      </c>
      <c r="E50" s="1059"/>
      <c r="F50" s="1060" t="s">
        <v>1347</v>
      </c>
      <c r="G50" s="1094"/>
      <c r="H50" s="1061">
        <f>-'WP-BG'!E35</f>
        <v>-664117908.87</v>
      </c>
      <c r="I50" s="1062">
        <f>-'WP-BG'!F35</f>
        <v>-135085582.87</v>
      </c>
      <c r="J50" s="1062">
        <f>-'WP-BG'!G35</f>
        <v>-529032326</v>
      </c>
      <c r="K50" s="1062">
        <f>-'WP-BG'!H35</f>
        <v>-15239698.36</v>
      </c>
      <c r="L50" s="1062">
        <f>-'WP-BG'!I35</f>
        <v>-657067823.51</v>
      </c>
      <c r="M50" s="1062">
        <f>-'WP-BG'!J35</f>
        <v>-119845884.50999999</v>
      </c>
      <c r="N50" s="1062">
        <f>-'WP-BG'!K35</f>
        <v>-537221939</v>
      </c>
      <c r="O50" s="1062">
        <f>-'WP-BG'!L35</f>
        <v>-15145356.459999999</v>
      </c>
      <c r="P50" s="1062">
        <f t="shared" si="10"/>
        <v>-660592866.19</v>
      </c>
      <c r="Q50" s="1062">
        <f t="shared" si="10"/>
        <v>-127465733.69</v>
      </c>
      <c r="R50" s="1062"/>
      <c r="S50" s="1063">
        <f>P50-Q50</f>
        <v>-533127132.50000006</v>
      </c>
    </row>
    <row r="51" spans="2:19" s="365" customFormat="1" ht="18" customHeight="1">
      <c r="B51" s="932">
        <f>B50+1</f>
        <v>24</v>
      </c>
      <c r="D51" s="1090" t="s">
        <v>1294</v>
      </c>
      <c r="E51" s="1059"/>
      <c r="F51" s="1060" t="s">
        <v>1345</v>
      </c>
      <c r="G51" s="1050"/>
      <c r="H51" s="1086">
        <f>-SUM('WP-BC'!E29:E30,'WP-BC'!E286:E323)</f>
        <v>-16113761.54</v>
      </c>
      <c r="I51" s="1087">
        <f>-SUM('WP-BC'!F29:F30,'WP-BC'!F286:F323)</f>
        <v>-13363834.969999999</v>
      </c>
      <c r="J51" s="1087">
        <f>-SUM('WP-BC'!G29:G30,'WP-BC'!G286:G323)</f>
        <v>-2749927.1400000006</v>
      </c>
      <c r="K51" s="1087">
        <f>-SUM('WP-BC'!H29:H30,'WP-BC'!H286:H323)</f>
        <v>-406795.2</v>
      </c>
      <c r="L51" s="1087">
        <f>-SUM('WP-BC'!I29:I30,'WP-BC'!I286:I323)</f>
        <v>-15194345.14</v>
      </c>
      <c r="M51" s="1087">
        <f>-SUM('WP-BC'!J29:J30,'WP-BC'!J286:J323)</f>
        <v>-12953929.769999998</v>
      </c>
      <c r="N51" s="1087">
        <f>-SUM('WP-BC'!K29:K30,'WP-BC'!K286:K323)</f>
        <v>-2240415.37</v>
      </c>
      <c r="O51" s="1087">
        <f>-SUM('WP-BC'!L29:L30,'WP-BC'!L286:L323)</f>
        <v>-381265.92000000004</v>
      </c>
      <c r="P51" s="1087">
        <f t="shared" si="10"/>
        <v>-15654053.34</v>
      </c>
      <c r="Q51" s="1087">
        <f t="shared" si="10"/>
        <v>-13158882.369999997</v>
      </c>
      <c r="R51" s="1062"/>
      <c r="S51" s="1088">
        <f>P51-Q51</f>
        <v>-2495170.9700000025</v>
      </c>
    </row>
    <row r="52" spans="2:19" s="365" customFormat="1" ht="18" customHeight="1">
      <c r="B52" s="932">
        <f>B50+1</f>
        <v>24</v>
      </c>
      <c r="D52" s="1058" t="s">
        <v>442</v>
      </c>
      <c r="E52" s="1059"/>
      <c r="F52" s="1095"/>
      <c r="G52" s="1094"/>
      <c r="H52" s="1061">
        <f aca="true" t="shared" si="11" ref="H52:O52">SUM(H48:H51)</f>
        <v>-680231670.41</v>
      </c>
      <c r="I52" s="1062">
        <f t="shared" si="11"/>
        <v>-144234412.84</v>
      </c>
      <c r="J52" s="1062">
        <f t="shared" si="11"/>
        <v>-535997258.14</v>
      </c>
      <c r="K52" s="1062">
        <f t="shared" si="11"/>
        <v>-15646493.559999999</v>
      </c>
      <c r="L52" s="1062">
        <f t="shared" si="11"/>
        <v>-672262168.65</v>
      </c>
      <c r="M52" s="1062">
        <f t="shared" si="11"/>
        <v>-128584809.27999999</v>
      </c>
      <c r="N52" s="1062">
        <f t="shared" si="11"/>
        <v>-543677359.37</v>
      </c>
      <c r="O52" s="1062">
        <f t="shared" si="11"/>
        <v>-15526622.379999999</v>
      </c>
      <c r="P52" s="1062">
        <f>SUM(P48:P51)</f>
        <v>-676246919.5300001</v>
      </c>
      <c r="Q52" s="1062">
        <f>SUM(Q48:Q51)</f>
        <v>-136409611.06</v>
      </c>
      <c r="R52" s="1062"/>
      <c r="S52" s="1063">
        <f>SUM(S48:S51)</f>
        <v>-539837308.47</v>
      </c>
    </row>
    <row r="53" spans="4:19" s="365" customFormat="1" ht="18" customHeight="1">
      <c r="D53" s="1058"/>
      <c r="E53" s="1059"/>
      <c r="F53" s="1060"/>
      <c r="G53" s="1050"/>
      <c r="H53" s="1092"/>
      <c r="I53" s="1093"/>
      <c r="J53" s="1093"/>
      <c r="K53" s="1093"/>
      <c r="L53" s="1093"/>
      <c r="M53" s="1093"/>
      <c r="N53" s="1093"/>
      <c r="O53" s="1093"/>
      <c r="P53" s="1093"/>
      <c r="Q53" s="1093"/>
      <c r="R53" s="1093"/>
      <c r="S53" s="1100"/>
    </row>
    <row r="54" spans="2:19" s="365" customFormat="1" ht="18" customHeight="1">
      <c r="B54" s="932">
        <f>B52+1</f>
        <v>25</v>
      </c>
      <c r="D54" s="1096" t="s">
        <v>226</v>
      </c>
      <c r="E54" s="1097"/>
      <c r="F54" s="1072"/>
      <c r="G54" s="1073"/>
      <c r="H54" s="1101">
        <f>H46+H52</f>
        <v>577128322.9549998</v>
      </c>
      <c r="I54" s="1102">
        <f aca="true" t="shared" si="12" ref="I54:O54">I46+I52</f>
        <v>399025430.93999994</v>
      </c>
      <c r="J54" s="1102">
        <f t="shared" si="12"/>
        <v>178102892.5050001</v>
      </c>
      <c r="K54" s="1102">
        <f t="shared" si="12"/>
        <v>27200023.42000002</v>
      </c>
      <c r="L54" s="1102">
        <f t="shared" si="12"/>
        <v>543677678.765</v>
      </c>
      <c r="M54" s="1102">
        <f t="shared" si="12"/>
        <v>373010407.1399999</v>
      </c>
      <c r="N54" s="1102">
        <f t="shared" si="12"/>
        <v>170667271.625</v>
      </c>
      <c r="O54" s="1102">
        <f t="shared" si="12"/>
        <v>25626559.100000005</v>
      </c>
      <c r="P54" s="1102">
        <f>P46+P52</f>
        <v>560403000.8599998</v>
      </c>
      <c r="Q54" s="1102">
        <f>Q46+Q52</f>
        <v>386017919.0399999</v>
      </c>
      <c r="R54" s="1075"/>
      <c r="S54" s="1103">
        <f>S46+S52</f>
        <v>174385081.81999993</v>
      </c>
    </row>
    <row r="55" spans="2:19" s="365" customFormat="1" ht="18" customHeight="1">
      <c r="B55" s="932"/>
      <c r="D55" s="1050"/>
      <c r="E55" s="1059"/>
      <c r="F55" s="1095"/>
      <c r="G55" s="1094"/>
      <c r="H55" s="1104"/>
      <c r="I55" s="1104"/>
      <c r="J55" s="1104"/>
      <c r="K55" s="1104"/>
      <c r="L55" s="1104"/>
      <c r="M55" s="1104"/>
      <c r="N55" s="1104"/>
      <c r="O55" s="1104"/>
      <c r="P55" s="1104"/>
      <c r="Q55" s="1104"/>
      <c r="R55" s="1104"/>
      <c r="S55" s="1104"/>
    </row>
    <row r="56" spans="2:19" s="365" customFormat="1" ht="18" customHeight="1">
      <c r="B56" s="932"/>
      <c r="D56" s="365" t="s">
        <v>424</v>
      </c>
      <c r="E56" s="1042"/>
      <c r="F56" s="1043"/>
      <c r="H56" s="1105"/>
      <c r="I56" s="1105"/>
      <c r="J56" s="1105"/>
      <c r="K56" s="1105"/>
      <c r="L56" s="1105"/>
      <c r="M56" s="1105"/>
      <c r="N56" s="1105"/>
      <c r="O56" s="1105"/>
      <c r="P56" s="1105"/>
      <c r="Q56" s="1105"/>
      <c r="R56" s="1104"/>
      <c r="S56" s="1105"/>
    </row>
    <row r="57" spans="2:19" s="365" customFormat="1" ht="18" customHeight="1">
      <c r="B57" s="932"/>
      <c r="D57" s="934" t="s">
        <v>1291</v>
      </c>
      <c r="E57" s="1042"/>
      <c r="F57" s="1043"/>
      <c r="H57" s="1105"/>
      <c r="I57" s="1105"/>
      <c r="J57" s="1105"/>
      <c r="K57" s="1105"/>
      <c r="L57" s="1105"/>
      <c r="M57" s="1105"/>
      <c r="N57" s="1105"/>
      <c r="O57" s="1105"/>
      <c r="P57" s="1105"/>
      <c r="Q57" s="1105"/>
      <c r="R57" s="1104"/>
      <c r="S57" s="1105"/>
    </row>
    <row r="58" spans="4:8" s="365" customFormat="1" ht="18" customHeight="1">
      <c r="D58" s="365" t="s">
        <v>1059</v>
      </c>
      <c r="E58" s="1042"/>
      <c r="F58" s="1043"/>
      <c r="H58" s="1105"/>
    </row>
    <row r="59" spans="4:6" s="365" customFormat="1" ht="18" customHeight="1">
      <c r="D59" s="365" t="s">
        <v>1292</v>
      </c>
      <c r="E59" s="1042"/>
      <c r="F59" s="1043"/>
    </row>
    <row r="60" spans="2:18" s="365" customFormat="1" ht="18" customHeight="1">
      <c r="B60" s="932"/>
      <c r="D60" s="365" t="s">
        <v>1293</v>
      </c>
      <c r="E60" s="1042"/>
      <c r="F60" s="1043"/>
      <c r="R60" s="1104"/>
    </row>
    <row r="61" spans="4:6" s="365" customFormat="1" ht="18" customHeight="1">
      <c r="D61" s="365" t="s">
        <v>1060</v>
      </c>
      <c r="E61" s="1042"/>
      <c r="F61" s="1043"/>
    </row>
    <row r="63" spans="1:19" ht="13.5" customHeight="1">
      <c r="A63" s="27"/>
      <c r="B63" s="27"/>
      <c r="C63" s="27"/>
      <c r="D63" s="365"/>
      <c r="E63" s="27"/>
      <c r="F63" s="1043"/>
      <c r="G63" s="27"/>
      <c r="H63" s="27"/>
      <c r="I63" s="27"/>
      <c r="J63" s="27"/>
      <c r="K63" s="27"/>
      <c r="L63" s="27"/>
      <c r="M63" s="27"/>
      <c r="N63" s="27"/>
      <c r="O63" s="27"/>
      <c r="P63" s="27"/>
      <c r="Q63" s="27"/>
      <c r="R63" s="27"/>
      <c r="S63" s="27"/>
    </row>
    <row r="64" spans="1:19" ht="13.5" customHeight="1">
      <c r="A64" s="27"/>
      <c r="B64" s="27"/>
      <c r="C64" s="27"/>
      <c r="D64" s="933"/>
      <c r="E64" s="934"/>
      <c r="F64" s="1043"/>
      <c r="G64" s="27"/>
      <c r="H64" s="27"/>
      <c r="I64" s="27"/>
      <c r="J64" s="27"/>
      <c r="K64" s="27"/>
      <c r="L64" s="27"/>
      <c r="M64" s="27"/>
      <c r="N64" s="27"/>
      <c r="O64" s="27"/>
      <c r="P64" s="27"/>
      <c r="Q64" s="27"/>
      <c r="R64" s="27"/>
      <c r="S64" s="27"/>
    </row>
    <row r="65" spans="1:19" ht="13.5" customHeight="1">
      <c r="A65" s="27"/>
      <c r="B65" s="27"/>
      <c r="C65" s="27"/>
      <c r="D65" s="933"/>
      <c r="E65" s="934"/>
      <c r="F65" s="1043"/>
      <c r="G65" s="27"/>
      <c r="H65" s="27"/>
      <c r="I65" s="27"/>
      <c r="J65" s="27"/>
      <c r="K65" s="27"/>
      <c r="L65" s="27"/>
      <c r="M65" s="27"/>
      <c r="N65" s="27"/>
      <c r="O65" s="27"/>
      <c r="P65" s="27"/>
      <c r="Q65" s="27"/>
      <c r="R65" s="27"/>
      <c r="S65" s="27"/>
    </row>
    <row r="66" spans="1:19" ht="13.5" customHeight="1">
      <c r="A66" s="27"/>
      <c r="B66" s="27"/>
      <c r="C66" s="27"/>
      <c r="D66" s="27"/>
      <c r="E66" s="1106"/>
      <c r="F66" s="1043"/>
      <c r="G66" s="27"/>
      <c r="H66" s="27"/>
      <c r="I66" s="27"/>
      <c r="J66" s="27"/>
      <c r="K66" s="27"/>
      <c r="L66" s="27"/>
      <c r="M66" s="27"/>
      <c r="N66" s="27"/>
      <c r="O66" s="27"/>
      <c r="P66" s="27"/>
      <c r="Q66" s="27"/>
      <c r="R66" s="27"/>
      <c r="S66" s="27"/>
    </row>
    <row r="67" spans="1:19" ht="13.5" customHeight="1">
      <c r="A67" s="27"/>
      <c r="B67" s="27"/>
      <c r="C67" s="27"/>
      <c r="D67" s="27"/>
      <c r="E67" s="1106"/>
      <c r="F67" s="1043"/>
      <c r="G67" s="27"/>
      <c r="H67" s="27"/>
      <c r="I67" s="27"/>
      <c r="J67" s="27"/>
      <c r="K67" s="27"/>
      <c r="L67" s="27"/>
      <c r="M67" s="27"/>
      <c r="N67" s="27"/>
      <c r="O67" s="27"/>
      <c r="P67" s="27"/>
      <c r="Q67" s="27"/>
      <c r="R67" s="27"/>
      <c r="S67" s="27"/>
    </row>
    <row r="68" spans="1:19" ht="13.5" customHeight="1">
      <c r="A68" s="27"/>
      <c r="B68" s="27"/>
      <c r="C68" s="27"/>
      <c r="D68" s="27"/>
      <c r="E68" s="1106"/>
      <c r="F68" s="1043"/>
      <c r="G68" s="27"/>
      <c r="H68" s="27"/>
      <c r="I68" s="27"/>
      <c r="J68" s="27"/>
      <c r="K68" s="27"/>
      <c r="L68" s="27"/>
      <c r="M68" s="27"/>
      <c r="N68" s="27"/>
      <c r="O68" s="27"/>
      <c r="P68" s="27"/>
      <c r="Q68" s="27"/>
      <c r="R68" s="27"/>
      <c r="S68" s="27"/>
    </row>
    <row r="69" spans="1:19" ht="13.5" customHeight="1">
      <c r="A69" s="27"/>
      <c r="B69" s="27"/>
      <c r="C69" s="27"/>
      <c r="D69" s="27"/>
      <c r="E69" s="1106"/>
      <c r="F69" s="1043"/>
      <c r="G69" s="27"/>
      <c r="H69" s="27"/>
      <c r="I69" s="27"/>
      <c r="J69" s="27"/>
      <c r="K69" s="27"/>
      <c r="L69" s="27"/>
      <c r="M69" s="27"/>
      <c r="N69" s="27"/>
      <c r="O69" s="27"/>
      <c r="P69" s="27"/>
      <c r="Q69" s="27"/>
      <c r="R69" s="27"/>
      <c r="S69" s="27"/>
    </row>
    <row r="70" spans="1:19" ht="13.5" customHeight="1">
      <c r="A70" s="27"/>
      <c r="B70" s="27"/>
      <c r="C70" s="27"/>
      <c r="D70" s="27"/>
      <c r="E70" s="1106"/>
      <c r="F70" s="1043"/>
      <c r="G70" s="27"/>
      <c r="H70" s="27"/>
      <c r="I70" s="27"/>
      <c r="J70" s="27"/>
      <c r="K70" s="27"/>
      <c r="L70" s="27"/>
      <c r="M70" s="27"/>
      <c r="N70" s="27"/>
      <c r="O70" s="27"/>
      <c r="P70" s="27"/>
      <c r="Q70" s="27"/>
      <c r="R70" s="27"/>
      <c r="S70" s="27"/>
    </row>
    <row r="71" spans="1:19" ht="13.5" customHeight="1">
      <c r="A71" s="27"/>
      <c r="B71" s="27"/>
      <c r="C71" s="27"/>
      <c r="D71" s="27"/>
      <c r="E71" s="1106"/>
      <c r="F71" s="1043"/>
      <c r="G71" s="27"/>
      <c r="H71" s="27"/>
      <c r="I71" s="27"/>
      <c r="J71" s="27"/>
      <c r="K71" s="27"/>
      <c r="L71" s="27"/>
      <c r="M71" s="27"/>
      <c r="N71" s="27"/>
      <c r="O71" s="27"/>
      <c r="P71" s="27"/>
      <c r="Q71" s="27"/>
      <c r="R71" s="27"/>
      <c r="S71" s="27"/>
    </row>
    <row r="72" spans="1:19" ht="13.5" customHeight="1">
      <c r="A72" s="27"/>
      <c r="B72" s="27"/>
      <c r="C72" s="27"/>
      <c r="D72" s="27"/>
      <c r="E72" s="1106"/>
      <c r="F72" s="1043"/>
      <c r="G72" s="27"/>
      <c r="H72" s="27"/>
      <c r="I72" s="27"/>
      <c r="J72" s="27"/>
      <c r="K72" s="27"/>
      <c r="L72" s="27"/>
      <c r="M72" s="27"/>
      <c r="N72" s="27"/>
      <c r="O72" s="27"/>
      <c r="P72" s="27"/>
      <c r="Q72" s="27"/>
      <c r="R72" s="27"/>
      <c r="S72" s="27"/>
    </row>
    <row r="73" spans="1:19" ht="13.5" customHeight="1">
      <c r="A73" s="27"/>
      <c r="B73" s="27"/>
      <c r="C73" s="27"/>
      <c r="D73" s="27"/>
      <c r="E73" s="1106"/>
      <c r="F73" s="1043"/>
      <c r="G73" s="27"/>
      <c r="H73" s="27"/>
      <c r="I73" s="27"/>
      <c r="J73" s="27"/>
      <c r="K73" s="27"/>
      <c r="L73" s="27"/>
      <c r="M73" s="27"/>
      <c r="N73" s="27"/>
      <c r="O73" s="27"/>
      <c r="P73" s="27"/>
      <c r="Q73" s="27"/>
      <c r="R73" s="27"/>
      <c r="S73" s="27"/>
    </row>
    <row r="74" spans="1:19" ht="13.5" customHeight="1">
      <c r="A74" s="27"/>
      <c r="B74" s="27"/>
      <c r="C74" s="27"/>
      <c r="D74" s="27"/>
      <c r="E74" s="1106"/>
      <c r="F74" s="1043"/>
      <c r="G74" s="27"/>
      <c r="H74" s="27"/>
      <c r="I74" s="27"/>
      <c r="J74" s="27"/>
      <c r="K74" s="27"/>
      <c r="L74" s="27"/>
      <c r="M74" s="27"/>
      <c r="N74" s="27"/>
      <c r="O74" s="27"/>
      <c r="P74" s="27"/>
      <c r="Q74" s="27"/>
      <c r="R74" s="27"/>
      <c r="S74" s="27"/>
    </row>
    <row r="75" spans="1:19" ht="13.5" customHeight="1">
      <c r="A75" s="27"/>
      <c r="B75" s="27"/>
      <c r="C75" s="27"/>
      <c r="D75" s="27"/>
      <c r="E75" s="1106"/>
      <c r="F75" s="1043"/>
      <c r="G75" s="27"/>
      <c r="H75" s="27"/>
      <c r="I75" s="27"/>
      <c r="J75" s="27"/>
      <c r="K75" s="27"/>
      <c r="L75" s="27"/>
      <c r="M75" s="27"/>
      <c r="N75" s="27"/>
      <c r="O75" s="27"/>
      <c r="P75" s="27"/>
      <c r="Q75" s="27"/>
      <c r="R75" s="27"/>
      <c r="S75" s="27"/>
    </row>
    <row r="88" spans="10:14" ht="13.5" customHeight="1">
      <c r="J88" s="795"/>
      <c r="M88" s="795"/>
      <c r="N88" s="795"/>
    </row>
    <row r="89" spans="10:14" ht="13.5" customHeight="1">
      <c r="J89" s="795"/>
      <c r="M89" s="795"/>
      <c r="N89" s="795"/>
    </row>
  </sheetData>
  <sheetProtection/>
  <mergeCells count="8">
    <mergeCell ref="A5:S5"/>
    <mergeCell ref="P11:S11"/>
    <mergeCell ref="A3:T3"/>
    <mergeCell ref="A4:T4"/>
    <mergeCell ref="A7:T7"/>
    <mergeCell ref="A8:T8"/>
    <mergeCell ref="H11:K11"/>
    <mergeCell ref="L11:O11"/>
  </mergeCells>
  <printOptions horizontalCentered="1"/>
  <pageMargins left="0.1" right="0.1" top="0" bottom="0" header="0.3" footer="0.3"/>
  <pageSetup fitToHeight="1" fitToWidth="1" horizontalDpi="600" verticalDpi="600" orientation="portrait" scale="44" r:id="rId2"/>
  <rowBreaks count="1" manualBreakCount="1">
    <brk id="60" max="20" man="1"/>
  </rowBreaks>
  <drawing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N50"/>
  <sheetViews>
    <sheetView view="pageBreakPreview" zoomScale="90" zoomScaleSheetLayoutView="90" zoomScalePageLayoutView="0" workbookViewId="0" topLeftCell="A19">
      <selection activeCell="B28" sqref="B28"/>
    </sheetView>
  </sheetViews>
  <sheetFormatPr defaultColWidth="9.00390625" defaultRowHeight="12.75"/>
  <cols>
    <col min="1" max="1" width="11.00390625" style="13" customWidth="1"/>
    <col min="2" max="2" width="9.00390625" style="13" customWidth="1"/>
    <col min="3" max="3" width="12.75390625" style="13" customWidth="1"/>
    <col min="4" max="4" width="9.00390625" style="13" customWidth="1"/>
    <col min="5" max="5" width="24.125" style="13" customWidth="1"/>
    <col min="6" max="6" width="15.75390625" style="13" bestFit="1" customWidth="1"/>
    <col min="7" max="7" width="7.50390625" style="13" bestFit="1" customWidth="1"/>
    <col min="8" max="8" width="15.25390625" style="13" bestFit="1" customWidth="1"/>
    <col min="9" max="9" width="14.125" style="13" bestFit="1" customWidth="1"/>
    <col min="10" max="10" width="14.50390625" style="13" bestFit="1" customWidth="1"/>
    <col min="11" max="11" width="11.625" style="13" bestFit="1" customWidth="1"/>
    <col min="12" max="12" width="22.625" style="13" bestFit="1" customWidth="1"/>
    <col min="13" max="13" width="10.75390625" style="13" bestFit="1" customWidth="1"/>
    <col min="14" max="16384" width="9.00390625" style="13" customWidth="1"/>
  </cols>
  <sheetData>
    <row r="1" spans="1:10" ht="14.25">
      <c r="A1" s="192" t="s">
        <v>1102</v>
      </c>
      <c r="B1" s="329"/>
      <c r="G1" s="63"/>
      <c r="H1" s="63"/>
      <c r="I1" s="63"/>
      <c r="J1" s="63"/>
    </row>
    <row r="2" spans="1:10" ht="13.5">
      <c r="A2" s="329"/>
      <c r="B2" s="329"/>
      <c r="G2" s="63"/>
      <c r="H2" s="63"/>
      <c r="I2" s="63"/>
      <c r="J2" s="63"/>
    </row>
    <row r="3" spans="1:10" ht="13.5">
      <c r="A3" s="329"/>
      <c r="B3" s="329"/>
      <c r="C3" s="353"/>
      <c r="D3" s="353"/>
      <c r="E3" s="353"/>
      <c r="F3" s="353"/>
      <c r="G3" s="63"/>
      <c r="H3" s="63"/>
      <c r="I3" s="63"/>
      <c r="J3" s="63"/>
    </row>
    <row r="4" spans="1:13" ht="15" customHeight="1">
      <c r="A4" s="1540" t="s">
        <v>1121</v>
      </c>
      <c r="B4" s="1540"/>
      <c r="C4" s="1540"/>
      <c r="D4" s="1540"/>
      <c r="E4" s="1540"/>
      <c r="F4" s="1540"/>
      <c r="G4" s="1540"/>
      <c r="H4" s="1540"/>
      <c r="I4" s="1540"/>
      <c r="J4" s="1540"/>
      <c r="K4" s="1540"/>
      <c r="L4" s="1540"/>
      <c r="M4" s="1540"/>
    </row>
    <row r="5" spans="1:13" ht="15" customHeight="1">
      <c r="A5" s="1540" t="str">
        <f>+'F1-Proj RR'!A6</f>
        <v>NEW YORK POWER AUTHORITY</v>
      </c>
      <c r="B5" s="1540"/>
      <c r="C5" s="1540"/>
      <c r="D5" s="1540"/>
      <c r="E5" s="1540"/>
      <c r="F5" s="1540"/>
      <c r="G5" s="1540"/>
      <c r="H5" s="1540"/>
      <c r="I5" s="1540"/>
      <c r="J5" s="1540"/>
      <c r="K5" s="1540"/>
      <c r="L5" s="1540"/>
      <c r="M5" s="1540"/>
    </row>
    <row r="6" spans="1:13" ht="15" customHeight="1">
      <c r="A6" s="1541" t="str">
        <f>SUMMARY!A7</f>
        <v>YEAR ENDING DECEMBER 31, 2015</v>
      </c>
      <c r="B6" s="1541"/>
      <c r="C6" s="1541"/>
      <c r="D6" s="1541"/>
      <c r="E6" s="1541"/>
      <c r="F6" s="1541"/>
      <c r="G6" s="1541"/>
      <c r="H6" s="1541"/>
      <c r="I6" s="1541"/>
      <c r="J6" s="1541"/>
      <c r="K6" s="1541"/>
      <c r="L6" s="1541"/>
      <c r="M6" s="1541"/>
    </row>
    <row r="7" spans="1:3" s="27" customFormat="1" ht="15" customHeight="1">
      <c r="A7" s="1107"/>
      <c r="B7" s="1107"/>
      <c r="C7" s="365"/>
    </row>
    <row r="8" spans="1:13" s="27" customFormat="1" ht="15" customHeight="1">
      <c r="A8" s="1108" t="s">
        <v>1</v>
      </c>
      <c r="B8" s="1108"/>
      <c r="C8" s="1109" t="s">
        <v>1368</v>
      </c>
      <c r="D8" s="1109" t="s">
        <v>1369</v>
      </c>
      <c r="E8" s="1073"/>
      <c r="F8" s="1539" t="s">
        <v>1185</v>
      </c>
      <c r="G8" s="1539"/>
      <c r="H8" s="1539"/>
      <c r="I8" s="1539"/>
      <c r="J8" s="1539"/>
      <c r="K8" s="1539"/>
      <c r="L8" s="1539"/>
      <c r="M8" s="1539"/>
    </row>
    <row r="9" spans="1:13" s="27" customFormat="1" ht="15" customHeight="1">
      <c r="A9" s="1107"/>
      <c r="B9" s="1107"/>
      <c r="C9" s="1110" t="s">
        <v>1186</v>
      </c>
      <c r="F9" s="1043" t="s">
        <v>906</v>
      </c>
      <c r="G9" s="1043" t="s">
        <v>65</v>
      </c>
      <c r="H9" s="1043" t="s">
        <v>66</v>
      </c>
      <c r="I9" s="1043" t="s">
        <v>990</v>
      </c>
      <c r="J9" s="1043" t="s">
        <v>907</v>
      </c>
      <c r="K9" s="1043" t="s">
        <v>908</v>
      </c>
      <c r="L9" s="1043" t="s">
        <v>943</v>
      </c>
      <c r="M9" s="1043" t="s">
        <v>909</v>
      </c>
    </row>
    <row r="10" spans="1:5" s="27" customFormat="1" ht="15" customHeight="1">
      <c r="A10" s="1107">
        <v>1</v>
      </c>
      <c r="B10" s="1107"/>
      <c r="C10" s="1111">
        <v>350</v>
      </c>
      <c r="D10" s="27" t="s">
        <v>1187</v>
      </c>
      <c r="E10" s="365"/>
    </row>
    <row r="11" spans="1:14" s="27" customFormat="1" ht="15" customHeight="1">
      <c r="A11" s="1107">
        <f aca="true" t="shared" si="0" ref="A11:A18">+A10+1</f>
        <v>2</v>
      </c>
      <c r="B11" s="1107"/>
      <c r="C11" s="1111" t="s">
        <v>724</v>
      </c>
      <c r="D11" s="27" t="s">
        <v>1188</v>
      </c>
      <c r="E11" s="365"/>
      <c r="F11" s="1112">
        <v>0.0186</v>
      </c>
      <c r="G11" s="1112">
        <v>0.0173</v>
      </c>
      <c r="H11" s="1112">
        <v>0.0166</v>
      </c>
      <c r="I11" s="1112">
        <v>0.0417</v>
      </c>
      <c r="J11" s="1112">
        <v>0.0165</v>
      </c>
      <c r="K11" s="1112"/>
      <c r="L11" s="1112">
        <v>0.0333</v>
      </c>
      <c r="M11" s="1112">
        <v>0.02214</v>
      </c>
      <c r="N11" s="1113"/>
    </row>
    <row r="12" spans="1:14" s="27" customFormat="1" ht="15" customHeight="1">
      <c r="A12" s="1107">
        <f t="shared" si="0"/>
        <v>3</v>
      </c>
      <c r="B12" s="1107"/>
      <c r="C12" s="1111" t="s">
        <v>725</v>
      </c>
      <c r="D12" s="27" t="s">
        <v>1189</v>
      </c>
      <c r="E12" s="365"/>
      <c r="F12" s="1112">
        <v>0.0235</v>
      </c>
      <c r="G12" s="1112">
        <v>0.0234</v>
      </c>
      <c r="H12" s="1112">
        <v>0.0224</v>
      </c>
      <c r="I12" s="1112">
        <v>0.0387</v>
      </c>
      <c r="J12" s="1112">
        <v>0.0226</v>
      </c>
      <c r="K12" s="1112">
        <v>0.0227</v>
      </c>
      <c r="L12" s="1112">
        <v>0.0333</v>
      </c>
      <c r="M12" s="1112">
        <v>0.02555</v>
      </c>
      <c r="N12" s="1113"/>
    </row>
    <row r="13" spans="1:14" s="27" customFormat="1" ht="15" customHeight="1">
      <c r="A13" s="1107">
        <f t="shared" si="0"/>
        <v>4</v>
      </c>
      <c r="B13" s="1107"/>
      <c r="C13" s="1111" t="s">
        <v>1190</v>
      </c>
      <c r="D13" s="27" t="s">
        <v>1191</v>
      </c>
      <c r="E13" s="365"/>
      <c r="F13" s="1112">
        <v>0.0231</v>
      </c>
      <c r="G13" s="1112">
        <v>0.022</v>
      </c>
      <c r="H13" s="1112">
        <v>0.0214</v>
      </c>
      <c r="I13" s="1112">
        <v>0.0467</v>
      </c>
      <c r="J13" s="1112">
        <v>0.0213</v>
      </c>
      <c r="K13" s="1112">
        <v>0.0215</v>
      </c>
      <c r="L13" s="1112"/>
      <c r="M13" s="1112">
        <v>0.026</v>
      </c>
      <c r="N13" s="1113"/>
    </row>
    <row r="14" spans="1:14" s="27" customFormat="1" ht="15" customHeight="1">
      <c r="A14" s="1107">
        <f t="shared" si="0"/>
        <v>5</v>
      </c>
      <c r="B14" s="1107"/>
      <c r="C14" s="1111" t="s">
        <v>1192</v>
      </c>
      <c r="D14" s="27" t="s">
        <v>1193</v>
      </c>
      <c r="E14" s="365"/>
      <c r="F14" s="1112">
        <v>0.0264</v>
      </c>
      <c r="G14" s="1112">
        <v>0.0259</v>
      </c>
      <c r="H14" s="1112">
        <v>0.0259</v>
      </c>
      <c r="I14" s="1112"/>
      <c r="J14" s="1112">
        <v>0.0257</v>
      </c>
      <c r="K14" s="1112">
        <v>0.0262</v>
      </c>
      <c r="L14" s="1112"/>
      <c r="M14" s="1112">
        <v>0.026019999999999998</v>
      </c>
      <c r="N14" s="1113"/>
    </row>
    <row r="15" spans="1:14" s="27" customFormat="1" ht="15" customHeight="1">
      <c r="A15" s="1107">
        <f t="shared" si="0"/>
        <v>6</v>
      </c>
      <c r="B15" s="1107"/>
      <c r="C15" s="1111" t="s">
        <v>1194</v>
      </c>
      <c r="D15" s="27" t="s">
        <v>1195</v>
      </c>
      <c r="E15" s="365"/>
      <c r="F15" s="1112">
        <v>0.0223</v>
      </c>
      <c r="G15" s="1112">
        <v>0.0223</v>
      </c>
      <c r="H15" s="1112">
        <v>0.0214</v>
      </c>
      <c r="I15" s="1112">
        <v>0.0402</v>
      </c>
      <c r="J15" s="1112">
        <v>0.0213</v>
      </c>
      <c r="K15" s="1112">
        <v>0.0216</v>
      </c>
      <c r="L15" s="1112"/>
      <c r="M15" s="1112">
        <v>0.024900000000000005</v>
      </c>
      <c r="N15" s="1113"/>
    </row>
    <row r="16" spans="1:14" s="27" customFormat="1" ht="15" customHeight="1">
      <c r="A16" s="1107">
        <f t="shared" si="0"/>
        <v>7</v>
      </c>
      <c r="B16" s="1107"/>
      <c r="C16" s="1111" t="s">
        <v>1196</v>
      </c>
      <c r="D16" s="27" t="s">
        <v>1197</v>
      </c>
      <c r="E16" s="365"/>
      <c r="F16" s="1112">
        <v>0.0144</v>
      </c>
      <c r="G16" s="1112"/>
      <c r="H16" s="1112"/>
      <c r="I16" s="1112"/>
      <c r="J16" s="1112"/>
      <c r="K16" s="1112">
        <v>0.014</v>
      </c>
      <c r="L16" s="1112">
        <v>0.0333</v>
      </c>
      <c r="M16" s="1112">
        <v>0.0142</v>
      </c>
      <c r="N16" s="1113"/>
    </row>
    <row r="17" spans="1:14" s="27" customFormat="1" ht="15" customHeight="1">
      <c r="A17" s="1107">
        <f t="shared" si="0"/>
        <v>8</v>
      </c>
      <c r="B17" s="1107"/>
      <c r="C17" s="1111" t="s">
        <v>1198</v>
      </c>
      <c r="D17" s="27" t="s">
        <v>1199</v>
      </c>
      <c r="E17" s="365"/>
      <c r="F17" s="1112">
        <v>0.0234</v>
      </c>
      <c r="G17" s="1112"/>
      <c r="H17" s="1112"/>
      <c r="I17" s="1112"/>
      <c r="J17" s="1112"/>
      <c r="K17" s="1112">
        <v>0.0227</v>
      </c>
      <c r="L17" s="1112">
        <v>0.0333</v>
      </c>
      <c r="M17" s="1112">
        <v>0.02305</v>
      </c>
      <c r="N17" s="1113"/>
    </row>
    <row r="18" spans="1:14" s="27" customFormat="1" ht="15" customHeight="1">
      <c r="A18" s="1107">
        <f t="shared" si="0"/>
        <v>9</v>
      </c>
      <c r="B18" s="1107"/>
      <c r="C18" s="1111" t="s">
        <v>1200</v>
      </c>
      <c r="D18" s="27" t="s">
        <v>1201</v>
      </c>
      <c r="E18" s="365"/>
      <c r="F18" s="1112">
        <v>0.0157</v>
      </c>
      <c r="G18" s="1112">
        <v>0.0119</v>
      </c>
      <c r="H18" s="1112">
        <v>0.0121</v>
      </c>
      <c r="I18" s="1112">
        <v>0.0341</v>
      </c>
      <c r="J18" s="1112">
        <v>0.0098</v>
      </c>
      <c r="K18" s="1112">
        <v>0.0099</v>
      </c>
      <c r="L18" s="1112"/>
      <c r="M18" s="1112">
        <v>0.015583333333333336</v>
      </c>
      <c r="N18" s="1113"/>
    </row>
    <row r="19" spans="1:6" s="27" customFormat="1" ht="15" customHeight="1">
      <c r="A19" s="1107"/>
      <c r="B19" s="1107"/>
      <c r="C19" s="1111" t="s">
        <v>1202</v>
      </c>
      <c r="F19" s="1114"/>
    </row>
    <row r="20" spans="1:13" s="27" customFormat="1" ht="15" customHeight="1">
      <c r="A20" s="1107">
        <f>A18+1</f>
        <v>10</v>
      </c>
      <c r="B20" s="1107"/>
      <c r="C20" s="1111" t="s">
        <v>1203</v>
      </c>
      <c r="D20" s="27" t="s">
        <v>1204</v>
      </c>
      <c r="E20" s="365"/>
      <c r="F20" s="1112">
        <v>0.0345</v>
      </c>
      <c r="G20" s="1112">
        <v>0.0345</v>
      </c>
      <c r="H20" s="1112">
        <v>0.0345</v>
      </c>
      <c r="I20" s="1112">
        <v>0.0345</v>
      </c>
      <c r="J20" s="1112">
        <v>0.0345</v>
      </c>
      <c r="K20" s="1112">
        <v>0.0345</v>
      </c>
      <c r="L20" s="1112">
        <v>0.0345</v>
      </c>
      <c r="M20" s="1112">
        <v>0.0345</v>
      </c>
    </row>
    <row r="21" spans="1:13" s="27" customFormat="1" ht="15" customHeight="1">
      <c r="A21" s="1107">
        <f>A20+1</f>
        <v>11</v>
      </c>
      <c r="B21" s="1107"/>
      <c r="C21" s="1111" t="s">
        <v>1205</v>
      </c>
      <c r="D21" s="27" t="s">
        <v>1206</v>
      </c>
      <c r="E21" s="365"/>
      <c r="F21" s="1112">
        <v>0.0908</v>
      </c>
      <c r="G21" s="1112">
        <v>0.0908</v>
      </c>
      <c r="H21" s="1112">
        <v>0.0908</v>
      </c>
      <c r="I21" s="1112">
        <v>0.0908</v>
      </c>
      <c r="J21" s="1112">
        <v>0.0908</v>
      </c>
      <c r="K21" s="1112">
        <v>0.0908</v>
      </c>
      <c r="L21" s="1112">
        <v>0.0908</v>
      </c>
      <c r="M21" s="1112">
        <v>0.0908</v>
      </c>
    </row>
    <row r="22" spans="1:13" s="27" customFormat="1" ht="15" customHeight="1">
      <c r="A22" s="1107">
        <f aca="true" t="shared" si="1" ref="A22:A30">A21+1</f>
        <v>12</v>
      </c>
      <c r="B22" s="1107"/>
      <c r="C22" s="1111" t="s">
        <v>1207</v>
      </c>
      <c r="D22" s="27" t="s">
        <v>1208</v>
      </c>
      <c r="E22" s="365"/>
      <c r="F22" s="1112">
        <v>0.1304</v>
      </c>
      <c r="G22" s="1112">
        <v>0.1304</v>
      </c>
      <c r="H22" s="1112">
        <v>0.1304</v>
      </c>
      <c r="I22" s="1112">
        <v>0.1304</v>
      </c>
      <c r="J22" s="1112">
        <v>0.1304</v>
      </c>
      <c r="K22" s="1112">
        <v>0.1304</v>
      </c>
      <c r="L22" s="1112">
        <v>0.1304</v>
      </c>
      <c r="M22" s="1112">
        <v>0.1304</v>
      </c>
    </row>
    <row r="23" spans="1:13" s="27" customFormat="1" ht="15" customHeight="1">
      <c r="A23" s="1107">
        <f t="shared" si="1"/>
        <v>13</v>
      </c>
      <c r="B23" s="1107"/>
      <c r="C23" s="1111" t="s">
        <v>1209</v>
      </c>
      <c r="D23" s="27" t="s">
        <v>1210</v>
      </c>
      <c r="E23" s="365"/>
      <c r="F23" s="1112">
        <v>0.0315</v>
      </c>
      <c r="G23" s="1112">
        <v>0.0315</v>
      </c>
      <c r="H23" s="1112">
        <v>0.0315</v>
      </c>
      <c r="I23" s="1112">
        <v>0.0315</v>
      </c>
      <c r="J23" s="1112">
        <v>0.0315</v>
      </c>
      <c r="K23" s="1112">
        <v>0.0315</v>
      </c>
      <c r="L23" s="1112">
        <v>0.0315</v>
      </c>
      <c r="M23" s="1112">
        <v>0.0315</v>
      </c>
    </row>
    <row r="24" spans="1:13" s="27" customFormat="1" ht="15" customHeight="1">
      <c r="A24" s="1107">
        <f t="shared" si="1"/>
        <v>14</v>
      </c>
      <c r="B24" s="1107"/>
      <c r="C24" s="1111" t="s">
        <v>1211</v>
      </c>
      <c r="D24" s="27" t="s">
        <v>1212</v>
      </c>
      <c r="E24" s="365"/>
      <c r="F24" s="1112">
        <v>0.0494</v>
      </c>
      <c r="G24" s="1112">
        <v>0.0494</v>
      </c>
      <c r="H24" s="1112">
        <v>0.0494</v>
      </c>
      <c r="I24" s="1112">
        <v>0.0494</v>
      </c>
      <c r="J24" s="1112">
        <v>0.0494</v>
      </c>
      <c r="K24" s="1112">
        <v>0.0494</v>
      </c>
      <c r="L24" s="1112">
        <v>0.0494</v>
      </c>
      <c r="M24" s="1112">
        <v>0.0494</v>
      </c>
    </row>
    <row r="25" spans="1:13" s="27" customFormat="1" ht="15" customHeight="1">
      <c r="A25" s="1107">
        <f t="shared" si="1"/>
        <v>15</v>
      </c>
      <c r="B25" s="1107"/>
      <c r="C25" s="1111" t="s">
        <v>1213</v>
      </c>
      <c r="D25" s="27" t="s">
        <v>1214</v>
      </c>
      <c r="E25" s="365"/>
      <c r="F25" s="1112">
        <v>0.0443</v>
      </c>
      <c r="G25" s="1112">
        <v>0.0443</v>
      </c>
      <c r="H25" s="1112">
        <v>0.0443</v>
      </c>
      <c r="I25" s="1112">
        <v>0.0443</v>
      </c>
      <c r="J25" s="1112">
        <v>0.0443</v>
      </c>
      <c r="K25" s="1112">
        <v>0.0443</v>
      </c>
      <c r="L25" s="1112">
        <v>0.0443</v>
      </c>
      <c r="M25" s="1112">
        <v>0.0443</v>
      </c>
    </row>
    <row r="26" spans="1:13" s="27" customFormat="1" ht="15" customHeight="1">
      <c r="A26" s="1107">
        <f t="shared" si="1"/>
        <v>16</v>
      </c>
      <c r="B26" s="1107"/>
      <c r="C26" s="1111" t="s">
        <v>1215</v>
      </c>
      <c r="D26" s="27" t="s">
        <v>1216</v>
      </c>
      <c r="E26" s="365"/>
      <c r="F26" s="1112">
        <v>0.0933</v>
      </c>
      <c r="G26" s="1112">
        <v>0.0933</v>
      </c>
      <c r="H26" s="1112">
        <v>0.0933</v>
      </c>
      <c r="I26" s="1112">
        <v>0.0933</v>
      </c>
      <c r="J26" s="1112">
        <v>0.0933</v>
      </c>
      <c r="K26" s="1112">
        <v>0.0933</v>
      </c>
      <c r="L26" s="1112">
        <v>0.0933</v>
      </c>
      <c r="M26" s="1112">
        <v>0.0933</v>
      </c>
    </row>
    <row r="27" spans="1:13" s="27" customFormat="1" ht="15" customHeight="1">
      <c r="A27" s="1107">
        <f t="shared" si="1"/>
        <v>17</v>
      </c>
      <c r="B27" s="1107"/>
      <c r="C27" s="1111" t="s">
        <v>1217</v>
      </c>
      <c r="D27" s="27" t="s">
        <v>1218</v>
      </c>
      <c r="E27" s="365"/>
      <c r="F27" s="1112">
        <v>0.0663</v>
      </c>
      <c r="G27" s="1112">
        <v>0.0663</v>
      </c>
      <c r="H27" s="1112">
        <v>0.0663</v>
      </c>
      <c r="I27" s="1112">
        <v>0.0663</v>
      </c>
      <c r="J27" s="1112">
        <v>0.0663</v>
      </c>
      <c r="K27" s="1112">
        <v>0.0663</v>
      </c>
      <c r="L27" s="1112">
        <v>0.0663</v>
      </c>
      <c r="M27" s="1112">
        <v>0.0663</v>
      </c>
    </row>
    <row r="28" spans="1:13" s="27" customFormat="1" ht="15" customHeight="1">
      <c r="A28" s="1107">
        <f t="shared" si="1"/>
        <v>18</v>
      </c>
      <c r="B28" s="1107"/>
      <c r="C28" s="1111" t="s">
        <v>1219</v>
      </c>
      <c r="D28" s="27" t="s">
        <v>1220</v>
      </c>
      <c r="E28" s="365"/>
      <c r="F28" s="1112">
        <v>0.0594</v>
      </c>
      <c r="G28" s="1112">
        <v>0.0594</v>
      </c>
      <c r="H28" s="1112">
        <v>0.0594</v>
      </c>
      <c r="I28" s="1112">
        <v>0.0594</v>
      </c>
      <c r="J28" s="1112">
        <v>0.0594</v>
      </c>
      <c r="K28" s="1112">
        <v>0.0594</v>
      </c>
      <c r="L28" s="1112">
        <v>0.0594</v>
      </c>
      <c r="M28" s="1112">
        <v>0.0594</v>
      </c>
    </row>
    <row r="29" spans="1:13" s="27" customFormat="1" ht="15" customHeight="1">
      <c r="A29" s="1107">
        <f t="shared" si="1"/>
        <v>19</v>
      </c>
      <c r="B29" s="1107"/>
      <c r="C29" s="1111"/>
      <c r="D29" s="27" t="s">
        <v>726</v>
      </c>
      <c r="E29" s="365"/>
      <c r="F29" s="1112">
        <f>1/5</f>
        <v>0.2</v>
      </c>
      <c r="G29" s="1112">
        <f aca="true" t="shared" si="2" ref="G29:M29">1/5</f>
        <v>0.2</v>
      </c>
      <c r="H29" s="1112">
        <f t="shared" si="2"/>
        <v>0.2</v>
      </c>
      <c r="I29" s="1112">
        <f t="shared" si="2"/>
        <v>0.2</v>
      </c>
      <c r="J29" s="1112">
        <f t="shared" si="2"/>
        <v>0.2</v>
      </c>
      <c r="K29" s="1112">
        <f t="shared" si="2"/>
        <v>0.2</v>
      </c>
      <c r="L29" s="1112">
        <f t="shared" si="2"/>
        <v>0.2</v>
      </c>
      <c r="M29" s="1112">
        <f t="shared" si="2"/>
        <v>0.2</v>
      </c>
    </row>
    <row r="30" spans="1:13" s="27" customFormat="1" ht="15" customHeight="1">
      <c r="A30" s="1107">
        <f t="shared" si="1"/>
        <v>20</v>
      </c>
      <c r="B30" s="1107"/>
      <c r="C30" s="1111"/>
      <c r="D30" s="27" t="s">
        <v>727</v>
      </c>
      <c r="E30" s="365"/>
      <c r="F30" s="1112">
        <f>1/10</f>
        <v>0.1</v>
      </c>
      <c r="G30" s="1112">
        <f aca="true" t="shared" si="3" ref="G30:M30">1/10</f>
        <v>0.1</v>
      </c>
      <c r="H30" s="1112">
        <f t="shared" si="3"/>
        <v>0.1</v>
      </c>
      <c r="I30" s="1112">
        <f t="shared" si="3"/>
        <v>0.1</v>
      </c>
      <c r="J30" s="1112">
        <f t="shared" si="3"/>
        <v>0.1</v>
      </c>
      <c r="K30" s="1112">
        <f t="shared" si="3"/>
        <v>0.1</v>
      </c>
      <c r="L30" s="1112">
        <f t="shared" si="3"/>
        <v>0.1</v>
      </c>
      <c r="M30" s="1112">
        <f t="shared" si="3"/>
        <v>0.1</v>
      </c>
    </row>
    <row r="31" spans="1:13" s="27" customFormat="1" ht="15" customHeight="1">
      <c r="A31" s="1107">
        <f>+A30+1</f>
        <v>21</v>
      </c>
      <c r="B31" s="1107"/>
      <c r="C31" s="1111"/>
      <c r="D31" s="27" t="s">
        <v>728</v>
      </c>
      <c r="E31" s="365"/>
      <c r="F31" s="1112">
        <f>1/20</f>
        <v>0.05</v>
      </c>
      <c r="G31" s="1112">
        <f aca="true" t="shared" si="4" ref="G31:M31">1/20</f>
        <v>0.05</v>
      </c>
      <c r="H31" s="1112">
        <f t="shared" si="4"/>
        <v>0.05</v>
      </c>
      <c r="I31" s="1112">
        <f t="shared" si="4"/>
        <v>0.05</v>
      </c>
      <c r="J31" s="1112">
        <f t="shared" si="4"/>
        <v>0.05</v>
      </c>
      <c r="K31" s="1112">
        <f t="shared" si="4"/>
        <v>0.05</v>
      </c>
      <c r="L31" s="1112">
        <f t="shared" si="4"/>
        <v>0.05</v>
      </c>
      <c r="M31" s="1112">
        <f t="shared" si="4"/>
        <v>0.05</v>
      </c>
    </row>
    <row r="32" spans="1:13" s="27" customFormat="1" ht="15" customHeight="1">
      <c r="A32" s="1107"/>
      <c r="B32" s="1107"/>
      <c r="C32" s="1111" t="s">
        <v>1221</v>
      </c>
      <c r="F32" s="1114"/>
      <c r="G32" s="1114"/>
      <c r="H32" s="1114"/>
      <c r="I32" s="1114"/>
      <c r="J32" s="1114"/>
      <c r="K32" s="1114"/>
      <c r="L32" s="1114"/>
      <c r="M32" s="1114"/>
    </row>
    <row r="33" spans="1:13" s="27" customFormat="1" ht="15" customHeight="1">
      <c r="A33" s="1107">
        <f>A31+1</f>
        <v>22</v>
      </c>
      <c r="B33" s="1107"/>
      <c r="C33" s="1111" t="s">
        <v>1222</v>
      </c>
      <c r="D33" s="27" t="s">
        <v>1223</v>
      </c>
      <c r="E33" s="365"/>
      <c r="F33" s="1114"/>
      <c r="G33" s="1114"/>
      <c r="H33" s="1114"/>
      <c r="I33" s="1114"/>
      <c r="J33" s="1114"/>
      <c r="K33" s="1114"/>
      <c r="L33" s="1114"/>
      <c r="M33" s="1114"/>
    </row>
    <row r="34" spans="1:13" s="27" customFormat="1" ht="15" customHeight="1">
      <c r="A34" s="1107">
        <f>A33+1</f>
        <v>23</v>
      </c>
      <c r="B34" s="1107"/>
      <c r="C34" s="1111"/>
      <c r="D34" s="27" t="s">
        <v>726</v>
      </c>
      <c r="E34" s="365"/>
      <c r="F34" s="1112">
        <f>1/5</f>
        <v>0.2</v>
      </c>
      <c r="G34" s="1112">
        <f aca="true" t="shared" si="5" ref="G34:M34">1/5</f>
        <v>0.2</v>
      </c>
      <c r="H34" s="1112">
        <f t="shared" si="5"/>
        <v>0.2</v>
      </c>
      <c r="I34" s="1112">
        <f t="shared" si="5"/>
        <v>0.2</v>
      </c>
      <c r="J34" s="1112">
        <f t="shared" si="5"/>
        <v>0.2</v>
      </c>
      <c r="K34" s="1112">
        <f t="shared" si="5"/>
        <v>0.2</v>
      </c>
      <c r="L34" s="1112">
        <f t="shared" si="5"/>
        <v>0.2</v>
      </c>
      <c r="M34" s="1112">
        <f t="shared" si="5"/>
        <v>0.2</v>
      </c>
    </row>
    <row r="35" spans="1:13" s="27" customFormat="1" ht="15" customHeight="1">
      <c r="A35" s="1107">
        <f>+A34+1</f>
        <v>24</v>
      </c>
      <c r="B35" s="1107"/>
      <c r="C35" s="1111"/>
      <c r="D35" s="27" t="s">
        <v>729</v>
      </c>
      <c r="E35" s="365"/>
      <c r="F35" s="1112">
        <f>1/7</f>
        <v>0.14285714285714285</v>
      </c>
      <c r="G35" s="1112">
        <f aca="true" t="shared" si="6" ref="G35:M35">1/7</f>
        <v>0.14285714285714285</v>
      </c>
      <c r="H35" s="1112">
        <f t="shared" si="6"/>
        <v>0.14285714285714285</v>
      </c>
      <c r="I35" s="1112">
        <f t="shared" si="6"/>
        <v>0.14285714285714285</v>
      </c>
      <c r="J35" s="1112">
        <f t="shared" si="6"/>
        <v>0.14285714285714285</v>
      </c>
      <c r="K35" s="1112">
        <f t="shared" si="6"/>
        <v>0.14285714285714285</v>
      </c>
      <c r="L35" s="1112">
        <f t="shared" si="6"/>
        <v>0.14285714285714285</v>
      </c>
      <c r="M35" s="1112">
        <f t="shared" si="6"/>
        <v>0.14285714285714285</v>
      </c>
    </row>
    <row r="36" spans="1:13" s="27" customFormat="1" ht="15" customHeight="1">
      <c r="A36" s="1107">
        <f>+A35+1</f>
        <v>25</v>
      </c>
      <c r="B36" s="1107"/>
      <c r="C36" s="1111"/>
      <c r="D36" s="27" t="s">
        <v>727</v>
      </c>
      <c r="E36" s="365"/>
      <c r="F36" s="1112">
        <f>1/10</f>
        <v>0.1</v>
      </c>
      <c r="G36" s="1112">
        <f aca="true" t="shared" si="7" ref="G36:M36">1/10</f>
        <v>0.1</v>
      </c>
      <c r="H36" s="1112">
        <f t="shared" si="7"/>
        <v>0.1</v>
      </c>
      <c r="I36" s="1112">
        <f t="shared" si="7"/>
        <v>0.1</v>
      </c>
      <c r="J36" s="1112">
        <f t="shared" si="7"/>
        <v>0.1</v>
      </c>
      <c r="K36" s="1112">
        <f t="shared" si="7"/>
        <v>0.1</v>
      </c>
      <c r="L36" s="1112">
        <f t="shared" si="7"/>
        <v>0.1</v>
      </c>
      <c r="M36" s="1112">
        <f t="shared" si="7"/>
        <v>0.1</v>
      </c>
    </row>
    <row r="37" spans="1:6" s="27" customFormat="1" ht="15" customHeight="1">
      <c r="A37" s="1107">
        <f>+A36+1</f>
        <v>26</v>
      </c>
      <c r="B37" s="1107"/>
      <c r="C37" s="365"/>
      <c r="D37" s="1115" t="s">
        <v>1224</v>
      </c>
      <c r="F37" s="1116" t="s">
        <v>1225</v>
      </c>
    </row>
    <row r="38" spans="1:2" s="27" customFormat="1" ht="15" customHeight="1">
      <c r="A38" s="1107"/>
      <c r="B38" s="1107"/>
    </row>
    <row r="39" spans="1:3" s="27" customFormat="1" ht="15" customHeight="1">
      <c r="A39" s="1107"/>
      <c r="B39" s="1107"/>
      <c r="C39" s="365"/>
    </row>
    <row r="40" spans="1:3" s="27" customFormat="1" ht="15" customHeight="1">
      <c r="A40" s="1107"/>
      <c r="B40" s="1107"/>
      <c r="C40" s="27" t="s">
        <v>1226</v>
      </c>
    </row>
    <row r="41" spans="1:3" s="27" customFormat="1" ht="15" customHeight="1">
      <c r="A41" s="1107"/>
      <c r="B41" s="1107"/>
      <c r="C41" s="27" t="s">
        <v>1227</v>
      </c>
    </row>
    <row r="42" spans="1:3" s="27" customFormat="1" ht="15" customHeight="1">
      <c r="A42" s="1107"/>
      <c r="B42" s="1107"/>
      <c r="C42" s="27" t="s">
        <v>1228</v>
      </c>
    </row>
    <row r="43" spans="1:6" s="27" customFormat="1" ht="15" customHeight="1">
      <c r="A43" s="1107"/>
      <c r="B43" s="1107"/>
      <c r="C43" s="27" t="s">
        <v>1296</v>
      </c>
      <c r="F43" s="365"/>
    </row>
    <row r="44" spans="1:6" s="27" customFormat="1" ht="15" customHeight="1">
      <c r="A44" s="1107"/>
      <c r="B44" s="1107"/>
      <c r="C44" s="27" t="s">
        <v>730</v>
      </c>
      <c r="F44" s="365"/>
    </row>
    <row r="45" spans="1:6" s="27" customFormat="1" ht="15" customHeight="1">
      <c r="A45" s="1107"/>
      <c r="B45" s="1107"/>
      <c r="C45" s="1117"/>
      <c r="F45" s="365"/>
    </row>
    <row r="46" spans="1:6" s="27" customFormat="1" ht="15" customHeight="1">
      <c r="A46" s="1107"/>
      <c r="B46" s="1107"/>
      <c r="C46" s="27" t="s">
        <v>1229</v>
      </c>
      <c r="F46" s="365"/>
    </row>
    <row r="47" spans="1:10" ht="13.5">
      <c r="A47" s="329"/>
      <c r="B47" s="329"/>
      <c r="C47" s="330"/>
      <c r="D47" s="330"/>
      <c r="E47" s="330"/>
      <c r="F47" s="330"/>
      <c r="G47" s="63"/>
      <c r="H47" s="63"/>
      <c r="I47" s="63"/>
      <c r="J47" s="63"/>
    </row>
    <row r="48" spans="1:10" ht="13.5">
      <c r="A48" s="63"/>
      <c r="B48" s="63"/>
      <c r="C48" s="63"/>
      <c r="D48" s="63"/>
      <c r="E48" s="63"/>
      <c r="F48" s="63"/>
      <c r="G48" s="63"/>
      <c r="H48" s="63"/>
      <c r="I48" s="63"/>
      <c r="J48" s="63"/>
    </row>
    <row r="49" spans="1:10" ht="13.5">
      <c r="A49" s="63"/>
      <c r="B49" s="63"/>
      <c r="C49" s="63"/>
      <c r="D49" s="63"/>
      <c r="E49" s="63"/>
      <c r="F49" s="63"/>
      <c r="G49" s="63"/>
      <c r="H49" s="63"/>
      <c r="I49" s="63"/>
      <c r="J49" s="63"/>
    </row>
    <row r="50" spans="1:10" ht="13.5">
      <c r="A50" s="63"/>
      <c r="B50" s="63"/>
      <c r="C50" s="63"/>
      <c r="D50" s="63"/>
      <c r="E50" s="63"/>
      <c r="F50" s="63"/>
      <c r="G50" s="63"/>
      <c r="H50" s="63"/>
      <c r="I50" s="63"/>
      <c r="J50" s="63"/>
    </row>
  </sheetData>
  <sheetProtection/>
  <mergeCells count="4">
    <mergeCell ref="F8:M8"/>
    <mergeCell ref="A4:M4"/>
    <mergeCell ref="A5:M5"/>
    <mergeCell ref="A6:M6"/>
  </mergeCells>
  <printOptions/>
  <pageMargins left="0.7" right="0.7" top="0.75" bottom="0.75" header="0.3" footer="0.3"/>
  <pageSetup fitToHeight="1" fitToWidth="1" horizontalDpi="600" verticalDpi="600" orientation="landscape" scale="69" r:id="rId2"/>
  <drawing r:id="rId1"/>
</worksheet>
</file>

<file path=xl/worksheets/sheet8.xml><?xml version="1.0" encoding="utf-8"?>
<worksheet xmlns="http://schemas.openxmlformats.org/spreadsheetml/2006/main" xmlns:r="http://schemas.openxmlformats.org/officeDocument/2006/relationships">
  <sheetPr transitionEvaluation="1">
    <tabColor theme="9"/>
    <pageSetUpPr fitToPage="1"/>
  </sheetPr>
  <dimension ref="A1:Y50"/>
  <sheetViews>
    <sheetView showGridLines="0" defaultGridColor="0" view="pageBreakPreview" zoomScaleNormal="80" zoomScaleSheetLayoutView="100" zoomScalePageLayoutView="0" colorId="22" workbookViewId="0" topLeftCell="A4">
      <selection activeCell="B28" sqref="B28"/>
    </sheetView>
  </sheetViews>
  <sheetFormatPr defaultColWidth="15.625" defaultRowHeight="12.75"/>
  <cols>
    <col min="1" max="1" width="4.125" style="0" customWidth="1"/>
    <col min="2" max="2" width="27.50390625" style="0" customWidth="1"/>
    <col min="3" max="3" width="16.25390625" style="0" bestFit="1" customWidth="1"/>
    <col min="4" max="4" width="19.00390625" style="0" customWidth="1"/>
    <col min="5" max="5" width="5.50390625" style="0" customWidth="1"/>
    <col min="6" max="6" width="23.50390625" style="0" customWidth="1"/>
    <col min="7" max="7" width="3.625" style="0" customWidth="1"/>
    <col min="8" max="8" width="15.625" style="0" bestFit="1" customWidth="1"/>
    <col min="9" max="9" width="3.75390625" style="0" customWidth="1"/>
    <col min="10" max="10" width="21.50390625" style="0" bestFit="1" customWidth="1"/>
    <col min="11" max="11" width="2.50390625" style="0" customWidth="1"/>
    <col min="12" max="12" width="21.50390625" style="0" bestFit="1" customWidth="1"/>
    <col min="13" max="13" width="3.375" style="0" customWidth="1"/>
    <col min="14" max="14" width="11.00390625" style="0" customWidth="1"/>
    <col min="15" max="15" width="2.625" style="0" customWidth="1"/>
    <col min="16" max="16" width="14.25390625" style="0" bestFit="1" customWidth="1"/>
    <col min="17" max="17" width="2.75390625" style="0" customWidth="1"/>
  </cols>
  <sheetData>
    <row r="1" spans="1:25" s="8" customFormat="1" ht="21">
      <c r="A1" s="689" t="s">
        <v>1104</v>
      </c>
      <c r="C1" s="105"/>
      <c r="D1" s="4"/>
      <c r="E1" s="4"/>
      <c r="F1" s="4"/>
      <c r="G1" s="4"/>
      <c r="H1" s="4"/>
      <c r="I1" s="4"/>
      <c r="J1" s="4"/>
      <c r="K1" s="4"/>
      <c r="L1" s="4"/>
      <c r="M1" s="4"/>
      <c r="O1" s="4"/>
      <c r="P1" s="168"/>
      <c r="Q1" s="4"/>
      <c r="R1" s="4"/>
      <c r="S1" s="4"/>
      <c r="T1" s="4"/>
      <c r="U1" s="4"/>
      <c r="V1" s="4"/>
      <c r="W1" s="4"/>
      <c r="X1" s="4"/>
      <c r="Y1" s="4"/>
    </row>
    <row r="2" spans="1:25" s="9" customFormat="1" ht="17.25">
      <c r="A2" s="1"/>
      <c r="C2" s="1"/>
      <c r="D2" s="1"/>
      <c r="E2" s="1"/>
      <c r="F2" s="1"/>
      <c r="G2" s="1"/>
      <c r="H2" s="1"/>
      <c r="I2" s="1"/>
      <c r="J2" s="1"/>
      <c r="K2" s="1"/>
      <c r="L2" s="1"/>
      <c r="M2" s="1"/>
      <c r="Q2" s="2"/>
      <c r="R2" s="1"/>
      <c r="S2" s="1"/>
      <c r="T2" s="1"/>
      <c r="U2" s="1"/>
      <c r="V2" s="1"/>
      <c r="W2" s="1"/>
      <c r="X2" s="1"/>
      <c r="Y2" s="1"/>
    </row>
    <row r="3" spans="1:25" ht="16.5" customHeight="1">
      <c r="A3" s="3"/>
      <c r="B3" s="3"/>
      <c r="C3" s="3"/>
      <c r="D3" s="3"/>
      <c r="E3" s="3"/>
      <c r="F3" s="3"/>
      <c r="G3" s="3"/>
      <c r="H3" s="3"/>
      <c r="I3" s="3"/>
      <c r="J3" s="3"/>
      <c r="K3" s="3"/>
      <c r="L3" s="3"/>
      <c r="M3" s="3"/>
      <c r="N3" s="3"/>
      <c r="O3" s="3"/>
      <c r="P3" s="3"/>
      <c r="Q3" s="3"/>
      <c r="R3" s="3"/>
      <c r="S3" s="3"/>
      <c r="T3" s="3"/>
      <c r="U3" s="3"/>
      <c r="V3" s="3"/>
      <c r="W3" s="3"/>
      <c r="X3" s="3"/>
      <c r="Y3" s="3"/>
    </row>
    <row r="4" spans="1:25" s="8" customFormat="1" ht="15">
      <c r="A4" s="1527" t="s">
        <v>227</v>
      </c>
      <c r="B4" s="1527"/>
      <c r="C4" s="1527"/>
      <c r="D4" s="1527"/>
      <c r="E4" s="1527"/>
      <c r="F4" s="1527"/>
      <c r="G4" s="1527"/>
      <c r="H4" s="1527"/>
      <c r="I4" s="1527"/>
      <c r="J4" s="1527"/>
      <c r="K4" s="1527"/>
      <c r="L4" s="1527"/>
      <c r="M4" s="1527"/>
      <c r="N4" s="1527"/>
      <c r="O4" s="1527"/>
      <c r="P4" s="1527"/>
      <c r="Q4" s="1527"/>
      <c r="R4" s="7"/>
      <c r="S4" s="7"/>
      <c r="T4" s="7"/>
      <c r="U4" s="7"/>
      <c r="V4" s="7"/>
      <c r="W4" s="7"/>
      <c r="X4" s="7"/>
      <c r="Y4" s="7"/>
    </row>
    <row r="5" spans="1:25" s="8" customFormat="1" ht="15">
      <c r="A5" s="1527" t="s">
        <v>111</v>
      </c>
      <c r="B5" s="1527"/>
      <c r="C5" s="1527"/>
      <c r="D5" s="1527"/>
      <c r="E5" s="1527"/>
      <c r="F5" s="1527"/>
      <c r="G5" s="1527"/>
      <c r="H5" s="1527"/>
      <c r="I5" s="1527"/>
      <c r="J5" s="1527"/>
      <c r="K5" s="1527"/>
      <c r="L5" s="1527"/>
      <c r="M5" s="1527"/>
      <c r="N5" s="1527"/>
      <c r="O5" s="1527"/>
      <c r="P5" s="1527"/>
      <c r="Q5" s="1527"/>
      <c r="R5" s="7"/>
      <c r="S5" s="7"/>
      <c r="T5" s="7"/>
      <c r="U5" s="7"/>
      <c r="V5" s="7"/>
      <c r="W5" s="7"/>
      <c r="X5" s="7"/>
      <c r="Y5" s="7"/>
    </row>
    <row r="6" spans="1:25" s="8" customFormat="1" ht="18" customHeight="1">
      <c r="A6" s="1528" t="s">
        <v>1377</v>
      </c>
      <c r="B6" s="1528"/>
      <c r="C6" s="1528"/>
      <c r="D6" s="1528"/>
      <c r="E6" s="1528"/>
      <c r="F6" s="1528"/>
      <c r="G6" s="1528"/>
      <c r="H6" s="1528"/>
      <c r="I6" s="1528"/>
      <c r="J6" s="1528"/>
      <c r="K6" s="1528"/>
      <c r="L6" s="1528"/>
      <c r="M6" s="1528"/>
      <c r="N6" s="1528"/>
      <c r="O6" s="1528"/>
      <c r="P6" s="1528"/>
      <c r="Q6" s="1528"/>
      <c r="R6" s="7"/>
      <c r="S6" s="7"/>
      <c r="T6" s="7"/>
      <c r="U6" s="7"/>
      <c r="V6" s="7"/>
      <c r="W6" s="7"/>
      <c r="X6" s="7"/>
      <c r="Y6" s="7"/>
    </row>
    <row r="7" spans="1:25" s="8" customFormat="1" ht="15">
      <c r="A7" s="7"/>
      <c r="B7" s="7"/>
      <c r="C7" s="7"/>
      <c r="D7" s="7"/>
      <c r="E7" s="7"/>
      <c r="F7" s="7"/>
      <c r="G7" s="7"/>
      <c r="H7" s="7"/>
      <c r="I7" s="7"/>
      <c r="J7" s="7"/>
      <c r="K7" s="7"/>
      <c r="L7" s="7"/>
      <c r="M7" s="7"/>
      <c r="N7" s="7"/>
      <c r="O7" s="7"/>
      <c r="P7" s="7"/>
      <c r="Q7" s="7"/>
      <c r="R7" s="7"/>
      <c r="S7" s="7"/>
      <c r="T7" s="7"/>
      <c r="U7" s="7"/>
      <c r="V7" s="7"/>
      <c r="W7" s="7"/>
      <c r="X7" s="7"/>
      <c r="Y7" s="7"/>
    </row>
    <row r="8" spans="1:25" s="8" customFormat="1" ht="15">
      <c r="A8" s="1529" t="s">
        <v>1103</v>
      </c>
      <c r="B8" s="1529"/>
      <c r="C8" s="1529"/>
      <c r="D8" s="1529"/>
      <c r="E8" s="1529"/>
      <c r="F8" s="1529"/>
      <c r="G8" s="1529"/>
      <c r="H8" s="1529"/>
      <c r="I8" s="1529"/>
      <c r="J8" s="1529"/>
      <c r="K8" s="1529"/>
      <c r="L8" s="1529"/>
      <c r="M8" s="1529"/>
      <c r="N8" s="1529"/>
      <c r="O8" s="1529"/>
      <c r="P8" s="1529"/>
      <c r="Q8" s="1529"/>
      <c r="R8" s="7"/>
      <c r="S8" s="7"/>
      <c r="T8" s="7"/>
      <c r="U8" s="7"/>
      <c r="V8" s="7"/>
      <c r="W8" s="7"/>
      <c r="X8" s="7"/>
      <c r="Y8" s="7"/>
    </row>
    <row r="9" spans="1:25" s="8" customFormat="1" ht="15">
      <c r="A9" s="1527" t="s">
        <v>232</v>
      </c>
      <c r="B9" s="1527"/>
      <c r="C9" s="1527"/>
      <c r="D9" s="1527"/>
      <c r="E9" s="1527"/>
      <c r="F9" s="1527"/>
      <c r="G9" s="1527"/>
      <c r="H9" s="1527"/>
      <c r="I9" s="1527"/>
      <c r="J9" s="1527"/>
      <c r="K9" s="1527"/>
      <c r="L9" s="1527"/>
      <c r="M9" s="1527"/>
      <c r="N9" s="1527"/>
      <c r="O9" s="1527"/>
      <c r="P9" s="1527"/>
      <c r="Q9" s="1527"/>
      <c r="R9" s="7"/>
      <c r="S9" s="7"/>
      <c r="T9" s="7"/>
      <c r="U9" s="7"/>
      <c r="V9" s="7"/>
      <c r="W9" s="7"/>
      <c r="X9" s="7"/>
      <c r="Y9" s="7"/>
    </row>
    <row r="10" spans="1:25" s="8" customFormat="1" ht="15">
      <c r="A10" s="7"/>
      <c r="B10" s="7"/>
      <c r="C10" s="7"/>
      <c r="D10" s="7"/>
      <c r="E10" s="7"/>
      <c r="F10" s="7"/>
      <c r="G10" s="7"/>
      <c r="H10" s="7"/>
      <c r="I10" s="7"/>
      <c r="J10" s="7"/>
      <c r="K10" s="7"/>
      <c r="L10" s="7"/>
      <c r="M10" s="7"/>
      <c r="N10" s="7"/>
      <c r="O10" s="7"/>
      <c r="P10" s="7"/>
      <c r="Q10" s="7"/>
      <c r="R10" s="7"/>
      <c r="S10" s="7"/>
      <c r="T10" s="7"/>
      <c r="U10" s="7"/>
      <c r="V10" s="7"/>
      <c r="W10" s="7"/>
      <c r="X10" s="7"/>
      <c r="Y10" s="7"/>
    </row>
    <row r="11" spans="1:25" s="167" customFormat="1" ht="15">
      <c r="A11" s="4"/>
      <c r="B11" s="4"/>
      <c r="C11" s="4"/>
      <c r="D11" s="4"/>
      <c r="E11" s="4"/>
      <c r="F11" s="4"/>
      <c r="G11" s="4"/>
      <c r="H11" s="829"/>
      <c r="I11" s="4"/>
      <c r="J11" s="4"/>
      <c r="K11" s="4"/>
      <c r="L11" s="4"/>
      <c r="M11" s="4"/>
      <c r="N11" s="4"/>
      <c r="O11" s="4"/>
      <c r="P11" s="4"/>
      <c r="Q11" s="4"/>
      <c r="R11" s="4"/>
      <c r="S11" s="4"/>
      <c r="T11" s="4"/>
      <c r="U11" s="4"/>
      <c r="V11" s="4"/>
      <c r="W11" s="4"/>
      <c r="X11" s="4"/>
      <c r="Y11" s="4"/>
    </row>
    <row r="12" spans="1:25" s="167" customFormat="1" ht="15">
      <c r="A12" s="4"/>
      <c r="B12" s="4"/>
      <c r="C12" s="4"/>
      <c r="D12" s="4"/>
      <c r="E12" s="4"/>
      <c r="F12" s="4"/>
      <c r="G12" s="4"/>
      <c r="H12" s="829" t="s">
        <v>26</v>
      </c>
      <c r="I12" s="4"/>
      <c r="J12" s="829" t="s">
        <v>1298</v>
      </c>
      <c r="K12" s="4"/>
      <c r="L12" s="4"/>
      <c r="M12" s="4"/>
      <c r="O12" s="4"/>
      <c r="P12" s="4"/>
      <c r="Q12" s="4"/>
      <c r="R12" s="4"/>
      <c r="S12" s="4"/>
      <c r="T12" s="4"/>
      <c r="U12" s="4"/>
      <c r="V12" s="4"/>
      <c r="W12" s="4"/>
      <c r="X12" s="4"/>
      <c r="Y12" s="4"/>
    </row>
    <row r="13" spans="1:25" s="167" customFormat="1" ht="15">
      <c r="A13" s="4"/>
      <c r="B13" s="4"/>
      <c r="C13" s="4"/>
      <c r="D13" s="4"/>
      <c r="E13" s="4"/>
      <c r="F13" s="4"/>
      <c r="G13" s="4"/>
      <c r="H13" s="829" t="s">
        <v>24</v>
      </c>
      <c r="I13" s="4"/>
      <c r="J13" s="829" t="s">
        <v>25</v>
      </c>
      <c r="K13" s="4"/>
      <c r="L13" s="829" t="s">
        <v>33</v>
      </c>
      <c r="M13" s="4"/>
      <c r="N13" s="829" t="s">
        <v>47</v>
      </c>
      <c r="O13" s="4"/>
      <c r="P13" s="829" t="s">
        <v>49</v>
      </c>
      <c r="Q13" s="4"/>
      <c r="R13" s="4"/>
      <c r="S13" s="4"/>
      <c r="T13" s="4"/>
      <c r="U13" s="4"/>
      <c r="V13" s="4"/>
      <c r="W13" s="4"/>
      <c r="X13" s="4"/>
      <c r="Y13" s="4"/>
    </row>
    <row r="14" spans="1:25" s="167" customFormat="1" ht="15">
      <c r="A14" s="4"/>
      <c r="B14" s="1118" t="s">
        <v>50</v>
      </c>
      <c r="C14" s="4"/>
      <c r="D14" s="829" t="s">
        <v>26</v>
      </c>
      <c r="E14" s="4"/>
      <c r="F14" s="829" t="s">
        <v>33</v>
      </c>
      <c r="G14" s="4"/>
      <c r="H14" s="829" t="s">
        <v>62</v>
      </c>
      <c r="I14" s="4"/>
      <c r="J14" s="829" t="s">
        <v>977</v>
      </c>
      <c r="K14" s="4"/>
      <c r="L14" s="829" t="s">
        <v>977</v>
      </c>
      <c r="M14" s="4"/>
      <c r="N14" s="829" t="s">
        <v>48</v>
      </c>
      <c r="O14" s="4"/>
      <c r="P14" s="829" t="s">
        <v>50</v>
      </c>
      <c r="Q14" s="4"/>
      <c r="R14" s="4"/>
      <c r="S14" s="4"/>
      <c r="T14" s="4"/>
      <c r="U14" s="4"/>
      <c r="V14" s="4"/>
      <c r="W14" s="4"/>
      <c r="X14" s="4"/>
      <c r="Y14" s="4"/>
    </row>
    <row r="15" spans="1:25" s="167" customFormat="1" ht="15">
      <c r="A15" s="4"/>
      <c r="B15" s="4"/>
      <c r="C15" s="4"/>
      <c r="D15" s="553" t="s">
        <v>975</v>
      </c>
      <c r="E15" s="4"/>
      <c r="F15" s="553" t="s">
        <v>976</v>
      </c>
      <c r="G15" s="4"/>
      <c r="H15" s="553" t="s">
        <v>1297</v>
      </c>
      <c r="I15" s="4"/>
      <c r="J15" s="553" t="s">
        <v>350</v>
      </c>
      <c r="K15" s="4"/>
      <c r="L15" s="553" t="s">
        <v>1009</v>
      </c>
      <c r="M15" s="4"/>
      <c r="N15" s="553" t="s">
        <v>1299</v>
      </c>
      <c r="O15" s="4"/>
      <c r="P15" s="553" t="s">
        <v>1307</v>
      </c>
      <c r="Q15" s="4"/>
      <c r="R15" s="4"/>
      <c r="S15" s="4"/>
      <c r="T15" s="4"/>
      <c r="U15" s="4"/>
      <c r="V15" s="4"/>
      <c r="W15" s="4"/>
      <c r="X15" s="4"/>
      <c r="Y15" s="4"/>
    </row>
    <row r="16" spans="1:25" s="167" customFormat="1" ht="15">
      <c r="A16" s="4"/>
      <c r="B16" s="4"/>
      <c r="C16" s="4"/>
      <c r="D16" s="554" t="s">
        <v>6</v>
      </c>
      <c r="E16" s="4"/>
      <c r="F16" s="554" t="s">
        <v>7</v>
      </c>
      <c r="G16" s="4"/>
      <c r="H16" s="554" t="s">
        <v>8</v>
      </c>
      <c r="I16" s="4"/>
      <c r="J16" s="554" t="s">
        <v>9</v>
      </c>
      <c r="K16" s="4"/>
      <c r="L16" s="554" t="s">
        <v>27</v>
      </c>
      <c r="M16" s="4"/>
      <c r="N16" s="554" t="s">
        <v>28</v>
      </c>
      <c r="O16" s="4"/>
      <c r="P16" s="554" t="s">
        <v>51</v>
      </c>
      <c r="Q16" s="4"/>
      <c r="R16" s="4"/>
      <c r="S16" s="4"/>
      <c r="T16" s="4"/>
      <c r="U16" s="4"/>
      <c r="V16" s="4"/>
      <c r="W16" s="4"/>
      <c r="X16" s="4"/>
      <c r="Y16" s="4"/>
    </row>
    <row r="17" spans="1:25" s="167" customFormat="1" ht="15">
      <c r="A17" s="4"/>
      <c r="B17" s="4"/>
      <c r="C17" s="4"/>
      <c r="D17" s="20"/>
      <c r="E17" s="20"/>
      <c r="F17" s="20"/>
      <c r="G17" s="20"/>
      <c r="H17" s="4"/>
      <c r="I17" s="4"/>
      <c r="J17" s="4"/>
      <c r="K17" s="4"/>
      <c r="L17" s="4"/>
      <c r="M17" s="4"/>
      <c r="N17" s="4"/>
      <c r="O17" s="4"/>
      <c r="P17" s="4"/>
      <c r="Q17" s="4"/>
      <c r="R17" s="4"/>
      <c r="S17" s="4"/>
      <c r="T17" s="4"/>
      <c r="U17" s="4"/>
      <c r="V17" s="4"/>
      <c r="W17" s="4"/>
      <c r="X17" s="4"/>
      <c r="Y17" s="4"/>
    </row>
    <row r="18" spans="1:25" s="167" customFormat="1" ht="15">
      <c r="A18" s="4"/>
      <c r="B18" s="4"/>
      <c r="C18" s="4"/>
      <c r="D18" s="20"/>
      <c r="E18" s="20"/>
      <c r="F18" s="20"/>
      <c r="G18" s="20"/>
      <c r="H18" s="4"/>
      <c r="I18" s="4"/>
      <c r="J18" s="4"/>
      <c r="K18" s="4"/>
      <c r="L18" s="4"/>
      <c r="M18" s="4"/>
      <c r="N18" s="4"/>
      <c r="O18" s="4"/>
      <c r="P18" s="4"/>
      <c r="Q18" s="4"/>
      <c r="R18" s="4"/>
      <c r="S18" s="4"/>
      <c r="T18" s="4"/>
      <c r="U18" s="4"/>
      <c r="V18" s="4"/>
      <c r="W18" s="4"/>
      <c r="X18" s="4"/>
      <c r="Y18" s="4"/>
    </row>
    <row r="19" spans="1:25" s="167" customFormat="1" ht="15">
      <c r="A19" s="4">
        <v>1</v>
      </c>
      <c r="B19" s="5" t="s">
        <v>52</v>
      </c>
      <c r="C19" s="4"/>
      <c r="D19" s="1119">
        <f>'B2-Plant'!S40</f>
        <v>521040328.6961971</v>
      </c>
      <c r="E19" s="1011" t="s">
        <v>445</v>
      </c>
      <c r="F19" s="1120">
        <f>'B2-Plant'!S54</f>
        <v>174385081.81999993</v>
      </c>
      <c r="G19" s="1011" t="s">
        <v>446</v>
      </c>
      <c r="H19" s="1121">
        <f>+'E1-Labor Ratio'!H21</f>
        <v>0.27609832339076545</v>
      </c>
      <c r="I19" s="4"/>
      <c r="J19" s="1122">
        <f>F19*H19</f>
        <v>48147428.714863434</v>
      </c>
      <c r="K19" s="1123"/>
      <c r="L19" s="1122">
        <f>D19+J19</f>
        <v>569187757.4110606</v>
      </c>
      <c r="M19" s="4"/>
      <c r="N19" s="4"/>
      <c r="O19" s="4"/>
      <c r="P19" s="4"/>
      <c r="Q19" s="4"/>
      <c r="R19" s="4"/>
      <c r="S19" s="4"/>
      <c r="T19" s="4"/>
      <c r="U19" s="4"/>
      <c r="V19" s="4"/>
      <c r="W19" s="4"/>
      <c r="X19" s="4"/>
      <c r="Y19" s="4"/>
    </row>
    <row r="20" spans="1:25" s="167" customFormat="1" ht="15">
      <c r="A20" s="4"/>
      <c r="B20" s="4"/>
      <c r="C20" s="4"/>
      <c r="D20" s="1039"/>
      <c r="E20" s="20"/>
      <c r="F20" s="20"/>
      <c r="G20" s="20"/>
      <c r="H20" s="1124"/>
      <c r="I20" s="4"/>
      <c r="J20" s="4"/>
      <c r="K20" s="4"/>
      <c r="L20" s="4"/>
      <c r="M20" s="4"/>
      <c r="N20" s="4"/>
      <c r="O20" s="4"/>
      <c r="P20" s="4"/>
      <c r="Q20" s="4"/>
      <c r="R20" s="4"/>
      <c r="S20" s="4"/>
      <c r="T20" s="4"/>
      <c r="U20" s="4"/>
      <c r="V20" s="4"/>
      <c r="W20" s="4"/>
      <c r="X20" s="4"/>
      <c r="Y20" s="4"/>
    </row>
    <row r="21" spans="1:25" s="167" customFormat="1" ht="15">
      <c r="A21" s="4">
        <v>2</v>
      </c>
      <c r="B21" s="5" t="s">
        <v>53</v>
      </c>
      <c r="C21" s="4"/>
      <c r="D21" s="1039"/>
      <c r="E21" s="20"/>
      <c r="F21" s="20"/>
      <c r="G21" s="20"/>
      <c r="H21" s="1124"/>
      <c r="I21" s="4"/>
      <c r="J21" s="4"/>
      <c r="K21" s="4"/>
      <c r="L21" s="4"/>
      <c r="M21" s="4"/>
      <c r="N21" s="4"/>
      <c r="O21" s="4"/>
      <c r="P21" s="4"/>
      <c r="Q21" s="4"/>
      <c r="R21" s="4"/>
      <c r="S21" s="4"/>
      <c r="T21" s="4"/>
      <c r="U21" s="4"/>
      <c r="V21" s="4"/>
      <c r="W21" s="4"/>
      <c r="X21" s="4"/>
      <c r="Y21" s="4"/>
    </row>
    <row r="22" spans="1:25" s="167" customFormat="1" ht="15">
      <c r="A22" s="4"/>
      <c r="B22" s="4"/>
      <c r="C22" s="4"/>
      <c r="D22" s="1039"/>
      <c r="E22" s="20"/>
      <c r="F22" s="20"/>
      <c r="G22" s="20"/>
      <c r="H22" s="1124"/>
      <c r="I22" s="4"/>
      <c r="J22" s="4"/>
      <c r="K22" s="4"/>
      <c r="L22" s="4"/>
      <c r="M22" s="4"/>
      <c r="N22" s="4"/>
      <c r="O22" s="4"/>
      <c r="P22" s="4"/>
      <c r="Q22" s="4"/>
      <c r="R22" s="4"/>
      <c r="S22" s="4"/>
      <c r="T22" s="4"/>
      <c r="U22" s="4"/>
      <c r="V22" s="4"/>
      <c r="W22" s="4"/>
      <c r="X22" s="4"/>
      <c r="Y22" s="4"/>
    </row>
    <row r="23" spans="1:25" s="167" customFormat="1" ht="15">
      <c r="A23" s="4">
        <v>3</v>
      </c>
      <c r="B23" s="1394" t="s">
        <v>1300</v>
      </c>
      <c r="C23" s="4"/>
      <c r="D23" s="1022">
        <f>('A1-O&amp;M'!J37+'A2-A&amp;G'!J39)/8</f>
        <v>12913384.634367611</v>
      </c>
      <c r="E23" s="20" t="s">
        <v>447</v>
      </c>
      <c r="F23" s="20"/>
      <c r="G23" s="20"/>
      <c r="H23" s="1124"/>
      <c r="I23" s="4"/>
      <c r="J23" s="4"/>
      <c r="K23" s="4"/>
      <c r="L23" s="1125">
        <f>D23+J23</f>
        <v>12913384.634367611</v>
      </c>
      <c r="M23" s="4"/>
      <c r="N23" s="4"/>
      <c r="O23" s="4"/>
      <c r="P23" s="4"/>
      <c r="Q23" s="4"/>
      <c r="R23" s="4"/>
      <c r="S23" s="4"/>
      <c r="T23" s="4"/>
      <c r="U23" s="4"/>
      <c r="V23" s="4"/>
      <c r="W23" s="4"/>
      <c r="X23" s="4"/>
      <c r="Y23" s="4"/>
    </row>
    <row r="24" spans="1:25" s="167" customFormat="1" ht="15">
      <c r="A24" s="4">
        <v>4</v>
      </c>
      <c r="B24" s="1394" t="s">
        <v>1301</v>
      </c>
      <c r="C24" s="4"/>
      <c r="D24" s="1126">
        <f>+'WP-BD'!J45</f>
        <v>49021550.099999934</v>
      </c>
      <c r="E24" s="20" t="s">
        <v>448</v>
      </c>
      <c r="F24" s="20"/>
      <c r="G24" s="20"/>
      <c r="H24" s="1124"/>
      <c r="I24" s="4"/>
      <c r="J24" s="4"/>
      <c r="K24" s="4"/>
      <c r="L24" s="1127">
        <f>D24+J24</f>
        <v>49021550.099999934</v>
      </c>
      <c r="M24" s="4"/>
      <c r="N24" s="4"/>
      <c r="O24" s="4"/>
      <c r="P24" s="4"/>
      <c r="Q24" s="4"/>
      <c r="R24" s="4"/>
      <c r="S24" s="4"/>
      <c r="T24" s="4"/>
      <c r="U24" s="4"/>
      <c r="V24" s="4"/>
      <c r="W24" s="4"/>
      <c r="X24" s="4"/>
      <c r="Y24" s="4"/>
    </row>
    <row r="25" spans="1:25" s="167" customFormat="1" ht="15">
      <c r="A25" s="4">
        <v>5</v>
      </c>
      <c r="B25" s="1394" t="s">
        <v>1302</v>
      </c>
      <c r="C25" s="4"/>
      <c r="D25" s="1128">
        <f>'WP-CA'!J28</f>
        <v>86604261.5</v>
      </c>
      <c r="E25" s="20" t="s">
        <v>982</v>
      </c>
      <c r="F25" s="20"/>
      <c r="G25" s="20"/>
      <c r="H25" s="1121">
        <f>+'E1-Labor Ratio'!H21</f>
        <v>0.27609832339076545</v>
      </c>
      <c r="I25" s="4"/>
      <c r="J25" s="4"/>
      <c r="K25" s="4"/>
      <c r="L25" s="1125">
        <f>D25*H25</f>
        <v>23911291.39864542</v>
      </c>
      <c r="M25" s="4"/>
      <c r="N25" s="4"/>
      <c r="O25" s="4"/>
      <c r="P25" s="4"/>
      <c r="Q25" s="4"/>
      <c r="R25" s="4"/>
      <c r="S25" s="4"/>
      <c r="T25" s="4"/>
      <c r="U25" s="4"/>
      <c r="V25" s="4"/>
      <c r="W25" s="4"/>
      <c r="X25" s="4"/>
      <c r="Y25" s="4"/>
    </row>
    <row r="26" spans="1:25" s="167" customFormat="1" ht="15">
      <c r="A26" s="4">
        <v>6</v>
      </c>
      <c r="B26" s="1395" t="s">
        <v>1303</v>
      </c>
      <c r="C26" s="1130"/>
      <c r="D26" s="1022">
        <f>'WP-CB'!F21</f>
        <v>6277459.404999999</v>
      </c>
      <c r="E26" s="20"/>
      <c r="F26" s="1131"/>
      <c r="G26" s="20"/>
      <c r="H26" s="1121">
        <f>+'E1-Labor Ratio'!H21</f>
        <v>0.27609832339076545</v>
      </c>
      <c r="I26" s="4"/>
      <c r="J26" s="1132"/>
      <c r="K26" s="4"/>
      <c r="L26" s="1127">
        <f>D26*H26</f>
        <v>1733196.016874092</v>
      </c>
      <c r="M26" s="4"/>
      <c r="N26" s="4"/>
      <c r="O26" s="4"/>
      <c r="P26" s="4"/>
      <c r="Q26" s="4"/>
      <c r="R26" s="4"/>
      <c r="S26" s="4"/>
      <c r="T26" s="4"/>
      <c r="U26" s="4"/>
      <c r="V26" s="4"/>
      <c r="W26" s="4"/>
      <c r="X26" s="4"/>
      <c r="Y26" s="4"/>
    </row>
    <row r="27" spans="1:25" s="167" customFormat="1" ht="15">
      <c r="A27" s="4">
        <v>7</v>
      </c>
      <c r="B27" s="1395" t="s">
        <v>1304</v>
      </c>
      <c r="C27" s="1130"/>
      <c r="D27" s="1022">
        <v>0</v>
      </c>
      <c r="E27" s="20" t="s">
        <v>983</v>
      </c>
      <c r="F27" s="1131"/>
      <c r="G27" s="20"/>
      <c r="H27" s="1121"/>
      <c r="I27" s="4"/>
      <c r="J27" s="1132"/>
      <c r="K27" s="4"/>
      <c r="L27" s="1127"/>
      <c r="M27" s="4"/>
      <c r="N27" s="4"/>
      <c r="O27" s="4"/>
      <c r="P27" s="4"/>
      <c r="Q27" s="4"/>
      <c r="R27" s="4"/>
      <c r="S27" s="4"/>
      <c r="T27" s="4"/>
      <c r="U27" s="4"/>
      <c r="V27" s="4"/>
      <c r="W27" s="4"/>
      <c r="X27" s="4"/>
      <c r="Y27" s="4"/>
    </row>
    <row r="28" spans="1:25" s="167" customFormat="1" ht="15">
      <c r="A28" s="4">
        <v>8</v>
      </c>
      <c r="B28" s="1395" t="s">
        <v>1305</v>
      </c>
      <c r="C28" s="1130"/>
      <c r="D28" s="1022">
        <v>0</v>
      </c>
      <c r="E28" s="20" t="s">
        <v>983</v>
      </c>
      <c r="F28" s="1131"/>
      <c r="G28" s="20"/>
      <c r="H28" s="1121"/>
      <c r="I28" s="4"/>
      <c r="J28" s="1132"/>
      <c r="K28" s="4"/>
      <c r="L28" s="1127"/>
      <c r="M28" s="4"/>
      <c r="N28" s="4"/>
      <c r="O28" s="4"/>
      <c r="P28" s="4"/>
      <c r="Q28" s="4"/>
      <c r="R28" s="4"/>
      <c r="S28" s="4"/>
      <c r="T28" s="4"/>
      <c r="U28" s="4"/>
      <c r="V28" s="4"/>
      <c r="W28" s="4"/>
      <c r="X28" s="4"/>
      <c r="Y28" s="4"/>
    </row>
    <row r="29" spans="1:25" s="167" customFormat="1" ht="15">
      <c r="A29" s="4">
        <v>9</v>
      </c>
      <c r="B29" s="1395" t="s">
        <v>1306</v>
      </c>
      <c r="C29" s="1130"/>
      <c r="D29" s="1022">
        <v>0</v>
      </c>
      <c r="E29" s="20" t="s">
        <v>983</v>
      </c>
      <c r="F29" s="1131"/>
      <c r="G29" s="20"/>
      <c r="H29" s="1121"/>
      <c r="I29" s="4"/>
      <c r="J29" s="1132"/>
      <c r="K29" s="4"/>
      <c r="L29" s="1127"/>
      <c r="M29" s="4"/>
      <c r="N29" s="4"/>
      <c r="O29" s="4"/>
      <c r="P29" s="4"/>
      <c r="Q29" s="4"/>
      <c r="R29" s="4"/>
      <c r="S29" s="4"/>
      <c r="T29" s="4"/>
      <c r="U29" s="4"/>
      <c r="V29" s="4"/>
      <c r="W29" s="4"/>
      <c r="X29" s="4"/>
      <c r="Y29" s="4"/>
    </row>
    <row r="30" spans="1:25" s="167" customFormat="1" ht="15">
      <c r="A30" s="4"/>
      <c r="B30" s="4"/>
      <c r="C30" s="4"/>
      <c r="D30" s="20"/>
      <c r="E30" s="20"/>
      <c r="F30" s="20"/>
      <c r="G30" s="20"/>
      <c r="H30" s="1121"/>
      <c r="I30" s="4"/>
      <c r="J30" s="4"/>
      <c r="K30" s="4"/>
      <c r="L30" s="4"/>
      <c r="M30" s="4"/>
      <c r="N30" s="4"/>
      <c r="O30" s="4"/>
      <c r="P30" s="4"/>
      <c r="Q30" s="4"/>
      <c r="R30" s="4"/>
      <c r="S30" s="4"/>
      <c r="T30" s="4"/>
      <c r="U30" s="4"/>
      <c r="V30" s="4"/>
      <c r="W30" s="4"/>
      <c r="X30" s="4"/>
      <c r="Y30" s="4"/>
    </row>
    <row r="31" spans="1:25" s="167" customFormat="1" ht="15">
      <c r="A31" s="4">
        <v>10</v>
      </c>
      <c r="B31" s="1133" t="s">
        <v>723</v>
      </c>
      <c r="C31" s="4"/>
      <c r="D31" s="1134">
        <f>SUM(D19:D29)</f>
        <v>675856984.3355646</v>
      </c>
      <c r="E31" s="1135"/>
      <c r="F31" s="1134">
        <f>SUM(F19:F29)</f>
        <v>174385081.81999993</v>
      </c>
      <c r="G31" s="20"/>
      <c r="H31" s="1121">
        <f>+'E1-Labor Ratio'!H21</f>
        <v>0.27609832339076545</v>
      </c>
      <c r="I31" s="4"/>
      <c r="J31" s="1134">
        <f>SUM(J19:J29)</f>
        <v>48147428.714863434</v>
      </c>
      <c r="K31" s="4"/>
      <c r="L31" s="1136">
        <f>SUM(L19:L30)</f>
        <v>656767179.5609475</v>
      </c>
      <c r="M31" s="4"/>
      <c r="N31" s="1137">
        <f>'D1-Cap Structure'!H25</f>
        <v>0.0739752645228274</v>
      </c>
      <c r="O31" s="4"/>
      <c r="P31" s="1136">
        <f>L31*N31</f>
        <v>48584525.83793238</v>
      </c>
      <c r="Q31" s="4"/>
      <c r="R31" s="4"/>
      <c r="S31" s="4"/>
      <c r="T31" s="4"/>
      <c r="U31" s="4"/>
      <c r="V31" s="4"/>
      <c r="W31" s="4"/>
      <c r="X31" s="4"/>
      <c r="Y31" s="4"/>
    </row>
    <row r="32" spans="1:25" s="167" customFormat="1" ht="15">
      <c r="A32" s="4"/>
      <c r="B32" s="4"/>
      <c r="C32" s="4"/>
      <c r="D32" s="4"/>
      <c r="E32" s="4"/>
      <c r="F32" s="4"/>
      <c r="G32" s="4"/>
      <c r="H32" s="4"/>
      <c r="I32" s="4"/>
      <c r="J32" s="4"/>
      <c r="K32" s="4"/>
      <c r="L32" s="4"/>
      <c r="M32" s="4"/>
      <c r="N32" s="4"/>
      <c r="O32" s="4"/>
      <c r="P32" s="4"/>
      <c r="Q32" s="4"/>
      <c r="R32" s="4"/>
      <c r="S32" s="4"/>
      <c r="T32" s="4"/>
      <c r="U32" s="4"/>
      <c r="V32" s="4"/>
      <c r="W32" s="4"/>
      <c r="X32" s="4"/>
      <c r="Y32" s="4"/>
    </row>
    <row r="33" spans="1:25" s="167" customFormat="1" ht="15">
      <c r="A33" s="4"/>
      <c r="B33" s="4"/>
      <c r="C33" s="4"/>
      <c r="D33" s="4"/>
      <c r="E33" s="4"/>
      <c r="F33" s="4"/>
      <c r="G33" s="4"/>
      <c r="H33" s="4"/>
      <c r="I33" s="4"/>
      <c r="J33" s="4"/>
      <c r="K33" s="4"/>
      <c r="L33" s="4"/>
      <c r="M33" s="4"/>
      <c r="N33" s="4"/>
      <c r="O33" s="4"/>
      <c r="P33" s="4"/>
      <c r="Q33" s="4"/>
      <c r="R33" s="4"/>
      <c r="S33" s="4"/>
      <c r="T33" s="4"/>
      <c r="U33" s="4"/>
      <c r="V33" s="4"/>
      <c r="W33" s="4"/>
      <c r="X33" s="4"/>
      <c r="Y33" s="4"/>
    </row>
    <row r="34" spans="1:25" s="167" customFormat="1" ht="15">
      <c r="A34" s="4"/>
      <c r="B34" s="14" t="s">
        <v>1105</v>
      </c>
      <c r="C34" s="4"/>
      <c r="D34" s="4"/>
      <c r="E34" s="4"/>
      <c r="F34" s="4"/>
      <c r="G34" s="4"/>
      <c r="H34" s="4"/>
      <c r="I34" s="4"/>
      <c r="J34" s="4"/>
      <c r="K34" s="4"/>
      <c r="L34" s="4"/>
      <c r="M34" s="4"/>
      <c r="N34" s="4"/>
      <c r="O34" s="4"/>
      <c r="P34" s="4"/>
      <c r="Q34" s="4"/>
      <c r="R34" s="4"/>
      <c r="S34" s="4"/>
      <c r="T34" s="4"/>
      <c r="U34" s="4"/>
      <c r="V34" s="4"/>
      <c r="W34" s="4"/>
      <c r="X34" s="4"/>
      <c r="Y34" s="4"/>
    </row>
    <row r="35" spans="1:25" s="167" customFormat="1" ht="15">
      <c r="A35" s="4"/>
      <c r="B35" s="20"/>
      <c r="C35" s="4"/>
      <c r="D35" s="4"/>
      <c r="E35" s="4"/>
      <c r="F35" s="4"/>
      <c r="G35" s="4"/>
      <c r="H35" s="4"/>
      <c r="I35" s="4"/>
      <c r="J35" s="4"/>
      <c r="K35" s="4"/>
      <c r="L35" s="4"/>
      <c r="M35" s="4"/>
      <c r="N35" s="4"/>
      <c r="O35" s="4"/>
      <c r="P35" s="4"/>
      <c r="Q35" s="4"/>
      <c r="R35" s="4"/>
      <c r="S35" s="4"/>
      <c r="T35" s="4"/>
      <c r="U35" s="4"/>
      <c r="V35" s="4"/>
      <c r="W35" s="4"/>
      <c r="X35" s="4"/>
      <c r="Y35" s="4"/>
    </row>
    <row r="36" spans="1:25" s="167" customFormat="1" ht="15">
      <c r="A36" s="4"/>
      <c r="B36" s="14" t="s">
        <v>1106</v>
      </c>
      <c r="C36" s="4"/>
      <c r="D36" s="4"/>
      <c r="E36" s="4"/>
      <c r="F36" s="4"/>
      <c r="G36" s="4"/>
      <c r="H36" s="4"/>
      <c r="I36" s="4"/>
      <c r="J36" s="4"/>
      <c r="K36" s="4"/>
      <c r="L36" s="4"/>
      <c r="M36" s="4"/>
      <c r="N36" s="4"/>
      <c r="O36" s="4"/>
      <c r="P36" s="4"/>
      <c r="Q36" s="4"/>
      <c r="R36" s="4"/>
      <c r="S36" s="4"/>
      <c r="T36" s="4"/>
      <c r="U36" s="4"/>
      <c r="V36" s="4"/>
      <c r="W36" s="4"/>
      <c r="X36" s="4"/>
      <c r="Y36" s="4"/>
    </row>
    <row r="37" spans="1:25" s="167" customFormat="1" ht="15">
      <c r="A37" s="4"/>
      <c r="B37" s="20"/>
      <c r="C37" s="4"/>
      <c r="D37" s="4"/>
      <c r="E37" s="4"/>
      <c r="F37" s="4"/>
      <c r="G37" s="4"/>
      <c r="H37" s="4"/>
      <c r="I37" s="4"/>
      <c r="J37" s="4"/>
      <c r="K37" s="4"/>
      <c r="L37" s="4"/>
      <c r="M37" s="4"/>
      <c r="N37" s="4"/>
      <c r="O37" s="4"/>
      <c r="P37" s="4"/>
      <c r="Q37" s="4"/>
      <c r="R37" s="4"/>
      <c r="S37" s="4"/>
      <c r="T37" s="4"/>
      <c r="U37" s="4"/>
      <c r="V37" s="4"/>
      <c r="W37" s="4"/>
      <c r="X37" s="4"/>
      <c r="Y37" s="4"/>
    </row>
    <row r="38" spans="1:25" s="167" customFormat="1" ht="15">
      <c r="A38" s="4"/>
      <c r="B38" s="1138" t="s">
        <v>1263</v>
      </c>
      <c r="C38" s="4"/>
      <c r="D38" s="1130"/>
      <c r="E38" s="4"/>
      <c r="F38" s="4"/>
      <c r="G38" s="4"/>
      <c r="H38" s="4"/>
      <c r="I38" s="4"/>
      <c r="J38" s="4"/>
      <c r="K38" s="4"/>
      <c r="L38" s="4"/>
      <c r="M38" s="4"/>
      <c r="N38" s="4"/>
      <c r="O38" s="4"/>
      <c r="P38" s="4"/>
      <c r="Q38" s="4"/>
      <c r="R38" s="4"/>
      <c r="S38" s="4"/>
      <c r="T38" s="4"/>
      <c r="U38" s="4"/>
      <c r="V38" s="4"/>
      <c r="W38" s="4"/>
      <c r="X38" s="4"/>
      <c r="Y38" s="4"/>
    </row>
    <row r="39" spans="1:25" s="167" customFormat="1" ht="15">
      <c r="A39" s="4"/>
      <c r="B39" s="20"/>
      <c r="C39" s="4"/>
      <c r="D39" s="4"/>
      <c r="E39" s="4"/>
      <c r="F39" s="4"/>
      <c r="G39" s="4"/>
      <c r="H39" s="4"/>
      <c r="I39" s="4"/>
      <c r="J39" s="4"/>
      <c r="K39" s="4"/>
      <c r="L39" s="4"/>
      <c r="M39" s="4"/>
      <c r="N39" s="4"/>
      <c r="O39" s="4"/>
      <c r="P39" s="4"/>
      <c r="Q39" s="4"/>
      <c r="R39" s="4"/>
      <c r="S39" s="4"/>
      <c r="T39" s="4"/>
      <c r="U39" s="4"/>
      <c r="V39" s="4"/>
      <c r="W39" s="4"/>
      <c r="X39" s="4"/>
      <c r="Y39" s="4"/>
    </row>
    <row r="40" spans="1:25" s="167" customFormat="1" ht="15">
      <c r="A40" s="4"/>
      <c r="B40" s="1138" t="s">
        <v>1109</v>
      </c>
      <c r="C40" s="4"/>
      <c r="D40" s="4"/>
      <c r="E40" s="4"/>
      <c r="F40" s="4"/>
      <c r="G40" s="4"/>
      <c r="H40" s="4"/>
      <c r="I40" s="4"/>
      <c r="J40" s="4"/>
      <c r="K40" s="4"/>
      <c r="L40" s="4"/>
      <c r="M40" s="4"/>
      <c r="N40" s="4"/>
      <c r="O40" s="4"/>
      <c r="P40" s="4"/>
      <c r="Q40" s="4"/>
      <c r="R40" s="4"/>
      <c r="S40" s="4"/>
      <c r="T40" s="4"/>
      <c r="U40" s="4"/>
      <c r="V40" s="4"/>
      <c r="W40" s="4"/>
      <c r="X40" s="4"/>
      <c r="Y40" s="4"/>
    </row>
    <row r="41" spans="1:25" s="167" customFormat="1" ht="15">
      <c r="A41" s="4"/>
      <c r="B41" s="20"/>
      <c r="C41" s="4"/>
      <c r="D41" s="4"/>
      <c r="E41" s="4"/>
      <c r="F41" s="4"/>
      <c r="G41" s="4"/>
      <c r="H41" s="4"/>
      <c r="I41" s="4"/>
      <c r="J41" s="4"/>
      <c r="K41" s="4"/>
      <c r="L41" s="4"/>
      <c r="M41" s="4"/>
      <c r="N41" s="4"/>
      <c r="O41" s="4"/>
      <c r="P41" s="4"/>
      <c r="Q41" s="4"/>
      <c r="R41" s="4"/>
      <c r="S41" s="4"/>
      <c r="T41" s="4"/>
      <c r="U41" s="4"/>
      <c r="V41" s="4"/>
      <c r="W41" s="4"/>
      <c r="X41" s="4"/>
      <c r="Y41" s="4"/>
    </row>
    <row r="42" spans="1:25" s="167" customFormat="1" ht="15">
      <c r="A42" s="4"/>
      <c r="B42" s="14" t="s">
        <v>1339</v>
      </c>
      <c r="C42" s="4"/>
      <c r="D42" s="4"/>
      <c r="E42" s="4"/>
      <c r="F42" s="4"/>
      <c r="G42" s="4"/>
      <c r="H42" s="4"/>
      <c r="I42" s="4"/>
      <c r="J42" s="4"/>
      <c r="K42" s="4"/>
      <c r="L42" s="4"/>
      <c r="M42" s="4"/>
      <c r="N42" s="4"/>
      <c r="O42" s="4"/>
      <c r="P42" s="4"/>
      <c r="Q42" s="4"/>
      <c r="R42" s="4"/>
      <c r="S42" s="4"/>
      <c r="T42" s="4"/>
      <c r="U42" s="4"/>
      <c r="V42" s="4"/>
      <c r="W42" s="4"/>
      <c r="X42" s="4"/>
      <c r="Y42" s="4"/>
    </row>
    <row r="43" spans="1:25" s="167" customFormat="1" ht="15">
      <c r="A43" s="4"/>
      <c r="B43" s="20"/>
      <c r="C43" s="4"/>
      <c r="D43" s="4"/>
      <c r="E43" s="4"/>
      <c r="F43" s="4"/>
      <c r="G43" s="4"/>
      <c r="H43" s="4"/>
      <c r="I43" s="4"/>
      <c r="J43" s="4"/>
      <c r="K43" s="4"/>
      <c r="L43" s="4"/>
      <c r="M43" s="4"/>
      <c r="N43" s="4"/>
      <c r="O43" s="4"/>
      <c r="P43" s="4"/>
      <c r="Q43" s="4"/>
      <c r="R43" s="4"/>
      <c r="S43" s="4"/>
      <c r="T43" s="4"/>
      <c r="U43" s="4"/>
      <c r="V43" s="4"/>
      <c r="W43" s="4"/>
      <c r="X43" s="4"/>
      <c r="Y43" s="4"/>
    </row>
    <row r="44" spans="1:25" s="167" customFormat="1" ht="15">
      <c r="A44" s="4"/>
      <c r="B44" s="14" t="s">
        <v>1308</v>
      </c>
      <c r="C44" s="4"/>
      <c r="D44" s="4"/>
      <c r="E44" s="4"/>
      <c r="F44" s="4"/>
      <c r="G44" s="4"/>
      <c r="H44" s="4"/>
      <c r="I44" s="4"/>
      <c r="J44" s="4"/>
      <c r="K44" s="4"/>
      <c r="L44" s="4"/>
      <c r="M44" s="4"/>
      <c r="N44" s="4"/>
      <c r="O44" s="4"/>
      <c r="P44" s="4"/>
      <c r="Q44" s="4"/>
      <c r="R44" s="4"/>
      <c r="S44" s="4"/>
      <c r="T44" s="4"/>
      <c r="U44" s="4"/>
      <c r="V44" s="4"/>
      <c r="W44" s="4"/>
      <c r="X44" s="4"/>
      <c r="Y44" s="4"/>
    </row>
    <row r="45" spans="1:25" s="167" customFormat="1" ht="15">
      <c r="A45" s="4"/>
      <c r="B45" s="4"/>
      <c r="C45" s="694" t="s">
        <v>721</v>
      </c>
      <c r="D45" s="694" t="s">
        <v>722</v>
      </c>
      <c r="E45" s="4"/>
      <c r="F45" s="4"/>
      <c r="G45" s="4"/>
      <c r="H45" s="4"/>
      <c r="I45" s="4"/>
      <c r="J45" s="4"/>
      <c r="K45" s="4"/>
      <c r="L45" s="4"/>
      <c r="M45" s="4"/>
      <c r="N45" s="4"/>
      <c r="O45" s="4"/>
      <c r="P45" s="4"/>
      <c r="Q45" s="4"/>
      <c r="R45" s="4"/>
      <c r="S45" s="4"/>
      <c r="T45" s="4"/>
      <c r="U45" s="4"/>
      <c r="V45" s="4"/>
      <c r="W45" s="4"/>
      <c r="X45" s="4"/>
      <c r="Y45" s="4"/>
    </row>
    <row r="46" spans="1:25" s="167" customFormat="1" ht="15">
      <c r="A46" s="4"/>
      <c r="B46" s="4"/>
      <c r="C46" s="695"/>
      <c r="D46" s="695"/>
      <c r="E46" s="4"/>
      <c r="F46" s="4"/>
      <c r="G46" s="4"/>
      <c r="H46" s="4"/>
      <c r="I46" s="4"/>
      <c r="J46" s="4"/>
      <c r="K46" s="4"/>
      <c r="L46" s="4"/>
      <c r="M46" s="4"/>
      <c r="N46" s="4"/>
      <c r="O46" s="4"/>
      <c r="P46" s="4"/>
      <c r="Q46" s="4"/>
      <c r="R46" s="4"/>
      <c r="S46" s="4"/>
      <c r="T46" s="4"/>
      <c r="U46" s="4"/>
      <c r="V46" s="4"/>
      <c r="W46" s="4"/>
      <c r="X46" s="4"/>
      <c r="Y46" s="4"/>
    </row>
    <row r="47" spans="1:25" s="167" customFormat="1" ht="15">
      <c r="A47" s="4"/>
      <c r="B47" s="4"/>
      <c r="C47" s="695"/>
      <c r="D47" s="695"/>
      <c r="E47" s="4"/>
      <c r="F47" s="4"/>
      <c r="G47" s="4"/>
      <c r="H47" s="4"/>
      <c r="I47" s="4"/>
      <c r="J47" s="4"/>
      <c r="K47" s="4"/>
      <c r="L47" s="4"/>
      <c r="M47" s="4"/>
      <c r="N47" s="4"/>
      <c r="O47" s="4"/>
      <c r="P47" s="4"/>
      <c r="Q47" s="4"/>
      <c r="R47" s="4"/>
      <c r="S47" s="4"/>
      <c r="T47" s="4"/>
      <c r="U47" s="4"/>
      <c r="V47" s="4"/>
      <c r="W47" s="4"/>
      <c r="X47" s="4"/>
      <c r="Y47" s="4"/>
    </row>
    <row r="48" spans="1:25" s="167" customFormat="1" ht="15">
      <c r="A48" s="4"/>
      <c r="B48" s="4"/>
      <c r="C48" s="695"/>
      <c r="D48" s="695"/>
      <c r="E48" s="4"/>
      <c r="F48" s="4"/>
      <c r="G48" s="4"/>
      <c r="H48" s="4"/>
      <c r="I48" s="4"/>
      <c r="J48" s="4"/>
      <c r="K48" s="4"/>
      <c r="L48" s="4"/>
      <c r="M48" s="4"/>
      <c r="N48" s="4"/>
      <c r="O48" s="4"/>
      <c r="P48" s="4"/>
      <c r="Q48" s="4"/>
      <c r="R48" s="4"/>
      <c r="S48" s="4"/>
      <c r="T48" s="4"/>
      <c r="U48" s="4"/>
      <c r="V48" s="4"/>
      <c r="W48" s="4"/>
      <c r="X48" s="4"/>
      <c r="Y48" s="4"/>
    </row>
    <row r="49" spans="1:25" s="8" customFormat="1" ht="15">
      <c r="A49" s="7"/>
      <c r="B49" s="7"/>
      <c r="C49" s="7"/>
      <c r="D49" s="7"/>
      <c r="E49" s="7"/>
      <c r="F49" s="7"/>
      <c r="G49" s="7"/>
      <c r="H49" s="7"/>
      <c r="I49" s="7"/>
      <c r="J49" s="7"/>
      <c r="K49" s="7"/>
      <c r="L49" s="7"/>
      <c r="M49" s="7"/>
      <c r="N49" s="7"/>
      <c r="O49" s="7"/>
      <c r="P49" s="7"/>
      <c r="Q49" s="7"/>
      <c r="R49" s="7"/>
      <c r="S49" s="7"/>
      <c r="T49" s="7"/>
      <c r="U49" s="7"/>
      <c r="V49" s="7"/>
      <c r="W49" s="7"/>
      <c r="X49" s="7"/>
      <c r="Y49" s="7"/>
    </row>
    <row r="50" spans="1:25" s="8" customFormat="1" ht="15">
      <c r="A50" s="7"/>
      <c r="B50" s="7"/>
      <c r="C50" s="7"/>
      <c r="D50" s="7"/>
      <c r="E50" s="7"/>
      <c r="F50" s="7"/>
      <c r="G50" s="7"/>
      <c r="H50" s="7"/>
      <c r="I50" s="7"/>
      <c r="J50" s="7"/>
      <c r="K50" s="7"/>
      <c r="L50" s="7"/>
      <c r="M50" s="7"/>
      <c r="N50" s="7"/>
      <c r="O50" s="7"/>
      <c r="P50" s="7"/>
      <c r="Q50" s="7"/>
      <c r="R50" s="7"/>
      <c r="S50" s="7"/>
      <c r="T50" s="7"/>
      <c r="U50" s="7"/>
      <c r="V50" s="7"/>
      <c r="W50" s="7"/>
      <c r="X50" s="7"/>
      <c r="Y50" s="7"/>
    </row>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sheetData>
  <sheetProtection/>
  <mergeCells count="5">
    <mergeCell ref="A4:Q4"/>
    <mergeCell ref="A5:Q5"/>
    <mergeCell ref="A9:Q9"/>
    <mergeCell ref="A6:Q6"/>
    <mergeCell ref="A8:Q8"/>
  </mergeCells>
  <printOptions horizontalCentered="1"/>
  <pageMargins left="0.25" right="0.25" top="0.5" bottom="0.5" header="0.5" footer="0.5"/>
  <pageSetup fitToHeight="1" fitToWidth="1" horizontalDpi="600" verticalDpi="600" orientation="landscape" scale="69" r:id="rId2"/>
  <drawing r:id="rId1"/>
</worksheet>
</file>

<file path=xl/worksheets/sheet9.xml><?xml version="1.0" encoding="utf-8"?>
<worksheet xmlns="http://schemas.openxmlformats.org/spreadsheetml/2006/main" xmlns:r="http://schemas.openxmlformats.org/officeDocument/2006/relationships">
  <sheetPr transitionEvaluation="1">
    <tabColor rgb="FF7030A0"/>
    <pageSetUpPr fitToPage="1"/>
  </sheetPr>
  <dimension ref="A1:L25"/>
  <sheetViews>
    <sheetView showGridLines="0" defaultGridColor="0" view="pageBreakPreview" zoomScaleNormal="70" zoomScaleSheetLayoutView="100" zoomScalePageLayoutView="0" colorId="22" workbookViewId="0" topLeftCell="A7">
      <selection activeCell="B28" sqref="B28"/>
    </sheetView>
  </sheetViews>
  <sheetFormatPr defaultColWidth="9.625" defaultRowHeight="12.75"/>
  <cols>
    <col min="1" max="1" width="2.50390625" style="13" customWidth="1"/>
    <col min="2" max="2" width="9.625" style="13" customWidth="1"/>
    <col min="3" max="3" width="30.50390625" style="13" bestFit="1" customWidth="1"/>
    <col min="4" max="4" width="26.625" style="13" bestFit="1" customWidth="1"/>
    <col min="5" max="5" width="6.75390625" style="13" customWidth="1"/>
    <col min="6" max="6" width="14.50390625" style="13" bestFit="1" customWidth="1"/>
    <col min="7" max="7" width="6.125" style="13" customWidth="1"/>
    <col min="8" max="8" width="15.00390625" style="13" customWidth="1"/>
    <col min="9" max="9" width="5.00390625" style="13" customWidth="1"/>
    <col min="10" max="10" width="24.375" style="13" bestFit="1" customWidth="1"/>
    <col min="11" max="11" width="5.25390625" style="13" customWidth="1"/>
    <col min="12" max="12" width="4.25390625" style="13" customWidth="1"/>
    <col min="13" max="16384" width="9.625" style="13" customWidth="1"/>
  </cols>
  <sheetData>
    <row r="1" spans="1:12" s="107" customFormat="1" ht="15">
      <c r="A1" s="177" t="s">
        <v>1108</v>
      </c>
      <c r="B1" s="168"/>
      <c r="C1" s="108"/>
      <c r="J1" s="168"/>
      <c r="L1" s="109"/>
    </row>
    <row r="2" spans="1:8" ht="15">
      <c r="A2" s="20"/>
      <c r="C2" s="14"/>
      <c r="D2" s="20"/>
      <c r="E2" s="20"/>
      <c r="F2" s="20"/>
      <c r="G2" s="20"/>
      <c r="H2" s="20"/>
    </row>
    <row r="3" spans="1:10" ht="15">
      <c r="A3" s="20"/>
      <c r="B3" s="20"/>
      <c r="D3" s="20"/>
      <c r="E3" s="20"/>
      <c r="F3" s="20"/>
      <c r="G3" s="20"/>
      <c r="H3" s="20"/>
      <c r="I3" s="20"/>
      <c r="J3" s="20"/>
    </row>
    <row r="6" spans="1:12" ht="15">
      <c r="A6" s="1542" t="s">
        <v>227</v>
      </c>
      <c r="B6" s="1542"/>
      <c r="C6" s="1542"/>
      <c r="D6" s="1542"/>
      <c r="E6" s="1542"/>
      <c r="F6" s="1542"/>
      <c r="G6" s="1542"/>
      <c r="H6" s="1542"/>
      <c r="I6" s="1542"/>
      <c r="J6" s="1542"/>
      <c r="K6" s="1542"/>
      <c r="L6" s="1542"/>
    </row>
    <row r="7" spans="1:12" ht="15">
      <c r="A7" s="1542" t="s">
        <v>111</v>
      </c>
      <c r="B7" s="1542"/>
      <c r="C7" s="1542"/>
      <c r="D7" s="1542"/>
      <c r="E7" s="1542"/>
      <c r="F7" s="1542"/>
      <c r="G7" s="1542"/>
      <c r="H7" s="1542"/>
      <c r="I7" s="1542"/>
      <c r="J7" s="1542"/>
      <c r="K7" s="1542"/>
      <c r="L7" s="1542"/>
    </row>
    <row r="8" spans="1:12" ht="15">
      <c r="A8" s="1528" t="str">
        <f>SUMMARY!A7</f>
        <v>YEAR ENDING DECEMBER 31, 2015</v>
      </c>
      <c r="B8" s="1528"/>
      <c r="C8" s="1528"/>
      <c r="D8" s="1528"/>
      <c r="E8" s="1528"/>
      <c r="F8" s="1528"/>
      <c r="G8" s="1528"/>
      <c r="H8" s="1528"/>
      <c r="I8" s="1528"/>
      <c r="J8" s="1528"/>
      <c r="K8" s="1528"/>
      <c r="L8" s="1528"/>
    </row>
    <row r="9" spans="1:12" ht="15">
      <c r="A9" s="322"/>
      <c r="B9" s="322"/>
      <c r="C9" s="322"/>
      <c r="D9" s="322"/>
      <c r="E9" s="322"/>
      <c r="F9" s="322"/>
      <c r="G9" s="322"/>
      <c r="H9" s="322"/>
      <c r="I9" s="322"/>
      <c r="J9" s="322"/>
      <c r="K9" s="322"/>
      <c r="L9" s="322"/>
    </row>
    <row r="10" spans="1:12" ht="15">
      <c r="A10" s="1543" t="s">
        <v>1107</v>
      </c>
      <c r="B10" s="1543"/>
      <c r="C10" s="1543"/>
      <c r="D10" s="1543"/>
      <c r="E10" s="1543"/>
      <c r="F10" s="1543"/>
      <c r="G10" s="1543"/>
      <c r="H10" s="1543"/>
      <c r="I10" s="1543"/>
      <c r="J10" s="1543"/>
      <c r="K10" s="1543"/>
      <c r="L10" s="1543"/>
    </row>
    <row r="11" spans="1:12" ht="15">
      <c r="A11" s="1542" t="s">
        <v>901</v>
      </c>
      <c r="B11" s="1542"/>
      <c r="C11" s="1542"/>
      <c r="D11" s="1542"/>
      <c r="E11" s="1542"/>
      <c r="F11" s="1542"/>
      <c r="G11" s="1542"/>
      <c r="H11" s="1542"/>
      <c r="I11" s="1542"/>
      <c r="J11" s="1542"/>
      <c r="K11" s="1542"/>
      <c r="L11" s="1542"/>
    </row>
    <row r="12" spans="1:12" ht="15">
      <c r="A12" s="1542"/>
      <c r="B12" s="1542"/>
      <c r="C12" s="1542"/>
      <c r="D12" s="1542"/>
      <c r="E12" s="1542"/>
      <c r="F12" s="1542"/>
      <c r="G12" s="1542"/>
      <c r="H12" s="1542"/>
      <c r="I12" s="1542"/>
      <c r="J12" s="1542"/>
      <c r="K12" s="1542"/>
      <c r="L12" s="1542"/>
    </row>
    <row r="14" s="27" customFormat="1" ht="12.75"/>
    <row r="15" s="27" customFormat="1" ht="15">
      <c r="H15" s="831"/>
    </row>
    <row r="16" spans="1:10" s="1043" customFormat="1" ht="15">
      <c r="A16" s="21"/>
      <c r="B16" s="21"/>
      <c r="C16" s="21"/>
      <c r="D16" s="1392" t="s">
        <v>1010</v>
      </c>
      <c r="E16" s="21"/>
      <c r="F16" s="1392" t="s">
        <v>1011</v>
      </c>
      <c r="G16" s="21"/>
      <c r="H16" s="1139" t="s">
        <v>1013</v>
      </c>
      <c r="I16" s="21"/>
      <c r="J16" s="1140"/>
    </row>
    <row r="17" spans="1:10" s="1043" customFormat="1" ht="15">
      <c r="A17" s="21"/>
      <c r="B17" s="985" t="s">
        <v>1</v>
      </c>
      <c r="C17" s="985" t="s">
        <v>55</v>
      </c>
      <c r="D17" s="985" t="s">
        <v>1110</v>
      </c>
      <c r="E17" s="1396"/>
      <c r="F17" s="985" t="s">
        <v>1111</v>
      </c>
      <c r="G17" s="1396"/>
      <c r="H17" s="1140" t="s">
        <v>1012</v>
      </c>
      <c r="I17" s="1396"/>
      <c r="J17" s="1140" t="s">
        <v>56</v>
      </c>
    </row>
    <row r="18" spans="1:10" s="27" customFormat="1" ht="15">
      <c r="A18" s="20"/>
      <c r="C18" s="20"/>
      <c r="D18" s="1141" t="s">
        <v>220</v>
      </c>
      <c r="E18" s="20"/>
      <c r="F18" s="1141" t="s">
        <v>221</v>
      </c>
      <c r="G18" s="20"/>
      <c r="H18" s="1141" t="s">
        <v>222</v>
      </c>
      <c r="I18" s="20"/>
      <c r="J18" s="1141" t="s">
        <v>223</v>
      </c>
    </row>
    <row r="19" s="27" customFormat="1" ht="12.75"/>
    <row r="20" s="27" customFormat="1" ht="12.75"/>
    <row r="21" spans="1:10" s="27" customFormat="1" ht="15">
      <c r="A21" s="20"/>
      <c r="B21" s="1392">
        <v>1</v>
      </c>
      <c r="C21" s="831" t="s">
        <v>1309</v>
      </c>
      <c r="D21" s="1142">
        <f>+'WP-DA'!K14</f>
        <v>0.4</v>
      </c>
      <c r="E21" s="20"/>
      <c r="F21" s="1143">
        <f>'WP-DA'!M14</f>
        <v>0.04768816130706849</v>
      </c>
      <c r="G21" s="20"/>
      <c r="H21" s="1143">
        <f>D21*F21</f>
        <v>0.019075264522827397</v>
      </c>
      <c r="I21" s="20"/>
      <c r="J21" s="20" t="s">
        <v>903</v>
      </c>
    </row>
    <row r="22" spans="1:10" s="27" customFormat="1" ht="15">
      <c r="A22" s="20"/>
      <c r="B22" s="21"/>
      <c r="C22" s="20"/>
      <c r="D22" s="1144"/>
      <c r="E22" s="20"/>
      <c r="F22" s="1145"/>
      <c r="G22" s="20"/>
      <c r="H22" s="1145"/>
      <c r="I22" s="20"/>
      <c r="J22" s="20"/>
    </row>
    <row r="23" spans="1:10" s="27" customFormat="1" ht="15">
      <c r="A23" s="20"/>
      <c r="B23" s="1392">
        <v>2</v>
      </c>
      <c r="C23" s="985" t="s">
        <v>57</v>
      </c>
      <c r="D23" s="1146">
        <f>+'WP-DA'!K18</f>
        <v>0.6</v>
      </c>
      <c r="E23" s="20"/>
      <c r="F23" s="1147">
        <f>'WP-DA'!M18</f>
        <v>0.09150000000000001</v>
      </c>
      <c r="G23" s="20"/>
      <c r="H23" s="1148">
        <f>D23*F23</f>
        <v>0.054900000000000004</v>
      </c>
      <c r="I23" s="20"/>
      <c r="J23" s="20" t="s">
        <v>903</v>
      </c>
    </row>
    <row r="24" spans="1:10" s="27" customFormat="1" ht="15">
      <c r="A24" s="20"/>
      <c r="B24" s="21"/>
      <c r="C24" s="20"/>
      <c r="D24" s="1144"/>
      <c r="E24" s="20"/>
      <c r="F24" s="20"/>
      <c r="G24" s="20"/>
      <c r="H24" s="20"/>
      <c r="I24" s="20"/>
      <c r="J24" s="20"/>
    </row>
    <row r="25" spans="1:10" s="27" customFormat="1" ht="15">
      <c r="A25" s="20"/>
      <c r="B25" s="1392">
        <v>3</v>
      </c>
      <c r="C25" s="831" t="s">
        <v>58</v>
      </c>
      <c r="D25" s="1142">
        <f>SUM(D21:D23)</f>
        <v>1</v>
      </c>
      <c r="E25" s="20"/>
      <c r="F25" s="20"/>
      <c r="G25" s="20"/>
      <c r="H25" s="1149">
        <f>SUM(H21:H23)</f>
        <v>0.0739752645228274</v>
      </c>
      <c r="I25" s="20"/>
      <c r="J25" s="20" t="s">
        <v>904</v>
      </c>
    </row>
    <row r="26" s="27" customFormat="1" ht="12.75"/>
    <row r="27" s="27" customFormat="1" ht="12.75"/>
    <row r="28" s="27" customFormat="1" ht="12.75"/>
  </sheetData>
  <sheetProtection/>
  <mergeCells count="6">
    <mergeCell ref="A12:L12"/>
    <mergeCell ref="A6:L6"/>
    <mergeCell ref="A7:L7"/>
    <mergeCell ref="A11:L11"/>
    <mergeCell ref="A10:L10"/>
    <mergeCell ref="A8:L8"/>
  </mergeCells>
  <printOptions horizontalCentered="1"/>
  <pageMargins left="0.25" right="0.25" top="0.25" bottom="0.25" header="0.5" footer="0.5"/>
  <pageSetup fitToHeight="1" fitToWidth="1"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RSI,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Tarney</dc:creator>
  <cp:keywords/>
  <dc:description/>
  <cp:lastModifiedBy>Kamalya Marano</cp:lastModifiedBy>
  <cp:lastPrinted>2016-06-24T18:06:14Z</cp:lastPrinted>
  <dcterms:created xsi:type="dcterms:W3CDTF">1997-11-24T21:15:50Z</dcterms:created>
  <dcterms:modified xsi:type="dcterms:W3CDTF">2016-06-30T17:49:35Z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ildDocFolderPath">
    <vt:lpwstr/>
  </property>
  <property fmtid="{D5CDD505-2E9C-101B-9397-08002B2CF9AE}" pid="3" name="LongTitle">
    <vt:lpwstr>NYPA Annual Transmission Revenue Requirement template, updated for the Rate Year July 1, 2016 through June 30, 2017 - Excel</vt:lpwstr>
  </property>
  <property fmtid="{D5CDD505-2E9C-101B-9397-08002B2CF9AE}" pid="4" name="PubName">
    <vt:lpwstr>2016-06-30T00:00:00Z</vt:lpwstr>
  </property>
  <property fmtid="{D5CDD505-2E9C-101B-9397-08002B2CF9AE}" pid="5" name="DocType">
    <vt:lpwstr/>
  </property>
  <property fmtid="{D5CDD505-2E9C-101B-9397-08002B2CF9AE}" pid="6" name="SubTitle">
    <vt:lpwstr/>
  </property>
  <property fmtid="{D5CDD505-2E9C-101B-9397-08002B2CF9AE}" pid="7" name="LeftPane">
    <vt:lpwstr>0</vt:lpwstr>
  </property>
</Properties>
</file>