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0" yWindow="0" windowWidth="15336" windowHeight="7848" tabRatio="918" activeTab="1"/>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 Const Loan True-up" sheetId="19" r:id="rId13"/>
    <sheet name="9- Depreciation Rates" sheetId="20" r:id="rId14"/>
    <sheet name="10 - Workpaper" sheetId="36" r:id="rId15"/>
  </sheets>
  <externalReferences>
    <externalReference r:id="rId16"/>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Incentives'!$A$1:$Q$144</definedName>
    <definedName name="_xlnm.Print_Area" localSheetId="7">'5  LTD'!$A$1:$J$100</definedName>
    <definedName name="_xlnm.Print_Area" localSheetId="8">'6a- ADIT'!$A$1:$H$102</definedName>
    <definedName name="_xlnm.Print_Area" localSheetId="9">'6b- ADIT'!$A$1:$H$102</definedName>
    <definedName name="_xlnm.Print_Area" localSheetId="10">'7 - True-Up'!$A$1:$K$59</definedName>
    <definedName name="_xlnm.Print_Area" localSheetId="12">'8 - Const Loan True-up'!$A$1:$O$259</definedName>
    <definedName name="_xlnm.Print_Area" localSheetId="13">'9- Depreciation Rates'!$A$1:$D$69</definedName>
    <definedName name="_xlnm.Print_Area" localSheetId="1">'Appendix A'!$A$1:$M$315</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45621" iterate="1"/>
</workbook>
</file>

<file path=xl/calcChain.xml><?xml version="1.0" encoding="utf-8"?>
<calcChain xmlns="http://schemas.openxmlformats.org/spreadsheetml/2006/main">
  <c r="F13" i="9" l="1"/>
  <c r="F45" i="9"/>
  <c r="C10" i="36" l="1"/>
  <c r="F184" i="9" l="1"/>
  <c r="F183" i="9"/>
  <c r="F185" i="9" s="1"/>
  <c r="E145" i="3" l="1"/>
  <c r="D241" i="3" l="1"/>
  <c r="D117" i="25" l="1"/>
  <c r="F28" i="28" l="1"/>
  <c r="F29" i="28"/>
  <c r="F35" i="28"/>
  <c r="Q12" i="38"/>
  <c r="E156" i="3"/>
  <c r="E155" i="3"/>
  <c r="F148" i="9"/>
  <c r="F149" i="9" s="1"/>
  <c r="F150" i="9" s="1"/>
  <c r="F151" i="9" s="1"/>
  <c r="F152" i="9" s="1"/>
  <c r="F153" i="9" s="1"/>
  <c r="F131" i="9"/>
  <c r="F99" i="9"/>
  <c r="F63" i="9"/>
  <c r="F64" i="9" s="1"/>
  <c r="F65" i="9" s="1"/>
  <c r="F66" i="9" s="1"/>
  <c r="F67" i="9" s="1"/>
  <c r="L70" i="36" l="1"/>
  <c r="F132" i="9" l="1"/>
  <c r="F133" i="9" s="1"/>
  <c r="F134" i="9" s="1"/>
  <c r="F135" i="9" s="1"/>
  <c r="F136" i="9" s="1"/>
  <c r="F137" i="9" s="1"/>
  <c r="F100" i="9"/>
  <c r="F101" i="9" s="1"/>
  <c r="F102" i="9" s="1"/>
  <c r="F103" i="9" s="1"/>
  <c r="F104" i="9" s="1"/>
  <c r="F105" i="9" s="1"/>
  <c r="F46" i="9"/>
  <c r="F47" i="9" s="1"/>
  <c r="F48" i="9" s="1"/>
  <c r="F49" i="9" s="1"/>
  <c r="F50" i="9" s="1"/>
  <c r="F51" i="9" s="1"/>
  <c r="F14" i="9"/>
  <c r="F15" i="9" s="1"/>
  <c r="F16" i="9" s="1"/>
  <c r="F17" i="9" s="1"/>
  <c r="F18" i="9" s="1"/>
  <c r="F19" i="9" s="1"/>
  <c r="E8" i="9"/>
  <c r="E100" i="9" s="1"/>
  <c r="F193" i="9" l="1"/>
  <c r="F194" i="9" s="1"/>
  <c r="F179" i="9" s="1"/>
  <c r="L148" i="25"/>
  <c r="L150" i="25" s="1"/>
  <c r="E27" i="9"/>
  <c r="H10" i="30"/>
  <c r="D93" i="25" l="1"/>
  <c r="D60" i="25"/>
  <c r="B91" i="25"/>
  <c r="B58" i="25"/>
  <c r="B26" i="25"/>
  <c r="V79" i="36" l="1"/>
  <c r="V71" i="36"/>
  <c r="T80" i="36"/>
  <c r="V80" i="36" s="1"/>
  <c r="T79" i="36"/>
  <c r="T78" i="36"/>
  <c r="V78" i="36" s="1"/>
  <c r="T77" i="36"/>
  <c r="V77" i="36" s="1"/>
  <c r="T76" i="36"/>
  <c r="V76" i="36" s="1"/>
  <c r="T75" i="36"/>
  <c r="V75" i="36" s="1"/>
  <c r="T74" i="36"/>
  <c r="V74" i="36" s="1"/>
  <c r="T73" i="36"/>
  <c r="V73" i="36" s="1"/>
  <c r="T72" i="36"/>
  <c r="V72" i="36" s="1"/>
  <c r="T71" i="36"/>
  <c r="T70" i="36"/>
  <c r="V70" i="36" s="1"/>
  <c r="V81" i="36" l="1"/>
  <c r="F154" i="29"/>
  <c r="F144" i="29"/>
  <c r="F165" i="29" l="1"/>
  <c r="F133" i="29"/>
  <c r="C7" i="39" l="1"/>
  <c r="C4" i="39"/>
  <c r="C5" i="39"/>
  <c r="K5" i="39"/>
  <c r="K6" i="39"/>
  <c r="F66" i="28" l="1"/>
  <c r="F65" i="28"/>
  <c r="F26" i="29" l="1"/>
  <c r="M101" i="36" l="1"/>
  <c r="R58" i="36"/>
  <c r="M73" i="29"/>
  <c r="I41" i="29"/>
  <c r="I40" i="29"/>
  <c r="I39" i="29"/>
  <c r="I38" i="29"/>
  <c r="I37" i="29"/>
  <c r="I42" i="29" s="1"/>
  <c r="I36" i="29"/>
  <c r="F68" i="9"/>
  <c r="F52" i="9"/>
  <c r="D29" i="5"/>
  <c r="E29" i="5"/>
  <c r="F29" i="5"/>
  <c r="C28" i="5"/>
  <c r="C27" i="5"/>
  <c r="C26" i="5"/>
  <c r="C25" i="5"/>
  <c r="N82" i="3" l="1"/>
  <c r="C29" i="5"/>
  <c r="F154" i="9" l="1"/>
  <c r="F138" i="9"/>
  <c r="N89" i="3" l="1"/>
  <c r="Y40" i="36"/>
  <c r="Y39" i="36"/>
  <c r="Y38" i="36"/>
  <c r="Y37" i="36"/>
  <c r="Z37" i="36" s="1"/>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Y10" i="36"/>
  <c r="W11" i="36"/>
  <c r="W12" i="36"/>
  <c r="Z12" i="36" s="1"/>
  <c r="W13" i="36"/>
  <c r="Z13" i="36" s="1"/>
  <c r="W14" i="36"/>
  <c r="Z14" i="36" s="1"/>
  <c r="W15" i="36"/>
  <c r="W16" i="36"/>
  <c r="Z16" i="36" s="1"/>
  <c r="W17" i="36"/>
  <c r="Z17" i="36" s="1"/>
  <c r="W18" i="36"/>
  <c r="Z18" i="36" s="1"/>
  <c r="W19" i="36"/>
  <c r="W20" i="36"/>
  <c r="Z20" i="36" s="1"/>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7" i="3"/>
  <c r="G10" i="36" l="1"/>
  <c r="I10" i="36" s="1"/>
  <c r="E143" i="3" s="1"/>
  <c r="O10" i="36"/>
  <c r="Z19" i="36"/>
  <c r="Z15" i="36"/>
  <c r="Z11" i="36"/>
  <c r="Z30" i="36"/>
  <c r="Z34" i="36"/>
  <c r="Z38" i="36"/>
  <c r="Z31" i="36"/>
  <c r="Z35" i="36"/>
  <c r="Z39" i="36"/>
  <c r="Z32" i="36"/>
  <c r="Z36" i="36"/>
  <c r="Z40" i="36"/>
  <c r="H9" i="29"/>
  <c r="H227" i="3"/>
  <c r="H226" i="3"/>
  <c r="H224" i="3"/>
  <c r="D146" i="3"/>
  <c r="D147" i="3"/>
  <c r="E147" i="3"/>
  <c r="E146" i="3"/>
  <c r="E113" i="3"/>
  <c r="E103" i="3"/>
  <c r="P10" i="36" l="1"/>
  <c r="Q10" i="36" s="1"/>
  <c r="R10" i="36" s="1"/>
  <c r="S10" i="36" s="1"/>
  <c r="T10" i="36" s="1"/>
  <c r="U10" i="36" s="1"/>
  <c r="V10" i="36" s="1"/>
  <c r="W10" i="36"/>
  <c r="Z10" i="36" s="1"/>
  <c r="C117" i="25" s="1"/>
  <c r="I21" i="36"/>
  <c r="E150" i="3" s="1"/>
  <c r="E149" i="3" l="1"/>
  <c r="P117" i="25"/>
  <c r="Z21" i="36"/>
  <c r="E104" i="3" s="1"/>
  <c r="Z41" i="36"/>
  <c r="E105" i="3" s="1"/>
  <c r="J105" i="3" s="1"/>
  <c r="M243" i="3" s="1"/>
  <c r="D84" i="25"/>
  <c r="H143" i="36"/>
  <c r="H144" i="36"/>
  <c r="H145" i="36"/>
  <c r="H146" i="36"/>
  <c r="H147" i="36"/>
  <c r="H148" i="36"/>
  <c r="H149" i="36"/>
  <c r="H150" i="36"/>
  <c r="H151" i="36"/>
  <c r="H152" i="36"/>
  <c r="H153" i="36"/>
  <c r="H154" i="36"/>
  <c r="H155" i="36"/>
  <c r="H156" i="36"/>
  <c r="H157" i="36"/>
  <c r="H158" i="36"/>
  <c r="H142" i="36"/>
  <c r="G159" i="36"/>
  <c r="F159" i="36"/>
  <c r="E159" i="36"/>
  <c r="D159" i="36"/>
  <c r="C159" i="36"/>
  <c r="E102" i="3" l="1"/>
  <c r="G7" i="29"/>
  <c r="H159" i="36"/>
  <c r="E2" i="38" l="1"/>
  <c r="D2" i="29"/>
  <c r="P40" i="38"/>
  <c r="I234" i="3" s="1"/>
  <c r="G17" i="25" s="1"/>
  <c r="P33" i="38"/>
  <c r="H22" i="38"/>
  <c r="G22" i="38"/>
  <c r="F22" i="38"/>
  <c r="E22" i="38"/>
  <c r="D22" i="38"/>
  <c r="B22" i="38"/>
  <c r="Q21" i="38"/>
  <c r="Q20" i="38"/>
  <c r="Q19" i="38"/>
  <c r="Q16" i="38"/>
  <c r="F234" i="3" s="1"/>
  <c r="P14" i="38"/>
  <c r="O14" i="38"/>
  <c r="N14" i="38"/>
  <c r="N22" i="38" s="1"/>
  <c r="M14" i="38"/>
  <c r="M22" i="38" s="1"/>
  <c r="L14" i="38"/>
  <c r="K14" i="38"/>
  <c r="J14" i="38"/>
  <c r="J22" i="38" s="1"/>
  <c r="I14" i="38"/>
  <c r="H14" i="38"/>
  <c r="H24" i="38" s="1"/>
  <c r="G14" i="38"/>
  <c r="G24" i="38" s="1"/>
  <c r="F14" i="38"/>
  <c r="E14" i="38"/>
  <c r="D14" i="38"/>
  <c r="D24" i="38" s="1"/>
  <c r="Q13" i="38"/>
  <c r="Q11" i="38"/>
  <c r="Q10" i="38"/>
  <c r="E24" i="38" l="1"/>
  <c r="O22" i="38"/>
  <c r="O24" i="38" s="1"/>
  <c r="L22" i="38"/>
  <c r="L24" i="38" s="1"/>
  <c r="P22" i="38"/>
  <c r="P24" i="38" s="1"/>
  <c r="K22" i="38"/>
  <c r="K24" i="38" s="1"/>
  <c r="Q18" i="38"/>
  <c r="Q22" i="38" s="1"/>
  <c r="F235" i="3" s="1"/>
  <c r="M24" i="38"/>
  <c r="I22" i="38"/>
  <c r="I24" i="38" s="1"/>
  <c r="G82" i="25"/>
  <c r="G49" i="25"/>
  <c r="F24" i="38"/>
  <c r="J24" i="38"/>
  <c r="N24" i="38"/>
  <c r="Q14" i="38"/>
  <c r="F233" i="3" s="1"/>
  <c r="A10" i="38"/>
  <c r="A11" i="38" s="1"/>
  <c r="A12" i="38" s="1"/>
  <c r="A13" i="38" s="1"/>
  <c r="A14" i="38" s="1"/>
  <c r="A15" i="38" s="1"/>
  <c r="A16" i="38" s="1"/>
  <c r="A17" i="38" s="1"/>
  <c r="A18" i="38" s="1"/>
  <c r="Q24" i="38" l="1"/>
  <c r="P35" i="38"/>
  <c r="C14" i="38"/>
  <c r="A19" i="38"/>
  <c r="A20" i="38" s="1"/>
  <c r="A21" i="38" s="1"/>
  <c r="A22" i="38" s="1"/>
  <c r="A23" i="38" s="1"/>
  <c r="A24" i="38" s="1"/>
  <c r="A25" i="38" s="1"/>
  <c r="A26" i="38" s="1"/>
  <c r="A27" i="38" s="1"/>
  <c r="A28" i="38" l="1"/>
  <c r="A29" i="38" s="1"/>
  <c r="A30" i="38" s="1"/>
  <c r="A31" i="38" s="1"/>
  <c r="A32" i="38" s="1"/>
  <c r="A33" i="38" s="1"/>
  <c r="B24" i="38"/>
  <c r="C22" i="38"/>
  <c r="B35" i="38" l="1"/>
  <c r="A34" i="38"/>
  <c r="A35" i="38" s="1"/>
  <c r="A36" i="38" s="1"/>
  <c r="A37" i="38" s="1"/>
  <c r="A38" i="38" s="1"/>
  <c r="C33" i="38"/>
  <c r="B40" i="38" l="1"/>
  <c r="A39" i="38"/>
  <c r="A40" i="38" s="1"/>
  <c r="D40" i="28" l="1"/>
  <c r="E40" i="28" s="1"/>
  <c r="F40" i="28" s="1"/>
  <c r="G40" i="28" s="1"/>
  <c r="H40" i="28" s="1"/>
  <c r="H134" i="36" l="1"/>
  <c r="M108" i="36" l="1"/>
  <c r="M107" i="36"/>
  <c r="M106" i="36"/>
  <c r="M105" i="36"/>
  <c r="M104" i="36"/>
  <c r="M103" i="36"/>
  <c r="M102" i="36"/>
  <c r="M100" i="36"/>
  <c r="M99" i="36"/>
  <c r="M98" i="36"/>
  <c r="M97" i="36"/>
  <c r="M96" i="36"/>
  <c r="M95" i="36"/>
  <c r="M94" i="36"/>
  <c r="M93" i="36"/>
  <c r="M92" i="36"/>
  <c r="M109" i="36" l="1"/>
  <c r="R60" i="36"/>
  <c r="R59" i="36"/>
  <c r="R57" i="36"/>
  <c r="R56" i="36"/>
  <c r="R55" i="36"/>
  <c r="R54" i="36"/>
  <c r="R53" i="36"/>
  <c r="R52" i="36"/>
  <c r="R51" i="36"/>
  <c r="S61" i="36" l="1"/>
  <c r="E108" i="3" s="1"/>
  <c r="C273" i="3" l="1"/>
  <c r="E67" i="28" l="1"/>
  <c r="F67" i="28" s="1"/>
  <c r="J149" i="3" l="1"/>
  <c r="A51" i="28" l="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F135" i="29" l="1"/>
  <c r="B109" i="25" l="1"/>
  <c r="C172" i="29" l="1"/>
  <c r="F175" i="29"/>
  <c r="F177" i="29" s="1"/>
  <c r="F179" i="29" l="1"/>
  <c r="J40" i="25"/>
  <c r="J104" i="25" s="1"/>
  <c r="G18" i="25" l="1"/>
  <c r="G50" i="25" s="1"/>
  <c r="D51" i="25"/>
  <c r="F167" i="29"/>
  <c r="F155" i="29"/>
  <c r="F157" i="29" s="1"/>
  <c r="F145" i="29"/>
  <c r="F147" i="29" s="1"/>
  <c r="E115" i="25" l="1"/>
  <c r="E116" i="25" s="1"/>
  <c r="E117" i="25" s="1"/>
  <c r="E118" i="25" s="1"/>
  <c r="E119" i="25" s="1"/>
  <c r="E120" i="25" s="1"/>
  <c r="E121" i="25" s="1"/>
  <c r="E122" i="25" s="1"/>
  <c r="E123" i="25" s="1"/>
  <c r="E124" i="25" s="1"/>
  <c r="E125" i="25" s="1"/>
  <c r="E126" i="25" s="1"/>
  <c r="E127" i="25" s="1"/>
  <c r="E128" i="25" s="1"/>
  <c r="E129" i="25" s="1"/>
  <c r="E130" i="25" s="1"/>
  <c r="E131" i="25" s="1"/>
  <c r="E132" i="25" s="1"/>
  <c r="G83" i="25"/>
  <c r="F169" i="29"/>
  <c r="F159" i="29"/>
  <c r="F149" i="29"/>
  <c r="C174" i="3" l="1"/>
  <c r="J146" i="3" l="1"/>
  <c r="D25" i="3" l="1"/>
  <c r="H101" i="29" l="1"/>
  <c r="H102" i="29"/>
  <c r="H103" i="29"/>
  <c r="H104" i="29"/>
  <c r="H105" i="29"/>
  <c r="H106" i="29"/>
  <c r="H107" i="29"/>
  <c r="H108" i="29"/>
  <c r="H109" i="29"/>
  <c r="H110" i="29"/>
  <c r="H111" i="29"/>
  <c r="H112" i="29"/>
  <c r="H100" i="29"/>
  <c r="H114" i="29" l="1"/>
  <c r="E112" i="3" s="1"/>
  <c r="J102" i="3" l="1"/>
  <c r="M242" i="3" l="1"/>
  <c r="A7" i="30"/>
  <c r="A8" i="30" s="1"/>
  <c r="A9" i="30" s="1"/>
  <c r="A10" i="30" s="1"/>
  <c r="A12" i="30" s="1"/>
  <c r="A13" i="30" s="1"/>
  <c r="G9" i="17"/>
  <c r="D21" i="17" s="1"/>
  <c r="D22" i="17" s="1"/>
  <c r="D23" i="17" s="1"/>
  <c r="D24" i="17" s="1"/>
  <c r="J216" i="3"/>
  <c r="E157" i="3"/>
  <c r="E158" i="3" s="1"/>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94" i="9"/>
  <c r="E93"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4" i="9"/>
  <c r="E12" i="9"/>
  <c r="E11" i="9"/>
  <c r="E10" i="9"/>
  <c r="E9" i="9"/>
  <c r="E23" i="9"/>
  <c r="C183" i="29"/>
  <c r="F137" i="29"/>
  <c r="F139" i="29" s="1"/>
  <c r="F125" i="29"/>
  <c r="F127" i="29" s="1"/>
  <c r="F129" i="29" s="1"/>
  <c r="G88" i="29"/>
  <c r="I79" i="29"/>
  <c r="E171" i="3"/>
  <c r="I64" i="29"/>
  <c r="G5" i="29"/>
  <c r="E101" i="3" s="1"/>
  <c r="C245" i="3"/>
  <c r="F52" i="28"/>
  <c r="E18" i="25"/>
  <c r="E50" i="25" s="1"/>
  <c r="E16" i="25"/>
  <c r="E48" i="25" s="1"/>
  <c r="E81" i="25" s="1"/>
  <c r="C43" i="28"/>
  <c r="D43" i="28"/>
  <c r="I66" i="28"/>
  <c r="F32" i="28"/>
  <c r="J51" i="28" s="1"/>
  <c r="A15" i="20"/>
  <c r="A17" i="20" s="1"/>
  <c r="A19" i="20" s="1"/>
  <c r="A21" i="20" s="1"/>
  <c r="A23" i="20" s="1"/>
  <c r="C19" i="3"/>
  <c r="C247" i="3" s="1"/>
  <c r="B22" i="17"/>
  <c r="B23" i="17" s="1"/>
  <c r="B24" i="17" s="1"/>
  <c r="B25" i="17" s="1"/>
  <c r="B26" i="17" s="1"/>
  <c r="B27" i="17" s="1"/>
  <c r="B28" i="17" s="1"/>
  <c r="B29" i="17" s="1"/>
  <c r="B30" i="17" s="1"/>
  <c r="B31" i="17" s="1"/>
  <c r="B32" i="17" s="1"/>
  <c r="C239" i="19"/>
  <c r="C240" i="19" s="1"/>
  <c r="C241" i="19" s="1"/>
  <c r="C242" i="19" s="1"/>
  <c r="C243" i="19" s="1"/>
  <c r="C244" i="19" s="1"/>
  <c r="C245" i="19" s="1"/>
  <c r="C246" i="19" s="1"/>
  <c r="C247" i="19" s="1"/>
  <c r="C248" i="19" s="1"/>
  <c r="C249" i="19" s="1"/>
  <c r="I219" i="19"/>
  <c r="I220" i="19" s="1"/>
  <c r="I221" i="19" s="1"/>
  <c r="I222" i="19" s="1"/>
  <c r="I223" i="19" s="1"/>
  <c r="I224" i="19" s="1"/>
  <c r="I225" i="19" s="1"/>
  <c r="I226" i="19" s="1"/>
  <c r="I227" i="19" s="1"/>
  <c r="I228" i="19" s="1"/>
  <c r="I229" i="19" s="1"/>
  <c r="C219" i="19"/>
  <c r="C220" i="19" s="1"/>
  <c r="C221" i="19" s="1"/>
  <c r="C222" i="19" s="1"/>
  <c r="C223" i="19" s="1"/>
  <c r="C224" i="19" s="1"/>
  <c r="C225" i="19" s="1"/>
  <c r="C226" i="19" s="1"/>
  <c r="C227" i="19" s="1"/>
  <c r="C228" i="19" s="1"/>
  <c r="C229" i="19" s="1"/>
  <c r="G218" i="19"/>
  <c r="C197" i="19"/>
  <c r="C198" i="19" s="1"/>
  <c r="C199" i="19" s="1"/>
  <c r="C200" i="19" s="1"/>
  <c r="C201" i="19" s="1"/>
  <c r="C202" i="19" s="1"/>
  <c r="C203" i="19" s="1"/>
  <c r="C204" i="19" s="1"/>
  <c r="C205" i="19" s="1"/>
  <c r="C206" i="19" s="1"/>
  <c r="C207" i="19" s="1"/>
  <c r="G191" i="19"/>
  <c r="G192" i="19" s="1"/>
  <c r="G196" i="19" s="1"/>
  <c r="I176" i="19"/>
  <c r="I177" i="19" s="1"/>
  <c r="I178" i="19" s="1"/>
  <c r="I179" i="19" s="1"/>
  <c r="I180" i="19" s="1"/>
  <c r="I181" i="19" s="1"/>
  <c r="I182" i="19" s="1"/>
  <c r="I183" i="19" s="1"/>
  <c r="I184" i="19" s="1"/>
  <c r="I185" i="19" s="1"/>
  <c r="I186" i="19" s="1"/>
  <c r="C176" i="19"/>
  <c r="C177" i="19" s="1"/>
  <c r="C178" i="19" s="1"/>
  <c r="C179" i="19" s="1"/>
  <c r="C180" i="19" s="1"/>
  <c r="C181" i="19" s="1"/>
  <c r="C182" i="19" s="1"/>
  <c r="C183" i="19" s="1"/>
  <c r="C184" i="19" s="1"/>
  <c r="C185" i="19" s="1"/>
  <c r="C186" i="19" s="1"/>
  <c r="G175" i="19"/>
  <c r="C150" i="19"/>
  <c r="C151" i="19" s="1"/>
  <c r="C152" i="19" s="1"/>
  <c r="C153" i="19" s="1"/>
  <c r="C154" i="19" s="1"/>
  <c r="C155" i="19" s="1"/>
  <c r="C156" i="19" s="1"/>
  <c r="C157" i="19" s="1"/>
  <c r="C158" i="19" s="1"/>
  <c r="C159" i="19" s="1"/>
  <c r="C160" i="19" s="1"/>
  <c r="G144" i="19"/>
  <c r="G145" i="19" s="1"/>
  <c r="G149" i="19" s="1"/>
  <c r="G150" i="19" s="1"/>
  <c r="G151" i="19" s="1"/>
  <c r="G152" i="19" s="1"/>
  <c r="G143" i="19"/>
  <c r="I128" i="19"/>
  <c r="I129" i="19" s="1"/>
  <c r="I130" i="19" s="1"/>
  <c r="I131" i="19" s="1"/>
  <c r="I132" i="19" s="1"/>
  <c r="I133" i="19" s="1"/>
  <c r="I134" i="19" s="1"/>
  <c r="I135" i="19" s="1"/>
  <c r="I136" i="19" s="1"/>
  <c r="I137" i="19" s="1"/>
  <c r="I138" i="19" s="1"/>
  <c r="C128" i="19"/>
  <c r="C129" i="19" s="1"/>
  <c r="C130" i="19" s="1"/>
  <c r="C131" i="19" s="1"/>
  <c r="C132" i="19" s="1"/>
  <c r="C133" i="19" s="1"/>
  <c r="C134" i="19" s="1"/>
  <c r="C135" i="19" s="1"/>
  <c r="C136" i="19" s="1"/>
  <c r="C137" i="19" s="1"/>
  <c r="C138" i="19" s="1"/>
  <c r="G127" i="19"/>
  <c r="C106" i="19"/>
  <c r="C107" i="19" s="1"/>
  <c r="C108" i="19" s="1"/>
  <c r="C109" i="19" s="1"/>
  <c r="C110" i="19" s="1"/>
  <c r="C111" i="19" s="1"/>
  <c r="C112" i="19" s="1"/>
  <c r="C113" i="19" s="1"/>
  <c r="C114" i="19" s="1"/>
  <c r="C115" i="19" s="1"/>
  <c r="C116" i="19" s="1"/>
  <c r="G100" i="19"/>
  <c r="G99" i="19"/>
  <c r="G98" i="19"/>
  <c r="I83" i="19"/>
  <c r="I84" i="19" s="1"/>
  <c r="I85" i="19" s="1"/>
  <c r="I86" i="19" s="1"/>
  <c r="I87" i="19" s="1"/>
  <c r="I88" i="19" s="1"/>
  <c r="I89" i="19" s="1"/>
  <c r="I90" i="19" s="1"/>
  <c r="I91" i="19" s="1"/>
  <c r="I92" i="19" s="1"/>
  <c r="I93" i="19" s="1"/>
  <c r="C83" i="19"/>
  <c r="C84" i="19" s="1"/>
  <c r="C85" i="19" s="1"/>
  <c r="C86" i="19" s="1"/>
  <c r="C87" i="19" s="1"/>
  <c r="C88" i="19" s="1"/>
  <c r="C89" i="19" s="1"/>
  <c r="C90" i="19" s="1"/>
  <c r="C91" i="19" s="1"/>
  <c r="C92" i="19" s="1"/>
  <c r="C93" i="19" s="1"/>
  <c r="G82" i="19"/>
  <c r="G83" i="19" s="1"/>
  <c r="G84" i="19" s="1"/>
  <c r="G85" i="19" s="1"/>
  <c r="G86" i="19" s="1"/>
  <c r="G87" i="19" s="1"/>
  <c r="G88" i="19" s="1"/>
  <c r="G89" i="19" s="1"/>
  <c r="G90" i="19" s="1"/>
  <c r="C57" i="19"/>
  <c r="C58" i="19" s="1"/>
  <c r="C59" i="19" s="1"/>
  <c r="C60" i="19" s="1"/>
  <c r="C61" i="19" s="1"/>
  <c r="C62" i="19" s="1"/>
  <c r="C63" i="19" s="1"/>
  <c r="C64" i="19" s="1"/>
  <c r="C65" i="19" s="1"/>
  <c r="C66" i="19" s="1"/>
  <c r="C67" i="19" s="1"/>
  <c r="G52" i="19"/>
  <c r="G56" i="19" s="1"/>
  <c r="G57" i="19" s="1"/>
  <c r="G58" i="19" s="1"/>
  <c r="G51" i="19"/>
  <c r="G50" i="19"/>
  <c r="G49" i="19"/>
  <c r="G48" i="19"/>
  <c r="I33" i="19"/>
  <c r="I34" i="19" s="1"/>
  <c r="I35" i="19" s="1"/>
  <c r="I36" i="19" s="1"/>
  <c r="I37" i="19" s="1"/>
  <c r="I38" i="19" s="1"/>
  <c r="I39" i="19" s="1"/>
  <c r="I40" i="19" s="1"/>
  <c r="I41" i="19" s="1"/>
  <c r="I42" i="19" s="1"/>
  <c r="I43" i="19" s="1"/>
  <c r="C33" i="19"/>
  <c r="C34" i="19" s="1"/>
  <c r="C35" i="19" s="1"/>
  <c r="C36" i="19" s="1"/>
  <c r="C37" i="19" s="1"/>
  <c r="C38" i="19" s="1"/>
  <c r="C39" i="19" s="1"/>
  <c r="C40" i="19" s="1"/>
  <c r="C41" i="19" s="1"/>
  <c r="C42" i="19" s="1"/>
  <c r="C43" i="19" s="1"/>
  <c r="G32" i="19"/>
  <c r="K32" i="19" s="1"/>
  <c r="O32" i="19" s="1"/>
  <c r="I15" i="19"/>
  <c r="K15" i="19" s="1"/>
  <c r="K14" i="19"/>
  <c r="M253" i="19" s="1"/>
  <c r="K13" i="19"/>
  <c r="E175" i="19" s="1"/>
  <c r="E176" i="19" s="1"/>
  <c r="E177" i="19" s="1"/>
  <c r="E178" i="19" s="1"/>
  <c r="E179" i="19" s="1"/>
  <c r="E180" i="19" s="1"/>
  <c r="E181" i="19" s="1"/>
  <c r="E182" i="19" s="1"/>
  <c r="E183" i="19" s="1"/>
  <c r="E184" i="19" s="1"/>
  <c r="E185" i="19" s="1"/>
  <c r="E186" i="19" s="1"/>
  <c r="G12" i="19"/>
  <c r="K12" i="19" s="1"/>
  <c r="K11" i="19"/>
  <c r="A11" i="19"/>
  <c r="A12" i="19" s="1"/>
  <c r="A13" i="19" s="1"/>
  <c r="A14" i="19" s="1"/>
  <c r="A15" i="19" s="1"/>
  <c r="K10" i="19"/>
  <c r="M71" i="19" s="1"/>
  <c r="D19" i="25"/>
  <c r="A13" i="25"/>
  <c r="A16" i="25" s="1"/>
  <c r="A17" i="25" s="1"/>
  <c r="A18" i="25" s="1"/>
  <c r="A19" i="25" s="1"/>
  <c r="C16" i="23"/>
  <c r="G93" i="23"/>
  <c r="G96" i="23" s="1"/>
  <c r="F10" i="23" s="1"/>
  <c r="F93" i="23"/>
  <c r="E93" i="23"/>
  <c r="E96" i="23" s="1"/>
  <c r="D10" i="23" s="1"/>
  <c r="D93" i="23"/>
  <c r="D96" i="23" s="1"/>
  <c r="C93" i="23"/>
  <c r="C96" i="23" s="1"/>
  <c r="G64" i="23"/>
  <c r="G67" i="23" s="1"/>
  <c r="F9" i="23" s="1"/>
  <c r="F64" i="23"/>
  <c r="E64" i="23"/>
  <c r="E67" i="23" s="1"/>
  <c r="D9" i="23" s="1"/>
  <c r="D64" i="23"/>
  <c r="D67" i="23" s="1"/>
  <c r="C64" i="23"/>
  <c r="C67" i="23" s="1"/>
  <c r="G36" i="23"/>
  <c r="G39" i="23" s="1"/>
  <c r="F11" i="23" s="1"/>
  <c r="F36" i="23"/>
  <c r="F39" i="23" s="1"/>
  <c r="E11" i="23" s="1"/>
  <c r="E36" i="23"/>
  <c r="E39" i="23" s="1"/>
  <c r="D11" i="23" s="1"/>
  <c r="D36" i="23"/>
  <c r="D39" i="23" s="1"/>
  <c r="C36" i="23"/>
  <c r="C39" i="23" s="1"/>
  <c r="B1" i="23"/>
  <c r="A3" i="28" s="1"/>
  <c r="B1" i="22"/>
  <c r="B47" i="22" s="1"/>
  <c r="B75" i="22" s="1"/>
  <c r="G93" i="22"/>
  <c r="G96" i="22" s="1"/>
  <c r="F10" i="22" s="1"/>
  <c r="F93" i="22"/>
  <c r="E93" i="22"/>
  <c r="E96" i="22" s="1"/>
  <c r="D10" i="22" s="1"/>
  <c r="D93" i="22"/>
  <c r="D96" i="22" s="1"/>
  <c r="G64" i="22"/>
  <c r="G67" i="22" s="1"/>
  <c r="F9" i="22" s="1"/>
  <c r="F64" i="22"/>
  <c r="D64" i="22"/>
  <c r="D67" i="22" s="1"/>
  <c r="C64" i="22"/>
  <c r="C67" i="22" s="1"/>
  <c r="G36" i="22"/>
  <c r="G39" i="22" s="1"/>
  <c r="F11" i="22" s="1"/>
  <c r="F36" i="22"/>
  <c r="F39" i="22" s="1"/>
  <c r="E11" i="22" s="1"/>
  <c r="E36" i="22"/>
  <c r="E39" i="22" s="1"/>
  <c r="D11" i="22" s="1"/>
  <c r="D36" i="22"/>
  <c r="D39" i="22" s="1"/>
  <c r="C36" i="22"/>
  <c r="C39" i="22" s="1"/>
  <c r="B34" i="5"/>
  <c r="C46" i="5"/>
  <c r="F32" i="5"/>
  <c r="F34" i="5" s="1"/>
  <c r="C235" i="3"/>
  <c r="C230"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3" i="17"/>
  <c r="A2" i="9"/>
  <c r="A2" i="5"/>
  <c r="C216" i="3"/>
  <c r="F122" i="9"/>
  <c r="E88" i="3" s="1"/>
  <c r="J88" i="3" s="1"/>
  <c r="F170" i="9"/>
  <c r="E86" i="3" s="1"/>
  <c r="J86" i="3" s="1"/>
  <c r="F36" i="9"/>
  <c r="E81" i="3" s="1"/>
  <c r="J81" i="3" s="1"/>
  <c r="F84" i="9"/>
  <c r="E79" i="3" s="1"/>
  <c r="J79" i="3" s="1"/>
  <c r="M71" i="3"/>
  <c r="M135" i="3" s="1"/>
  <c r="M209" i="3" s="1"/>
  <c r="M261" i="3" s="1"/>
  <c r="G143" i="3"/>
  <c r="G147" i="3" s="1"/>
  <c r="E72" i="3"/>
  <c r="E136" i="3" s="1"/>
  <c r="G22" i="17"/>
  <c r="G23" i="17" s="1"/>
  <c r="G24" i="17" s="1"/>
  <c r="G25" i="17" s="1"/>
  <c r="G26" i="17" s="1"/>
  <c r="G27" i="17" s="1"/>
  <c r="G28" i="17" s="1"/>
  <c r="G29" i="17" s="1"/>
  <c r="G30" i="17" s="1"/>
  <c r="G31" i="17" s="1"/>
  <c r="G32" i="17" s="1"/>
  <c r="B40" i="17"/>
  <c r="B41" i="17" s="1"/>
  <c r="B42" i="17" s="1"/>
  <c r="B43" i="17" s="1"/>
  <c r="B44" i="17" s="1"/>
  <c r="B45" i="17" s="1"/>
  <c r="B46" i="17" s="1"/>
  <c r="B47" i="17" s="1"/>
  <c r="B48" i="17" s="1"/>
  <c r="B49" i="17" s="1"/>
  <c r="B50" i="17" s="1"/>
  <c r="A9" i="5"/>
  <c r="D14" i="5"/>
  <c r="E19" i="3" s="1"/>
  <c r="G19" i="3"/>
  <c r="C86" i="3"/>
  <c r="C93" i="3" s="1"/>
  <c r="G86" i="3"/>
  <c r="G87" i="3"/>
  <c r="G108" i="3" s="1"/>
  <c r="C88" i="3"/>
  <c r="C95" i="3" s="1"/>
  <c r="G88" i="3"/>
  <c r="G89" i="3"/>
  <c r="C99" i="3"/>
  <c r="G104" i="3"/>
  <c r="G103" i="3" s="1"/>
  <c r="H104" i="3"/>
  <c r="C110" i="3"/>
  <c r="C112" i="3"/>
  <c r="C113" i="3"/>
  <c r="C155" i="3"/>
  <c r="C160" i="3"/>
  <c r="G163" i="3"/>
  <c r="J166" i="3"/>
  <c r="G167" i="3"/>
  <c r="E168" i="3"/>
  <c r="D170" i="3"/>
  <c r="E210" i="3"/>
  <c r="C217" i="3"/>
  <c r="E228" i="3"/>
  <c r="E262" i="3"/>
  <c r="C93" i="22"/>
  <c r="C96" i="22" s="1"/>
  <c r="K235" i="3"/>
  <c r="E43" i="28"/>
  <c r="F43" i="28"/>
  <c r="G43" i="28"/>
  <c r="H43" i="28"/>
  <c r="I43" i="28"/>
  <c r="G33" i="19"/>
  <c r="F20" i="9"/>
  <c r="F54" i="28"/>
  <c r="H103" i="3"/>
  <c r="N80" i="3" l="1"/>
  <c r="N83" i="3" s="1"/>
  <c r="M148" i="25" s="1"/>
  <c r="F176" i="9"/>
  <c r="E55" i="22"/>
  <c r="E64" i="22" s="1"/>
  <c r="E67" i="22" s="1"/>
  <c r="D9" i="22" s="1"/>
  <c r="D12" i="22" s="1"/>
  <c r="D15" i="22" s="1"/>
  <c r="D16" i="23" s="1"/>
  <c r="A39" i="20"/>
  <c r="A25" i="20"/>
  <c r="A27" i="20" s="1"/>
  <c r="A29" i="20" s="1"/>
  <c r="A31" i="20" s="1"/>
  <c r="A33" i="20" s="1"/>
  <c r="I54" i="17"/>
  <c r="D88" i="25"/>
  <c r="D92" i="25" s="1"/>
  <c r="D96" i="25" s="1"/>
  <c r="D55" i="25"/>
  <c r="D59" i="25" s="1"/>
  <c r="D63" i="25" s="1"/>
  <c r="D23" i="25"/>
  <c r="D27" i="25" s="1"/>
  <c r="D31" i="25" s="1"/>
  <c r="I55" i="28"/>
  <c r="I53" i="28"/>
  <c r="A10" i="5"/>
  <c r="A11" i="5" s="1"/>
  <c r="A12" i="5" s="1"/>
  <c r="A14" i="5" s="1"/>
  <c r="D19" i="3" s="1"/>
  <c r="E218" i="19"/>
  <c r="E219" i="19" s="1"/>
  <c r="E220" i="19" s="1"/>
  <c r="E221" i="19" s="1"/>
  <c r="I50" i="25"/>
  <c r="E83" i="25"/>
  <c r="I83" i="25" s="1"/>
  <c r="D32" i="5"/>
  <c r="D34" i="5" s="1"/>
  <c r="F183" i="29"/>
  <c r="E148" i="3" s="1"/>
  <c r="F8" i="25"/>
  <c r="A3" i="36"/>
  <c r="G144" i="3"/>
  <c r="G148" i="3" s="1"/>
  <c r="F12" i="23"/>
  <c r="E82" i="3"/>
  <c r="E89" i="3"/>
  <c r="D12" i="23"/>
  <c r="D15" i="23" s="1"/>
  <c r="F96" i="23"/>
  <c r="E10" i="23" s="1"/>
  <c r="G219" i="19"/>
  <c r="G220" i="19" s="1"/>
  <c r="G221" i="19" s="1"/>
  <c r="G222" i="19" s="1"/>
  <c r="F51" i="28"/>
  <c r="F58" i="28"/>
  <c r="I59" i="28" s="1"/>
  <c r="J103" i="3"/>
  <c r="F12" i="22"/>
  <c r="M211" i="19"/>
  <c r="E34" i="19"/>
  <c r="E35" i="19" s="1"/>
  <c r="E36" i="19" s="1"/>
  <c r="E37" i="19" s="1"/>
  <c r="E38" i="19" s="1"/>
  <c r="E39" i="19" s="1"/>
  <c r="E40" i="19" s="1"/>
  <c r="E41" i="19" s="1"/>
  <c r="E42" i="19" s="1"/>
  <c r="E43" i="19" s="1"/>
  <c r="F96" i="22"/>
  <c r="E10" i="22" s="1"/>
  <c r="F67" i="22"/>
  <c r="E9" i="22" s="1"/>
  <c r="F57" i="28"/>
  <c r="I58" i="28" s="1"/>
  <c r="F67" i="23"/>
  <c r="E9" i="23" s="1"/>
  <c r="H12" i="30"/>
  <c r="H13" i="30" s="1"/>
  <c r="F14" i="17" s="1"/>
  <c r="F21" i="17" s="1"/>
  <c r="F22" i="17" s="1"/>
  <c r="F23" i="17" s="1"/>
  <c r="F24" i="17" s="1"/>
  <c r="F25" i="17" s="1"/>
  <c r="F26" i="17" s="1"/>
  <c r="F27" i="17" s="1"/>
  <c r="D25" i="17"/>
  <c r="G112" i="3"/>
  <c r="G100" i="3"/>
  <c r="J93" i="3"/>
  <c r="E93" i="3"/>
  <c r="B47" i="23"/>
  <c r="B75" i="23" s="1"/>
  <c r="J157" i="3"/>
  <c r="E175" i="3"/>
  <c r="E179" i="3" s="1"/>
  <c r="I18" i="25"/>
  <c r="D36" i="9"/>
  <c r="G176" i="19"/>
  <c r="K175" i="19"/>
  <c r="A40" i="9"/>
  <c r="A41" i="9" s="1"/>
  <c r="A42" i="9" s="1"/>
  <c r="A43" i="9" s="1"/>
  <c r="A44" i="9" s="1"/>
  <c r="A45" i="9" s="1"/>
  <c r="A46" i="9" s="1"/>
  <c r="A47" i="9" s="1"/>
  <c r="A48" i="9" s="1"/>
  <c r="A49" i="9" s="1"/>
  <c r="A50" i="9" s="1"/>
  <c r="A51" i="9" s="1"/>
  <c r="A52" i="9" s="1"/>
  <c r="A54" i="9" s="1"/>
  <c r="A55" i="9" s="1"/>
  <c r="A79" i="3"/>
  <c r="F55" i="28"/>
  <c r="I56" i="28" s="1"/>
  <c r="F56" i="28"/>
  <c r="I57" i="28" s="1"/>
  <c r="F59" i="28"/>
  <c r="I60" i="28" s="1"/>
  <c r="F62" i="28"/>
  <c r="I63" i="28" s="1"/>
  <c r="F53" i="28"/>
  <c r="I54" i="28" s="1"/>
  <c r="F60" i="28"/>
  <c r="I61" i="28" s="1"/>
  <c r="F86" i="9"/>
  <c r="E80" i="3"/>
  <c r="G34" i="19"/>
  <c r="K33" i="19"/>
  <c r="G91" i="19"/>
  <c r="D20" i="9"/>
  <c r="G153" i="19"/>
  <c r="F64" i="28"/>
  <c r="I65" i="28" s="1"/>
  <c r="F63" i="28"/>
  <c r="I64" i="28" s="1"/>
  <c r="F61" i="28"/>
  <c r="I62" i="28" s="1"/>
  <c r="J95" i="3"/>
  <c r="E222" i="19"/>
  <c r="E223" i="19" s="1"/>
  <c r="E224" i="19" s="1"/>
  <c r="E225" i="19" s="1"/>
  <c r="E226" i="19" s="1"/>
  <c r="E227" i="19" s="1"/>
  <c r="E228" i="19" s="1"/>
  <c r="E229" i="19" s="1"/>
  <c r="A20" i="25"/>
  <c r="A22" i="25" s="1"/>
  <c r="A23" i="25" s="1"/>
  <c r="B25" i="25"/>
  <c r="G59" i="19"/>
  <c r="G223" i="19"/>
  <c r="M164" i="19"/>
  <c r="E127" i="19"/>
  <c r="E128" i="19" s="1"/>
  <c r="E129" i="19" s="1"/>
  <c r="E130" i="19" s="1"/>
  <c r="E131" i="19" s="1"/>
  <c r="E132" i="19" s="1"/>
  <c r="E133" i="19" s="1"/>
  <c r="E134" i="19" s="1"/>
  <c r="E135" i="19" s="1"/>
  <c r="E136" i="19" s="1"/>
  <c r="E137" i="19" s="1"/>
  <c r="E138" i="19" s="1"/>
  <c r="G128" i="19"/>
  <c r="E95" i="3"/>
  <c r="G197" i="19"/>
  <c r="F236" i="3"/>
  <c r="G234" i="3" s="1"/>
  <c r="E17" i="25" s="1"/>
  <c r="G101" i="19"/>
  <c r="A6" i="20"/>
  <c r="A3" i="19"/>
  <c r="E82" i="19"/>
  <c r="M120" i="19"/>
  <c r="F187" i="9" l="1"/>
  <c r="M149" i="25"/>
  <c r="M115" i="25" s="1"/>
  <c r="M116" i="25"/>
  <c r="H22" i="17"/>
  <c r="K22" i="17" s="1"/>
  <c r="E12" i="23"/>
  <c r="E15" i="23" s="1"/>
  <c r="H23" i="17"/>
  <c r="K23" i="17" s="1"/>
  <c r="H25" i="17"/>
  <c r="K25" i="17" s="1"/>
  <c r="H21" i="17"/>
  <c r="K21" i="17" s="1"/>
  <c r="D52" i="9"/>
  <c r="H24" i="17"/>
  <c r="K24" i="17" s="1"/>
  <c r="K221" i="19"/>
  <c r="O221" i="19" s="1"/>
  <c r="A41" i="20"/>
  <c r="A43" i="20" s="1"/>
  <c r="A45" i="20" s="1"/>
  <c r="A47" i="20" s="1"/>
  <c r="A49" i="20" s="1"/>
  <c r="A51" i="20" s="1"/>
  <c r="A53" i="20" s="1"/>
  <c r="A57" i="20" s="1"/>
  <c r="K220" i="19"/>
  <c r="O220" i="19" s="1"/>
  <c r="I52" i="28"/>
  <c r="I17" i="25"/>
  <c r="E82" i="25"/>
  <c r="I82" i="25" s="1"/>
  <c r="E49" i="25"/>
  <c r="I49" i="25" s="1"/>
  <c r="D17" i="23"/>
  <c r="K218" i="19"/>
  <c r="O218" i="19" s="1"/>
  <c r="K219" i="19"/>
  <c r="F106" i="9"/>
  <c r="C14" i="5"/>
  <c r="E83" i="3"/>
  <c r="E96" i="3"/>
  <c r="D26" i="17"/>
  <c r="D27" i="17" s="1"/>
  <c r="D28" i="17" s="1"/>
  <c r="D29" i="17" s="1"/>
  <c r="D30" i="17" s="1"/>
  <c r="D31" i="17" s="1"/>
  <c r="D32" i="17" s="1"/>
  <c r="E12" i="22"/>
  <c r="E15" i="22" s="1"/>
  <c r="E16" i="23" s="1"/>
  <c r="E17" i="23" s="1"/>
  <c r="J104" i="3"/>
  <c r="K127" i="19"/>
  <c r="O127" i="19" s="1"/>
  <c r="J150" i="3"/>
  <c r="G16" i="25"/>
  <c r="G48" i="25" s="1"/>
  <c r="I48" i="25" s="1"/>
  <c r="K233" i="3"/>
  <c r="K222" i="19"/>
  <c r="O222" i="19" s="1"/>
  <c r="A76" i="19"/>
  <c r="A169" i="19"/>
  <c r="F28" i="17"/>
  <c r="O175" i="19"/>
  <c r="G224" i="19"/>
  <c r="K223" i="19"/>
  <c r="O223" i="19" s="1"/>
  <c r="A56" i="9"/>
  <c r="A57" i="9" s="1"/>
  <c r="A58" i="9" s="1"/>
  <c r="A59" i="9" s="1"/>
  <c r="A60" i="9" s="1"/>
  <c r="A61" i="9" s="1"/>
  <c r="A62" i="9" s="1"/>
  <c r="A63" i="9" s="1"/>
  <c r="A64" i="9" s="1"/>
  <c r="A65" i="9" s="1"/>
  <c r="A66" i="9" s="1"/>
  <c r="A67" i="9" s="1"/>
  <c r="A68" i="9" s="1"/>
  <c r="A70" i="9" s="1"/>
  <c r="A71" i="9" s="1"/>
  <c r="G105" i="19"/>
  <c r="K128" i="19"/>
  <c r="O128" i="19" s="1"/>
  <c r="G129" i="19"/>
  <c r="K176" i="19"/>
  <c r="O176" i="19" s="1"/>
  <c r="G177" i="19"/>
  <c r="O219" i="19"/>
  <c r="O33" i="19"/>
  <c r="K34" i="19"/>
  <c r="O34" i="19" s="1"/>
  <c r="G35" i="19"/>
  <c r="J215" i="3"/>
  <c r="A80" i="3"/>
  <c r="I40" i="28"/>
  <c r="G63" i="28" s="1"/>
  <c r="G92" i="19"/>
  <c r="B27" i="25"/>
  <c r="A24" i="25"/>
  <c r="B30" i="25" s="1"/>
  <c r="C31" i="5"/>
  <c r="C32" i="5" s="1"/>
  <c r="C34" i="5" s="1"/>
  <c r="E32" i="5"/>
  <c r="E34" i="5" s="1"/>
  <c r="K82" i="19"/>
  <c r="E83" i="19"/>
  <c r="G198" i="19"/>
  <c r="G60" i="19"/>
  <c r="G154" i="19"/>
  <c r="G60" i="28"/>
  <c r="K234" i="3"/>
  <c r="F173" i="9" l="1"/>
  <c r="N87" i="3"/>
  <c r="N90" i="3" s="1"/>
  <c r="N97" i="3" s="1"/>
  <c r="F177" i="9"/>
  <c r="N148" i="25"/>
  <c r="N149" i="25" s="1"/>
  <c r="M244" i="3"/>
  <c r="H244" i="3"/>
  <c r="M133" i="25"/>
  <c r="H27" i="17"/>
  <c r="K27" i="17" s="1"/>
  <c r="H26" i="17"/>
  <c r="K26" i="17" s="1"/>
  <c r="E87" i="3"/>
  <c r="E90" i="3" s="1"/>
  <c r="I51" i="25"/>
  <c r="D56" i="25" s="1"/>
  <c r="G52" i="28"/>
  <c r="G53" i="28"/>
  <c r="J53" i="28" s="1"/>
  <c r="G67" i="28"/>
  <c r="J67" i="28" s="1"/>
  <c r="G56" i="28"/>
  <c r="G66" i="28"/>
  <c r="J66" i="28" s="1"/>
  <c r="D68" i="9"/>
  <c r="I16" i="25"/>
  <c r="G81" i="25"/>
  <c r="I81" i="25" s="1"/>
  <c r="G55" i="28"/>
  <c r="J55" i="28" s="1"/>
  <c r="G65" i="28"/>
  <c r="G62" i="28"/>
  <c r="J62" i="28" s="1"/>
  <c r="G64" i="28"/>
  <c r="J64" i="28" s="1"/>
  <c r="E151" i="3"/>
  <c r="E152" i="3" s="1"/>
  <c r="J65" i="28"/>
  <c r="J63" i="28"/>
  <c r="K236" i="3"/>
  <c r="E172" i="3" s="1"/>
  <c r="J56" i="28"/>
  <c r="G61" i="28"/>
  <c r="J61" i="28" s="1"/>
  <c r="J52" i="28"/>
  <c r="G59" i="28"/>
  <c r="J59" i="28" s="1"/>
  <c r="A25" i="25"/>
  <c r="A26" i="25" s="1"/>
  <c r="A27" i="25" s="1"/>
  <c r="G155" i="19"/>
  <c r="K129" i="19"/>
  <c r="G130" i="19"/>
  <c r="A72" i="9"/>
  <c r="A73" i="9" s="1"/>
  <c r="A74" i="9" s="1"/>
  <c r="A75" i="9" s="1"/>
  <c r="A76" i="9" s="1"/>
  <c r="A77" i="9" s="1"/>
  <c r="A78" i="9" s="1"/>
  <c r="A79" i="9" s="1"/>
  <c r="A80" i="9" s="1"/>
  <c r="A81" i="9" s="1"/>
  <c r="A82" i="9" s="1"/>
  <c r="A83" i="9" s="1"/>
  <c r="A84" i="9" s="1"/>
  <c r="F29" i="17"/>
  <c r="H28" i="17"/>
  <c r="O82" i="19"/>
  <c r="J218" i="3"/>
  <c r="J220" i="3" s="1"/>
  <c r="G199" i="19"/>
  <c r="J60" i="28"/>
  <c r="A81" i="3"/>
  <c r="C215" i="3"/>
  <c r="G57" i="28"/>
  <c r="J57" i="28" s="1"/>
  <c r="G54" i="28"/>
  <c r="J54" i="28" s="1"/>
  <c r="G93" i="19"/>
  <c r="G61" i="19"/>
  <c r="G58" i="28"/>
  <c r="J58" i="28" s="1"/>
  <c r="G106" i="19"/>
  <c r="G225" i="19"/>
  <c r="K224" i="19"/>
  <c r="K83" i="19"/>
  <c r="O83" i="19" s="1"/>
  <c r="E84" i="19"/>
  <c r="G36" i="19"/>
  <c r="K35" i="19"/>
  <c r="O35" i="19" s="1"/>
  <c r="K177" i="19"/>
  <c r="O177" i="19" s="1"/>
  <c r="G178" i="19"/>
  <c r="F188" i="9" l="1"/>
  <c r="F189" i="9" s="1"/>
  <c r="F178" i="9"/>
  <c r="F180" i="9" s="1"/>
  <c r="F181" i="9" s="1"/>
  <c r="F196" i="9" s="1"/>
  <c r="M241" i="3"/>
  <c r="O148" i="25"/>
  <c r="J151" i="3"/>
  <c r="E94" i="3"/>
  <c r="E97" i="3" s="1"/>
  <c r="I19" i="25"/>
  <c r="D24" i="25" s="1"/>
  <c r="I84" i="25"/>
  <c r="D89" i="25" s="1"/>
  <c r="E111" i="3"/>
  <c r="E114" i="3" s="1"/>
  <c r="F16" i="28"/>
  <c r="D84" i="9"/>
  <c r="E85" i="19"/>
  <c r="K84" i="19"/>
  <c r="O84" i="19" s="1"/>
  <c r="G107" i="19"/>
  <c r="G200" i="19"/>
  <c r="A28" i="25"/>
  <c r="A30" i="25" s="1"/>
  <c r="K130" i="19"/>
  <c r="O130" i="19" s="1"/>
  <c r="G131" i="19"/>
  <c r="O129" i="19"/>
  <c r="G179" i="19"/>
  <c r="K178" i="19"/>
  <c r="O224" i="19"/>
  <c r="K225" i="19"/>
  <c r="O225" i="19" s="1"/>
  <c r="G226" i="19"/>
  <c r="A82" i="3"/>
  <c r="K28" i="17"/>
  <c r="G156" i="19"/>
  <c r="G62" i="19"/>
  <c r="F30" i="17"/>
  <c r="H29" i="17"/>
  <c r="K29" i="17" s="1"/>
  <c r="G37" i="19"/>
  <c r="K36" i="19"/>
  <c r="O36" i="19" s="1"/>
  <c r="A86" i="9"/>
  <c r="A92" i="9" s="1"/>
  <c r="A93" i="9" s="1"/>
  <c r="D86" i="9"/>
  <c r="F225" i="3"/>
  <c r="H225" i="3" s="1"/>
  <c r="H228" i="3" s="1"/>
  <c r="J228" i="3" s="1"/>
  <c r="H155" i="3"/>
  <c r="J155" i="3" s="1"/>
  <c r="H143" i="3"/>
  <c r="H87" i="3"/>
  <c r="J87" i="3" s="1"/>
  <c r="H108" i="3"/>
  <c r="H100" i="3" s="1"/>
  <c r="H80" i="3"/>
  <c r="O149" i="25" l="1"/>
  <c r="C115" i="25" s="1"/>
  <c r="C116" i="25"/>
  <c r="H241" i="3" s="1"/>
  <c r="B31" i="25"/>
  <c r="H151" i="3"/>
  <c r="H150" i="3"/>
  <c r="H149" i="3"/>
  <c r="J156" i="3"/>
  <c r="J158" i="3" s="1"/>
  <c r="J145" i="3"/>
  <c r="H89" i="3"/>
  <c r="J89" i="3" s="1"/>
  <c r="J90" i="3" s="1"/>
  <c r="H162" i="3"/>
  <c r="H146" i="3"/>
  <c r="F13" i="22"/>
  <c r="F15" i="22" s="1"/>
  <c r="F13" i="23"/>
  <c r="F15" i="23" s="1"/>
  <c r="J82" i="3"/>
  <c r="H163" i="3"/>
  <c r="J163" i="3" s="1"/>
  <c r="G227" i="19"/>
  <c r="K226" i="19"/>
  <c r="O226" i="19" s="1"/>
  <c r="G108" i="19"/>
  <c r="J108" i="3"/>
  <c r="H112" i="3"/>
  <c r="J112" i="3" s="1"/>
  <c r="G38" i="19"/>
  <c r="K37" i="19"/>
  <c r="O37" i="19" s="1"/>
  <c r="O178" i="19"/>
  <c r="H144" i="3"/>
  <c r="J144" i="3" s="1"/>
  <c r="H148" i="3"/>
  <c r="J148" i="3" s="1"/>
  <c r="H147" i="3"/>
  <c r="J147" i="3" s="1"/>
  <c r="J143" i="3"/>
  <c r="A83" i="3"/>
  <c r="A85" i="3" s="1"/>
  <c r="A86" i="3" s="1"/>
  <c r="C83" i="3"/>
  <c r="K179" i="19"/>
  <c r="O179" i="19" s="1"/>
  <c r="G180" i="19"/>
  <c r="G201" i="19"/>
  <c r="F31" i="17"/>
  <c r="H30" i="17"/>
  <c r="G63" i="19"/>
  <c r="G132" i="19"/>
  <c r="K131" i="19"/>
  <c r="A94" i="9"/>
  <c r="A95" i="9" s="1"/>
  <c r="A96" i="9" s="1"/>
  <c r="A97" i="9" s="1"/>
  <c r="A98" i="9" s="1"/>
  <c r="A99" i="9" s="1"/>
  <c r="A100" i="9" s="1"/>
  <c r="A101" i="9" s="1"/>
  <c r="A102" i="9" s="1"/>
  <c r="A103" i="9" s="1"/>
  <c r="A104" i="9" s="1"/>
  <c r="A105" i="9" s="1"/>
  <c r="A106" i="9" s="1"/>
  <c r="H19" i="3"/>
  <c r="J19" i="3" s="1"/>
  <c r="M247" i="3" s="1"/>
  <c r="J80" i="3"/>
  <c r="G157" i="19"/>
  <c r="A31" i="25"/>
  <c r="A32" i="25" s="1"/>
  <c r="A35" i="25" s="1"/>
  <c r="E86" i="19"/>
  <c r="K85" i="19"/>
  <c r="C133" i="25" l="1"/>
  <c r="J241" i="3"/>
  <c r="P148" i="25"/>
  <c r="N158" i="3"/>
  <c r="J152" i="3"/>
  <c r="J162" i="3"/>
  <c r="J96" i="3"/>
  <c r="D106" i="9"/>
  <c r="F16" i="23"/>
  <c r="G16" i="23" s="1"/>
  <c r="G15" i="22"/>
  <c r="G15" i="23"/>
  <c r="A36" i="25"/>
  <c r="A37" i="25" s="1"/>
  <c r="A43" i="25" s="1"/>
  <c r="A45" i="25" s="1"/>
  <c r="A48" i="25" s="1"/>
  <c r="C32" i="25"/>
  <c r="K227" i="19"/>
  <c r="G228" i="19"/>
  <c r="G202" i="19"/>
  <c r="K38" i="19"/>
  <c r="O38" i="19" s="1"/>
  <c r="G39" i="19"/>
  <c r="G158" i="19"/>
  <c r="O131" i="19"/>
  <c r="K180" i="19"/>
  <c r="O180" i="19" s="1"/>
  <c r="G181" i="19"/>
  <c r="O85" i="19"/>
  <c r="E87" i="19"/>
  <c r="K86" i="19"/>
  <c r="O86" i="19" s="1"/>
  <c r="J94" i="3"/>
  <c r="J83" i="3"/>
  <c r="H83" i="3" s="1"/>
  <c r="G109" i="19"/>
  <c r="A108" i="9"/>
  <c r="A109" i="9" s="1"/>
  <c r="K30" i="17"/>
  <c r="A87" i="3"/>
  <c r="D93" i="3"/>
  <c r="K132" i="19"/>
  <c r="O132" i="19" s="1"/>
  <c r="G133" i="19"/>
  <c r="G64" i="19"/>
  <c r="F32" i="17"/>
  <c r="H31" i="17"/>
  <c r="K31" i="17" s="1"/>
  <c r="P149" i="25" l="1"/>
  <c r="P115" i="25" s="1"/>
  <c r="P116" i="25"/>
  <c r="J111" i="3"/>
  <c r="F17" i="23"/>
  <c r="G17" i="23" s="1"/>
  <c r="E100" i="3" s="1"/>
  <c r="J100" i="3" s="1"/>
  <c r="A49" i="25"/>
  <c r="A50" i="25" s="1"/>
  <c r="A51" i="25" s="1"/>
  <c r="A52" i="25" s="1"/>
  <c r="A54" i="25" s="1"/>
  <c r="A55" i="25" s="1"/>
  <c r="G40" i="19"/>
  <c r="K39" i="19"/>
  <c r="O39" i="19" s="1"/>
  <c r="H113" i="3"/>
  <c r="J113" i="3" s="1"/>
  <c r="H165" i="3"/>
  <c r="H167" i="3"/>
  <c r="J167" i="3" s="1"/>
  <c r="J97" i="3"/>
  <c r="M245" i="3" s="1"/>
  <c r="G229" i="19"/>
  <c r="K228" i="19"/>
  <c r="O228" i="19" s="1"/>
  <c r="G110" i="19"/>
  <c r="G159" i="19"/>
  <c r="F39" i="17"/>
  <c r="H32" i="17"/>
  <c r="K32" i="17" s="1"/>
  <c r="K33" i="17" s="1"/>
  <c r="D36" i="17" s="1"/>
  <c r="F36" i="17"/>
  <c r="A88" i="3"/>
  <c r="D94" i="3"/>
  <c r="K181" i="19"/>
  <c r="G182" i="19"/>
  <c r="G203" i="19"/>
  <c r="G65" i="19"/>
  <c r="G134" i="19"/>
  <c r="K133" i="19"/>
  <c r="O133" i="19" s="1"/>
  <c r="A110" i="9"/>
  <c r="A111" i="9" s="1"/>
  <c r="A112" i="9" s="1"/>
  <c r="A113" i="9" s="1"/>
  <c r="A114" i="9" s="1"/>
  <c r="A115" i="9" s="1"/>
  <c r="A116" i="9" s="1"/>
  <c r="A117" i="9" s="1"/>
  <c r="A118" i="9" s="1"/>
  <c r="A119" i="9" s="1"/>
  <c r="A120" i="9" s="1"/>
  <c r="A121" i="9" s="1"/>
  <c r="A122" i="9" s="1"/>
  <c r="E88" i="19"/>
  <c r="K87" i="19"/>
  <c r="O227" i="19"/>
  <c r="P133" i="25" l="1"/>
  <c r="J114" i="3"/>
  <c r="D122" i="9"/>
  <c r="B57" i="25"/>
  <c r="J165" i="3"/>
  <c r="J168" i="3" s="1"/>
  <c r="H33" i="17"/>
  <c r="E106" i="3"/>
  <c r="E116" i="3" s="1"/>
  <c r="E183" i="3" s="1"/>
  <c r="A56" i="25"/>
  <c r="B62" i="25" s="1"/>
  <c r="B59" i="25"/>
  <c r="K182" i="19"/>
  <c r="O182" i="19" s="1"/>
  <c r="G183" i="19"/>
  <c r="H97" i="3"/>
  <c r="O181" i="19"/>
  <c r="G160" i="19"/>
  <c r="K134" i="19"/>
  <c r="G135" i="19"/>
  <c r="G66" i="19"/>
  <c r="H36" i="17"/>
  <c r="K36" i="17" s="1"/>
  <c r="G111" i="19"/>
  <c r="A124" i="9"/>
  <c r="A125" i="9" s="1"/>
  <c r="A89" i="3"/>
  <c r="D95" i="3"/>
  <c r="O87" i="19"/>
  <c r="G204" i="19"/>
  <c r="E89" i="19"/>
  <c r="K88" i="19"/>
  <c r="O88" i="19" s="1"/>
  <c r="F40" i="17"/>
  <c r="G234" i="19"/>
  <c r="K229" i="19"/>
  <c r="K40" i="19"/>
  <c r="O40" i="19" s="1"/>
  <c r="G41" i="19"/>
  <c r="N168" i="3" l="1"/>
  <c r="J108" i="25"/>
  <c r="N115" i="25" s="1"/>
  <c r="G63" i="25"/>
  <c r="J63" i="25" s="1"/>
  <c r="G96" i="25"/>
  <c r="J96" i="25" s="1"/>
  <c r="E178" i="3"/>
  <c r="E180" i="3" s="1"/>
  <c r="E185" i="3" s="1"/>
  <c r="A57" i="25"/>
  <c r="A58" i="25" s="1"/>
  <c r="A59" i="25" s="1"/>
  <c r="D39" i="17"/>
  <c r="I39" i="17"/>
  <c r="G67" i="19"/>
  <c r="G42" i="19"/>
  <c r="K41" i="19"/>
  <c r="O41" i="19" s="1"/>
  <c r="E90" i="19"/>
  <c r="K89" i="19"/>
  <c r="A90" i="3"/>
  <c r="A92" i="3" s="1"/>
  <c r="A93" i="3" s="1"/>
  <c r="D96" i="3"/>
  <c r="C90" i="3"/>
  <c r="G136" i="19"/>
  <c r="K135" i="19"/>
  <c r="O135" i="19" s="1"/>
  <c r="G112" i="19"/>
  <c r="F41" i="17"/>
  <c r="O134" i="19"/>
  <c r="E14" i="22"/>
  <c r="E14" i="23" s="1"/>
  <c r="H179" i="3"/>
  <c r="J179" i="3" s="1"/>
  <c r="H101" i="3"/>
  <c r="J101" i="3" s="1"/>
  <c r="J106" i="3" s="1"/>
  <c r="G31" i="25"/>
  <c r="J31" i="25" s="1"/>
  <c r="O229" i="19"/>
  <c r="O230" i="19" s="1"/>
  <c r="E234" i="19" s="1"/>
  <c r="K230" i="19"/>
  <c r="G205" i="19"/>
  <c r="A126" i="9"/>
  <c r="A127" i="9" s="1"/>
  <c r="A128" i="9" s="1"/>
  <c r="A129" i="9" s="1"/>
  <c r="A130" i="9" s="1"/>
  <c r="A131" i="9" s="1"/>
  <c r="A132" i="9" s="1"/>
  <c r="A133" i="9" s="1"/>
  <c r="A134" i="9" s="1"/>
  <c r="A135" i="9" s="1"/>
  <c r="A136" i="9" s="1"/>
  <c r="A137" i="9" s="1"/>
  <c r="A138" i="9" s="1"/>
  <c r="G184" i="19"/>
  <c r="K183" i="19"/>
  <c r="O183" i="19" s="1"/>
  <c r="G238" i="19"/>
  <c r="O115" i="25" l="1"/>
  <c r="N116" i="25"/>
  <c r="J116" i="3"/>
  <c r="J11" i="25" s="1"/>
  <c r="J36" i="25" s="1"/>
  <c r="D138" i="9"/>
  <c r="J178" i="3"/>
  <c r="A60" i="25"/>
  <c r="A62" i="25" s="1"/>
  <c r="F42" i="17"/>
  <c r="G239" i="19"/>
  <c r="O89" i="19"/>
  <c r="E91" i="19"/>
  <c r="K90" i="19"/>
  <c r="O90" i="19" s="1"/>
  <c r="A140" i="9"/>
  <c r="A141" i="9" s="1"/>
  <c r="G113" i="19"/>
  <c r="G43" i="19"/>
  <c r="K43" i="19" s="1"/>
  <c r="K42" i="19"/>
  <c r="O42" i="19" s="1"/>
  <c r="G206" i="19"/>
  <c r="K136" i="19"/>
  <c r="O136" i="19" s="1"/>
  <c r="G137" i="19"/>
  <c r="K234" i="19"/>
  <c r="O234" i="19" s="1"/>
  <c r="E238" i="19" s="1"/>
  <c r="A94" i="3"/>
  <c r="I40" i="17"/>
  <c r="I41" i="17" s="1"/>
  <c r="I42" i="17" s="1"/>
  <c r="I43" i="17" s="1"/>
  <c r="I44" i="17" s="1"/>
  <c r="I45" i="17" s="1"/>
  <c r="I46" i="17" s="1"/>
  <c r="I47" i="17" s="1"/>
  <c r="I48" i="17" s="1"/>
  <c r="I49" i="17" s="1"/>
  <c r="I50" i="17" s="1"/>
  <c r="K184" i="19"/>
  <c r="O184" i="19" s="1"/>
  <c r="G185" i="19"/>
  <c r="K39" i="17"/>
  <c r="D40" i="17" s="1"/>
  <c r="H39" i="17"/>
  <c r="O116" i="25" l="1"/>
  <c r="N117" i="25"/>
  <c r="O117" i="25" s="1"/>
  <c r="J183" i="3"/>
  <c r="B63" i="25"/>
  <c r="I53" i="17"/>
  <c r="J43" i="25"/>
  <c r="A63" i="25"/>
  <c r="A64" i="25" s="1"/>
  <c r="A67" i="25" s="1"/>
  <c r="J20" i="25"/>
  <c r="E92" i="19"/>
  <c r="K91" i="19"/>
  <c r="O91" i="19" s="1"/>
  <c r="A95" i="3"/>
  <c r="A96" i="3" s="1"/>
  <c r="O43" i="19"/>
  <c r="O44" i="19" s="1"/>
  <c r="E48" i="19" s="1"/>
  <c r="K44" i="19"/>
  <c r="K40" i="17"/>
  <c r="D41" i="17" s="1"/>
  <c r="H40" i="17"/>
  <c r="J180" i="3"/>
  <c r="G186" i="19"/>
  <c r="K186" i="19" s="1"/>
  <c r="K185" i="19"/>
  <c r="O185" i="19" s="1"/>
  <c r="G114" i="19"/>
  <c r="K137" i="19"/>
  <c r="O137" i="19" s="1"/>
  <c r="G138" i="19"/>
  <c r="K138" i="19" s="1"/>
  <c r="G240" i="19"/>
  <c r="A142" i="9"/>
  <c r="A143" i="9" s="1"/>
  <c r="A144" i="9" s="1"/>
  <c r="A145" i="9" s="1"/>
  <c r="A146" i="9" s="1"/>
  <c r="A147" i="9" s="1"/>
  <c r="A148" i="9" s="1"/>
  <c r="A149" i="9" s="1"/>
  <c r="A150" i="9" s="1"/>
  <c r="A151" i="9" s="1"/>
  <c r="A152" i="9" s="1"/>
  <c r="A153" i="9" s="1"/>
  <c r="A154" i="9" s="1"/>
  <c r="M238" i="19"/>
  <c r="O238" i="19" s="1"/>
  <c r="E239" i="19" s="1"/>
  <c r="G207" i="19"/>
  <c r="K238" i="19"/>
  <c r="F43" i="17"/>
  <c r="J185" i="3" l="1"/>
  <c r="M246" i="3"/>
  <c r="N185" i="3"/>
  <c r="N118" i="25"/>
  <c r="N119" i="25" s="1"/>
  <c r="J76" i="25"/>
  <c r="J85" i="25" s="1"/>
  <c r="D95" i="25" s="1"/>
  <c r="J52" i="25"/>
  <c r="D154" i="9"/>
  <c r="C64" i="25"/>
  <c r="D30" i="25"/>
  <c r="J30" i="25" s="1"/>
  <c r="I55" i="17"/>
  <c r="E23" i="3" s="1"/>
  <c r="J23" i="3" s="1"/>
  <c r="D62" i="25"/>
  <c r="J62" i="25" s="1"/>
  <c r="J64" i="25" s="1"/>
  <c r="J67" i="25" s="1"/>
  <c r="J68" i="25"/>
  <c r="A68" i="25"/>
  <c r="A69" i="25" s="1"/>
  <c r="A70" i="25" s="1"/>
  <c r="M248" i="3"/>
  <c r="K239" i="19"/>
  <c r="G115" i="19"/>
  <c r="F44" i="17"/>
  <c r="M239" i="19"/>
  <c r="M240" i="19" s="1"/>
  <c r="M241" i="19" s="1"/>
  <c r="M242" i="19" s="1"/>
  <c r="M243" i="19" s="1"/>
  <c r="M244" i="19" s="1"/>
  <c r="M245" i="19" s="1"/>
  <c r="M246" i="19" s="1"/>
  <c r="M247" i="19" s="1"/>
  <c r="M248" i="19" s="1"/>
  <c r="M249" i="19" s="1"/>
  <c r="G241" i="19"/>
  <c r="O186" i="19"/>
  <c r="O187" i="19" s="1"/>
  <c r="E191" i="19" s="1"/>
  <c r="K187" i="19"/>
  <c r="K48" i="19"/>
  <c r="O48" i="19" s="1"/>
  <c r="E49" i="19" s="1"/>
  <c r="O138" i="19"/>
  <c r="O139" i="19" s="1"/>
  <c r="E143" i="19" s="1"/>
  <c r="K139" i="19"/>
  <c r="A97" i="3"/>
  <c r="C97" i="3"/>
  <c r="A156" i="9"/>
  <c r="A157" i="9" s="1"/>
  <c r="K41" i="17"/>
  <c r="D42" i="17" s="1"/>
  <c r="H41" i="17"/>
  <c r="E93" i="19"/>
  <c r="K93" i="19" s="1"/>
  <c r="K92" i="19"/>
  <c r="O92" i="19" s="1"/>
  <c r="J101" i="25" l="1"/>
  <c r="O118" i="25"/>
  <c r="N120" i="25"/>
  <c r="O119" i="25"/>
  <c r="D32" i="25"/>
  <c r="J95" i="25"/>
  <c r="J97" i="25" s="1"/>
  <c r="J100" i="25" s="1"/>
  <c r="D97" i="25"/>
  <c r="D64" i="25"/>
  <c r="A76" i="25"/>
  <c r="A78" i="25" s="1"/>
  <c r="A81" i="25" s="1"/>
  <c r="J32" i="25"/>
  <c r="M252" i="19"/>
  <c r="M254" i="19" s="1"/>
  <c r="J109" i="25"/>
  <c r="A158" i="9"/>
  <c r="A159" i="9" s="1"/>
  <c r="A160" i="9" s="1"/>
  <c r="A161" i="9" s="1"/>
  <c r="A162" i="9" s="1"/>
  <c r="A163" i="9" s="1"/>
  <c r="A164" i="9" s="1"/>
  <c r="A165" i="9" s="1"/>
  <c r="A166" i="9" s="1"/>
  <c r="A167" i="9" s="1"/>
  <c r="A168" i="9" s="1"/>
  <c r="A169" i="9" s="1"/>
  <c r="A170" i="9" s="1"/>
  <c r="K49" i="19"/>
  <c r="O49" i="19" s="1"/>
  <c r="E50" i="19" s="1"/>
  <c r="A99" i="3"/>
  <c r="A100" i="3" s="1"/>
  <c r="F45" i="17"/>
  <c r="K191" i="19"/>
  <c r="O191" i="19" s="1"/>
  <c r="E192" i="19" s="1"/>
  <c r="O93" i="19"/>
  <c r="O94" i="19" s="1"/>
  <c r="E98" i="19" s="1"/>
  <c r="K94" i="19"/>
  <c r="K143" i="19"/>
  <c r="O143" i="19" s="1"/>
  <c r="E144" i="19" s="1"/>
  <c r="G116" i="19"/>
  <c r="G242" i="19"/>
  <c r="K42" i="17"/>
  <c r="D43" i="17" s="1"/>
  <c r="H42" i="17"/>
  <c r="O239" i="19"/>
  <c r="E240" i="19" s="1"/>
  <c r="J102" i="25" l="1"/>
  <c r="L115" i="25"/>
  <c r="L117" i="25"/>
  <c r="O14" i="19"/>
  <c r="N121" i="25"/>
  <c r="O120" i="25"/>
  <c r="J35" i="25"/>
  <c r="J37" i="25" s="1"/>
  <c r="J103" i="25" s="1"/>
  <c r="L116" i="25"/>
  <c r="A82" i="25"/>
  <c r="A83" i="25" s="1"/>
  <c r="A84" i="25" s="1"/>
  <c r="A85" i="25" s="1"/>
  <c r="A87" i="25" s="1"/>
  <c r="A88" i="25" s="1"/>
  <c r="J69" i="25"/>
  <c r="K192" i="19"/>
  <c r="O192" i="19" s="1"/>
  <c r="K144" i="19"/>
  <c r="O144" i="19" s="1"/>
  <c r="E145" i="19" s="1"/>
  <c r="K43" i="17"/>
  <c r="D44" i="17" s="1"/>
  <c r="H43" i="17"/>
  <c r="K50" i="19"/>
  <c r="O50" i="19" s="1"/>
  <c r="E51" i="19" s="1"/>
  <c r="G243" i="19"/>
  <c r="A173" i="9"/>
  <c r="A5" i="29" s="1"/>
  <c r="A7" i="29" s="1"/>
  <c r="A9" i="29" s="1"/>
  <c r="A11" i="29" s="1"/>
  <c r="A13" i="29" s="1"/>
  <c r="D173" i="9"/>
  <c r="D170" i="9"/>
  <c r="K98" i="19"/>
  <c r="O98" i="19"/>
  <c r="E99" i="19" s="1"/>
  <c r="F46" i="17"/>
  <c r="O240" i="19"/>
  <c r="E241" i="19" s="1"/>
  <c r="K240" i="19"/>
  <c r="H17" i="23"/>
  <c r="A101" i="3"/>
  <c r="A102" i="3" s="1"/>
  <c r="K117" i="25" l="1"/>
  <c r="K116" i="25"/>
  <c r="K115" i="25"/>
  <c r="J70" i="25"/>
  <c r="N122" i="25"/>
  <c r="O121" i="25"/>
  <c r="L133" i="25"/>
  <c r="A89" i="25"/>
  <c r="B95" i="25" s="1"/>
  <c r="B92" i="25"/>
  <c r="B90" i="25"/>
  <c r="K51" i="19"/>
  <c r="O51" i="19" s="1"/>
  <c r="E52" i="19" s="1"/>
  <c r="K145" i="19"/>
  <c r="O145" i="19" s="1"/>
  <c r="M196" i="19"/>
  <c r="E196" i="19"/>
  <c r="A103" i="3"/>
  <c r="A104" i="3" s="1"/>
  <c r="D242" i="3"/>
  <c r="A14" i="29"/>
  <c r="A15" i="29" s="1"/>
  <c r="A16" i="29" s="1"/>
  <c r="A17" i="29" s="1"/>
  <c r="A18" i="29" s="1"/>
  <c r="A19" i="29" s="1"/>
  <c r="A20" i="29" s="1"/>
  <c r="A21" i="29" s="1"/>
  <c r="A22" i="29" s="1"/>
  <c r="A23" i="29" s="1"/>
  <c r="A24" i="29" s="1"/>
  <c r="A25" i="29" s="1"/>
  <c r="A26" i="29" s="1"/>
  <c r="K44" i="17"/>
  <c r="D45" i="17" s="1"/>
  <c r="H44" i="17"/>
  <c r="O241" i="19"/>
  <c r="E242" i="19" s="1"/>
  <c r="K241" i="19"/>
  <c r="K99" i="19"/>
  <c r="O99" i="19" s="1"/>
  <c r="E100" i="19" s="1"/>
  <c r="G244" i="19"/>
  <c r="F47" i="17"/>
  <c r="G116" i="25" l="1"/>
  <c r="H116" i="25" s="1"/>
  <c r="I116" i="25" s="1"/>
  <c r="Q116" i="25" s="1"/>
  <c r="G117" i="25"/>
  <c r="H117" i="25" s="1"/>
  <c r="I117" i="25" s="1"/>
  <c r="Q117" i="25" s="1"/>
  <c r="K133" i="25"/>
  <c r="G115" i="25"/>
  <c r="H115" i="25" s="1"/>
  <c r="I115" i="25" s="1"/>
  <c r="Q115" i="25" s="1"/>
  <c r="N123" i="25"/>
  <c r="O122" i="25"/>
  <c r="A90" i="25"/>
  <c r="A91" i="25" s="1"/>
  <c r="A92" i="25" s="1"/>
  <c r="D26" i="29"/>
  <c r="M149" i="19"/>
  <c r="E149" i="19"/>
  <c r="F48" i="17"/>
  <c r="A105" i="3"/>
  <c r="D244" i="3"/>
  <c r="O242" i="19"/>
  <c r="E243" i="19" s="1"/>
  <c r="K242" i="19"/>
  <c r="O196" i="19"/>
  <c r="E197" i="19" s="1"/>
  <c r="K196" i="19"/>
  <c r="K45" i="17"/>
  <c r="D46" i="17" s="1"/>
  <c r="H45" i="17"/>
  <c r="M197" i="19"/>
  <c r="M198" i="19" s="1"/>
  <c r="M199" i="19" s="1"/>
  <c r="M200" i="19" s="1"/>
  <c r="M201" i="19" s="1"/>
  <c r="M202" i="19" s="1"/>
  <c r="M203" i="19" s="1"/>
  <c r="M204" i="19" s="1"/>
  <c r="M205" i="19" s="1"/>
  <c r="M206" i="19" s="1"/>
  <c r="M207" i="19" s="1"/>
  <c r="G245" i="19"/>
  <c r="A64" i="29"/>
  <c r="A73" i="29" s="1"/>
  <c r="A79" i="29" s="1"/>
  <c r="A90" i="29" s="1"/>
  <c r="A100" i="29" s="1"/>
  <c r="A101" i="29" s="1"/>
  <c r="A102" i="29" s="1"/>
  <c r="A103" i="29" s="1"/>
  <c r="A104" i="29" s="1"/>
  <c r="A105" i="29" s="1"/>
  <c r="A106" i="29" s="1"/>
  <c r="A107" i="29" s="1"/>
  <c r="A108" i="29" s="1"/>
  <c r="A109" i="29" s="1"/>
  <c r="A110" i="29" s="1"/>
  <c r="A111" i="29" s="1"/>
  <c r="A112" i="29" s="1"/>
  <c r="A114" i="29" s="1"/>
  <c r="A119" i="29" s="1"/>
  <c r="K100" i="19"/>
  <c r="O100" i="19" s="1"/>
  <c r="E101" i="19" s="1"/>
  <c r="K52" i="19"/>
  <c r="O52" i="19" s="1"/>
  <c r="Q133" i="25" l="1"/>
  <c r="I133" i="25"/>
  <c r="E187" i="3" s="1"/>
  <c r="J187" i="3" s="1"/>
  <c r="N124" i="25"/>
  <c r="O123" i="25"/>
  <c r="A93" i="25"/>
  <c r="A95" i="25" s="1"/>
  <c r="K101" i="19"/>
  <c r="O101" i="19" s="1"/>
  <c r="M56" i="19"/>
  <c r="E56" i="19"/>
  <c r="M210" i="19"/>
  <c r="O243" i="19"/>
  <c r="E244" i="19" s="1"/>
  <c r="K243" i="19"/>
  <c r="A106" i="3"/>
  <c r="D243" i="3"/>
  <c r="C106" i="3"/>
  <c r="K46" i="17"/>
  <c r="D47" i="17" s="1"/>
  <c r="H46" i="17"/>
  <c r="F49" i="17"/>
  <c r="O197" i="19"/>
  <c r="E198" i="19" s="1"/>
  <c r="K197" i="19"/>
  <c r="G246" i="19"/>
  <c r="K149" i="19"/>
  <c r="O149" i="19"/>
  <c r="E150" i="19" s="1"/>
  <c r="M150" i="19"/>
  <c r="M151" i="19" s="1"/>
  <c r="M152" i="19" s="1"/>
  <c r="M153" i="19" s="1"/>
  <c r="M154" i="19" s="1"/>
  <c r="M155" i="19" s="1"/>
  <c r="M156" i="19" s="1"/>
  <c r="M157" i="19" s="1"/>
  <c r="M158" i="19" s="1"/>
  <c r="M159" i="19" s="1"/>
  <c r="M160" i="19" s="1"/>
  <c r="J189" i="3" l="1"/>
  <c r="E189" i="3"/>
  <c r="N125" i="25"/>
  <c r="O124" i="25"/>
  <c r="B96" i="25"/>
  <c r="A96" i="25"/>
  <c r="A97" i="25" s="1"/>
  <c r="A100" i="25" s="1"/>
  <c r="A101" i="25" s="1"/>
  <c r="A102" i="25" s="1"/>
  <c r="A103" i="25" s="1"/>
  <c r="A122" i="29"/>
  <c r="A123" i="29" s="1"/>
  <c r="A124" i="29" s="1"/>
  <c r="A125" i="29" s="1"/>
  <c r="A126" i="29" s="1"/>
  <c r="A127" i="29" s="1"/>
  <c r="A128" i="29" s="1"/>
  <c r="A129" i="29" s="1"/>
  <c r="M163" i="19"/>
  <c r="M165" i="19" s="1"/>
  <c r="E105" i="19"/>
  <c r="M105" i="19"/>
  <c r="K47" i="17"/>
  <c r="D48" i="17" s="1"/>
  <c r="H47" i="17"/>
  <c r="A108" i="3"/>
  <c r="A110" i="3" s="1"/>
  <c r="A111" i="3" s="1"/>
  <c r="O56" i="19"/>
  <c r="E57" i="19" s="1"/>
  <c r="K56" i="19"/>
  <c r="O244" i="19"/>
  <c r="E245" i="19" s="1"/>
  <c r="K244" i="19"/>
  <c r="G247" i="19"/>
  <c r="O12" i="19"/>
  <c r="O198" i="19"/>
  <c r="E199" i="19" s="1"/>
  <c r="K198" i="19"/>
  <c r="M57" i="19"/>
  <c r="M58" i="19" s="1"/>
  <c r="M59" i="19" s="1"/>
  <c r="M60" i="19" s="1"/>
  <c r="M61" i="19" s="1"/>
  <c r="M62" i="19" s="1"/>
  <c r="M63" i="19" s="1"/>
  <c r="M64" i="19" s="1"/>
  <c r="M65" i="19" s="1"/>
  <c r="M66" i="19" s="1"/>
  <c r="M67" i="19" s="1"/>
  <c r="O150" i="19"/>
  <c r="E151" i="19" s="1"/>
  <c r="K150" i="19"/>
  <c r="F50" i="17"/>
  <c r="M212" i="19"/>
  <c r="O13" i="19"/>
  <c r="J15" i="3" l="1"/>
  <c r="J21" i="3" s="1"/>
  <c r="J25" i="3" s="1"/>
  <c r="Q134" i="25"/>
  <c r="Q135" i="25" s="1"/>
  <c r="N126" i="25"/>
  <c r="O125" i="25"/>
  <c r="C97" i="25"/>
  <c r="A130" i="29"/>
  <c r="A132" i="29"/>
  <c r="A133" i="29" s="1"/>
  <c r="A112" i="3"/>
  <c r="A113" i="3" s="1"/>
  <c r="A114" i="3" s="1"/>
  <c r="O151" i="19"/>
  <c r="E152" i="19" s="1"/>
  <c r="K151" i="19"/>
  <c r="G248" i="19"/>
  <c r="C130" i="29"/>
  <c r="M70" i="19"/>
  <c r="M106" i="19"/>
  <c r="M107" i="19" s="1"/>
  <c r="M108" i="19" s="1"/>
  <c r="M109" i="19" s="1"/>
  <c r="M110" i="19" s="1"/>
  <c r="M111" i="19" s="1"/>
  <c r="M112" i="19" s="1"/>
  <c r="M113" i="19" s="1"/>
  <c r="M114" i="19" s="1"/>
  <c r="M115" i="19" s="1"/>
  <c r="M116" i="19" s="1"/>
  <c r="O245" i="19"/>
  <c r="E246" i="19" s="1"/>
  <c r="K245" i="19"/>
  <c r="K48" i="17"/>
  <c r="D49" i="17" s="1"/>
  <c r="H48" i="17"/>
  <c r="O199" i="19"/>
  <c r="E200" i="19" s="1"/>
  <c r="K199" i="19"/>
  <c r="K57" i="19"/>
  <c r="O57" i="19"/>
  <c r="E58" i="19" s="1"/>
  <c r="O105" i="19"/>
  <c r="E106" i="19" s="1"/>
  <c r="K105" i="19"/>
  <c r="N127" i="25" l="1"/>
  <c r="O126" i="25"/>
  <c r="C114" i="3"/>
  <c r="O246" i="19"/>
  <c r="E247" i="19" s="1"/>
  <c r="K246" i="19"/>
  <c r="O152" i="19"/>
  <c r="E153" i="19" s="1"/>
  <c r="K152" i="19"/>
  <c r="A116" i="3"/>
  <c r="C116" i="3"/>
  <c r="M72" i="19"/>
  <c r="O10" i="19"/>
  <c r="G249" i="19"/>
  <c r="O200" i="19"/>
  <c r="E201" i="19" s="1"/>
  <c r="K200" i="19"/>
  <c r="M119" i="19"/>
  <c r="A134" i="29"/>
  <c r="A135" i="29" s="1"/>
  <c r="A136" i="29" s="1"/>
  <c r="A137" i="29" s="1"/>
  <c r="A138" i="29" s="1"/>
  <c r="A139" i="29" s="1"/>
  <c r="O106" i="19"/>
  <c r="E107" i="19" s="1"/>
  <c r="K106" i="19"/>
  <c r="O58" i="19"/>
  <c r="E59" i="19" s="1"/>
  <c r="K58" i="19"/>
  <c r="K49" i="17"/>
  <c r="D50" i="17" s="1"/>
  <c r="H49" i="17"/>
  <c r="N128" i="25" l="1"/>
  <c r="O127" i="25"/>
  <c r="O59" i="19"/>
  <c r="E60" i="19" s="1"/>
  <c r="K59" i="19"/>
  <c r="M121" i="19"/>
  <c r="O11" i="19"/>
  <c r="O16" i="19" s="1"/>
  <c r="A142" i="3"/>
  <c r="A143" i="3" s="1"/>
  <c r="K50" i="17"/>
  <c r="H50" i="17"/>
  <c r="H51" i="17" s="1"/>
  <c r="O201" i="19"/>
  <c r="E202" i="19" s="1"/>
  <c r="K201" i="19"/>
  <c r="O247" i="19"/>
  <c r="E248" i="19" s="1"/>
  <c r="K247" i="19"/>
  <c r="A140" i="29"/>
  <c r="A142" i="29" s="1"/>
  <c r="O153" i="19"/>
  <c r="E154" i="19" s="1"/>
  <c r="K153" i="19"/>
  <c r="O107" i="19"/>
  <c r="E108" i="19" s="1"/>
  <c r="K107" i="19"/>
  <c r="C140" i="29"/>
  <c r="N129" i="25" l="1"/>
  <c r="O128" i="25"/>
  <c r="O248" i="19"/>
  <c r="E249" i="19" s="1"/>
  <c r="K248" i="19"/>
  <c r="A144" i="3"/>
  <c r="A145" i="3" s="1"/>
  <c r="A146" i="3" s="1"/>
  <c r="A147" i="3" s="1"/>
  <c r="A148" i="3" s="1"/>
  <c r="A152" i="3" s="1"/>
  <c r="O108" i="19"/>
  <c r="E109" i="19" s="1"/>
  <c r="K108" i="19"/>
  <c r="O202" i="19"/>
  <c r="E203" i="19" s="1"/>
  <c r="K202" i="19"/>
  <c r="O154" i="19"/>
  <c r="E155" i="19" s="1"/>
  <c r="K154" i="19"/>
  <c r="O60" i="19"/>
  <c r="E61" i="19" s="1"/>
  <c r="K60" i="19"/>
  <c r="O129" i="25" l="1"/>
  <c r="N130" i="25"/>
  <c r="C152" i="3"/>
  <c r="O109" i="19"/>
  <c r="E110" i="19" s="1"/>
  <c r="K109" i="19"/>
  <c r="O203" i="19"/>
  <c r="E204" i="19" s="1"/>
  <c r="K203" i="19"/>
  <c r="O249" i="19"/>
  <c r="K249" i="19"/>
  <c r="K250" i="19" s="1"/>
  <c r="A154" i="3"/>
  <c r="A155" i="3" s="1"/>
  <c r="O61" i="19"/>
  <c r="E62" i="19" s="1"/>
  <c r="K61" i="19"/>
  <c r="O155" i="19"/>
  <c r="E156" i="19" s="1"/>
  <c r="K155" i="19"/>
  <c r="N131" i="25" l="1"/>
  <c r="O130" i="25"/>
  <c r="A143" i="29"/>
  <c r="A156" i="3"/>
  <c r="A157" i="3" s="1"/>
  <c r="A158" i="3" s="1"/>
  <c r="O62" i="19"/>
  <c r="E63" i="19" s="1"/>
  <c r="K62" i="19"/>
  <c r="O156" i="19"/>
  <c r="E157" i="19" s="1"/>
  <c r="K156" i="19"/>
  <c r="O204" i="19"/>
  <c r="E205" i="19" s="1"/>
  <c r="K204" i="19"/>
  <c r="O110" i="19"/>
  <c r="E111" i="19" s="1"/>
  <c r="K110" i="19"/>
  <c r="N132" i="25" l="1"/>
  <c r="O132" i="25" s="1"/>
  <c r="O131" i="25"/>
  <c r="A144" i="29"/>
  <c r="A145" i="29" s="1"/>
  <c r="A146" i="29" s="1"/>
  <c r="A147" i="29" s="1"/>
  <c r="A148" i="29" s="1"/>
  <c r="A149" i="29" s="1"/>
  <c r="O111" i="19"/>
  <c r="E112" i="19" s="1"/>
  <c r="K111" i="19"/>
  <c r="O205" i="19"/>
  <c r="E206" i="19" s="1"/>
  <c r="K205" i="19"/>
  <c r="O157" i="19"/>
  <c r="E158" i="19" s="1"/>
  <c r="K157" i="19"/>
  <c r="O63" i="19"/>
  <c r="E64" i="19" s="1"/>
  <c r="K63" i="19"/>
  <c r="C158" i="3"/>
  <c r="A160" i="3"/>
  <c r="A161" i="3" s="1"/>
  <c r="A162" i="3" s="1"/>
  <c r="O133" i="25" l="1"/>
  <c r="C150" i="29"/>
  <c r="A150" i="29"/>
  <c r="A152" i="29" s="1"/>
  <c r="A153" i="29" s="1"/>
  <c r="O206" i="19"/>
  <c r="E207" i="19" s="1"/>
  <c r="K206" i="19"/>
  <c r="O64" i="19"/>
  <c r="E65" i="19" s="1"/>
  <c r="K64" i="19"/>
  <c r="O158" i="19"/>
  <c r="E159" i="19" s="1"/>
  <c r="K158" i="19"/>
  <c r="A163" i="3"/>
  <c r="A164" i="3" s="1"/>
  <c r="A165" i="3" s="1"/>
  <c r="A166" i="3" s="1"/>
  <c r="A167" i="3" s="1"/>
  <c r="A168" i="3" s="1"/>
  <c r="O112" i="19"/>
  <c r="E113" i="19" s="1"/>
  <c r="K112" i="19"/>
  <c r="A154" i="29" l="1"/>
  <c r="A155" i="29" s="1"/>
  <c r="A156" i="29" s="1"/>
  <c r="A157" i="29" s="1"/>
  <c r="A158" i="29" s="1"/>
  <c r="A159" i="29" s="1"/>
  <c r="C168" i="3"/>
  <c r="O113" i="19"/>
  <c r="E114" i="19" s="1"/>
  <c r="K113" i="19"/>
  <c r="A170" i="3"/>
  <c r="A171" i="3" s="1"/>
  <c r="O159" i="19"/>
  <c r="E160" i="19" s="1"/>
  <c r="K159" i="19"/>
  <c r="O65" i="19"/>
  <c r="E66" i="19" s="1"/>
  <c r="K65" i="19"/>
  <c r="O207" i="19"/>
  <c r="K207" i="19"/>
  <c r="K208" i="19" s="1"/>
  <c r="C160" i="29" l="1"/>
  <c r="A160" i="29"/>
  <c r="O66" i="19"/>
  <c r="E67" i="19" s="1"/>
  <c r="K66" i="19"/>
  <c r="O160" i="19"/>
  <c r="K160" i="19"/>
  <c r="K161" i="19" s="1"/>
  <c r="C175" i="3"/>
  <c r="A172" i="3"/>
  <c r="O114" i="19"/>
  <c r="E115" i="19" s="1"/>
  <c r="K114" i="19"/>
  <c r="A162" i="29" l="1"/>
  <c r="A163" i="29" s="1"/>
  <c r="O115" i="19"/>
  <c r="E116" i="19" s="1"/>
  <c r="K115" i="19"/>
  <c r="A173" i="3"/>
  <c r="A174" i="3" s="1"/>
  <c r="A175" i="3" s="1"/>
  <c r="O67" i="19"/>
  <c r="K67" i="19"/>
  <c r="K68" i="19" s="1"/>
  <c r="A164" i="29" l="1"/>
  <c r="A165" i="29" s="1"/>
  <c r="A166" i="29" s="1"/>
  <c r="A167" i="29" s="1"/>
  <c r="A168" i="29" s="1"/>
  <c r="A169" i="29" s="1"/>
  <c r="A176" i="3"/>
  <c r="A178" i="3" s="1"/>
  <c r="O116" i="19"/>
  <c r="K116" i="19"/>
  <c r="K117" i="19" s="1"/>
  <c r="C170" i="29" l="1"/>
  <c r="A170" i="29"/>
  <c r="A172" i="29" s="1"/>
  <c r="C179" i="3"/>
  <c r="A179" i="3"/>
  <c r="A180" i="3" s="1"/>
  <c r="A182" i="3" l="1"/>
  <c r="A183" i="3" s="1"/>
  <c r="C178" i="3" s="1"/>
  <c r="D180" i="3"/>
  <c r="C185" i="3" l="1"/>
  <c r="A185" i="3"/>
  <c r="A187" i="3" s="1"/>
  <c r="A189" i="3" s="1"/>
  <c r="C189" i="3" l="1"/>
  <c r="D15" i="3"/>
  <c r="A213" i="3"/>
  <c r="A215" i="3" s="1"/>
  <c r="A173" i="29" l="1"/>
  <c r="A216" i="3"/>
  <c r="A217" i="3" s="1"/>
  <c r="A218" i="3" s="1"/>
  <c r="A174" i="29" l="1"/>
  <c r="A175" i="29" s="1"/>
  <c r="A176" i="29" s="1"/>
  <c r="A177" i="29" s="1"/>
  <c r="A178" i="29" s="1"/>
  <c r="A179" i="29" s="1"/>
  <c r="D183" i="29" s="1"/>
  <c r="C218" i="3"/>
  <c r="C220" i="3"/>
  <c r="A220" i="3"/>
  <c r="A222" i="3" s="1"/>
  <c r="A223" i="3" s="1"/>
  <c r="A224" i="3" s="1"/>
  <c r="A180" i="29" l="1"/>
  <c r="A183" i="29" s="1"/>
  <c r="C180" i="29"/>
  <c r="A225" i="3"/>
  <c r="A226" i="3" s="1"/>
  <c r="A227" i="3" s="1"/>
  <c r="A228" i="3" s="1"/>
  <c r="A230" i="3" s="1"/>
  <c r="A231" i="3" s="1"/>
  <c r="A232" i="3" s="1"/>
  <c r="A233" i="3" s="1"/>
  <c r="B77" i="28" s="1"/>
  <c r="A234" i="3" l="1"/>
  <c r="A235" i="3" s="1"/>
  <c r="A236" i="3" s="1"/>
  <c r="C228" i="3"/>
  <c r="C173" i="3" l="1"/>
  <c r="C183" i="3"/>
  <c r="C236" i="3"/>
  <c r="A241" i="3"/>
  <c r="A242" i="3" s="1"/>
  <c r="A243" i="3" s="1"/>
  <c r="A244" i="3" s="1"/>
  <c r="A245" i="3" s="1"/>
  <c r="A246" i="3" s="1"/>
  <c r="A247" i="3" s="1"/>
  <c r="A248" i="3" s="1"/>
</calcChain>
</file>

<file path=xl/comments1.xml><?xml version="1.0" encoding="utf-8"?>
<comments xmlns="http://schemas.openxmlformats.org/spreadsheetml/2006/main">
  <authors>
    <author>Author</author>
  </authors>
  <commentList>
    <comment ref="L148" authorId="0">
      <text>
        <r>
          <rPr>
            <b/>
            <sz val="9"/>
            <color indexed="81"/>
            <rFont val="Tahoma"/>
            <family val="2"/>
          </rPr>
          <t>Author:</t>
        </r>
        <r>
          <rPr>
            <sz val="9"/>
            <color indexed="81"/>
            <rFont val="Tahoma"/>
            <family val="2"/>
          </rPr>
          <t xml:space="preserve">
Total gross cost  of transmission projects eligible for  incentive</t>
        </r>
      </text>
    </comment>
    <comment ref="M148" authorId="0">
      <text>
        <r>
          <rPr>
            <b/>
            <sz val="9"/>
            <color indexed="81"/>
            <rFont val="Tahoma"/>
            <family val="2"/>
          </rPr>
          <t>Author:</t>
        </r>
        <r>
          <rPr>
            <sz val="9"/>
            <color indexed="81"/>
            <rFont val="Tahoma"/>
            <family val="2"/>
          </rPr>
          <t xml:space="preserve">
Total ave. cost of transmission costs eligible for  incentive</t>
        </r>
      </text>
    </comment>
    <comment ref="N148" authorId="0">
      <text>
        <r>
          <rPr>
            <b/>
            <sz val="9"/>
            <color indexed="81"/>
            <rFont val="Tahoma"/>
            <family val="2"/>
          </rPr>
          <t>Author:</t>
        </r>
        <r>
          <rPr>
            <sz val="9"/>
            <color indexed="81"/>
            <rFont val="Tahoma"/>
            <family val="2"/>
          </rPr>
          <t xml:space="preserve">
Total ave. A/D for transmission projects eligible for  incentive</t>
        </r>
      </text>
    </comment>
    <comment ref="O148" authorId="0">
      <text>
        <r>
          <rPr>
            <b/>
            <sz val="9"/>
            <color indexed="81"/>
            <rFont val="Tahoma"/>
            <family val="2"/>
          </rPr>
          <t>Author:</t>
        </r>
        <r>
          <rPr>
            <sz val="9"/>
            <color indexed="81"/>
            <rFont val="Tahoma"/>
            <family val="2"/>
          </rPr>
          <t xml:space="preserve">
Ave. net investment for transmission projects eligible for  incentive</t>
        </r>
      </text>
    </comment>
    <comment ref="P148" authorId="0">
      <text>
        <r>
          <rPr>
            <b/>
            <sz val="9"/>
            <color indexed="81"/>
            <rFont val="Tahoma"/>
            <family val="2"/>
          </rPr>
          <t>Author:</t>
        </r>
        <r>
          <rPr>
            <sz val="9"/>
            <color indexed="81"/>
            <rFont val="Tahoma"/>
            <family val="2"/>
          </rPr>
          <t xml:space="preserve">
Total depreciation</t>
        </r>
      </text>
    </comment>
  </commentList>
</comments>
</file>

<file path=xl/sharedStrings.xml><?xml version="1.0" encoding="utf-8"?>
<sst xmlns="http://schemas.openxmlformats.org/spreadsheetml/2006/main" count="2356" uniqueCount="1058">
  <si>
    <t>Account 456</t>
  </si>
  <si>
    <t>GENERAL PLANT</t>
  </si>
  <si>
    <t>INTANGIBLE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</si>
  <si>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</si>
  <si>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</si>
  <si>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</si>
  <si>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</si>
  <si>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</si>
  <si>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</si>
  <si>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</si>
  <si>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</si>
  <si>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</si>
  <si>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Miscellaneous Intangible Plant</t>
  </si>
  <si>
    <t>Structures and Improvements</t>
  </si>
  <si>
    <t>Station Equipment</t>
  </si>
  <si>
    <t>Towers and Fixtures</t>
  </si>
  <si>
    <t>Poles and Fixtures</t>
  </si>
  <si>
    <t>Overhead Conductor and Devices</t>
  </si>
  <si>
    <t>Underground Conductor and Devices</t>
  </si>
  <si>
    <t>Account Number</t>
  </si>
  <si>
    <t>TRANSMISSION PLANT</t>
  </si>
  <si>
    <t>Rate (Annual)                      Percent</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</si>
  <si>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</si>
  <si>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</si>
  <si>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</si>
  <si>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HYPOTHETICAL EXAMPLE</t>
  </si>
  <si>
    <t>For the 12 months ended 12/31/____</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</si>
  <si>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</si>
  <si>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</si>
  <si>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</si>
  <si>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</si>
  <si>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</si>
  <si>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</si>
  <si>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</si>
  <si>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</si>
  <si>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</si>
  <si>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</si>
  <si>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</si>
  <si>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</si>
  <si>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</si>
  <si>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</si>
  <si>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</si>
  <si>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</si>
  <si>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</si>
  <si>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</si>
  <si>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Form No. 1</t>
  </si>
  <si>
    <t>Transmission</t>
  </si>
  <si>
    <t>Page, Line, Col.</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</si>
  <si>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</si>
  <si>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</si>
  <si>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</si>
  <si>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</si>
  <si>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</si>
  <si>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</si>
  <si>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</si>
  <si>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</si>
  <si>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</si>
  <si>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</si>
  <si>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</si>
  <si>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</si>
  <si>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</si>
  <si>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</si>
  <si>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</si>
  <si>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</si>
  <si>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</si>
  <si>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</si>
  <si>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</si>
  <si>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</si>
  <si>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</si>
  <si>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</si>
  <si>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</si>
  <si>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</si>
  <si>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</si>
  <si>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</si>
  <si>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</si>
  <si>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</si>
  <si>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</si>
  <si>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</si>
  <si>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</si>
  <si>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</si>
  <si>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</si>
  <si>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</si>
  <si>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</si>
  <si>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</si>
  <si>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</si>
  <si>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</si>
  <si>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</si>
  <si>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</si>
  <si>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</si>
  <si>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</si>
  <si>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</si>
  <si>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</si>
  <si>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</si>
  <si>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</si>
  <si>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</si>
  <si>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</si>
  <si>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</si>
  <si>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</si>
  <si>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</si>
  <si>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</si>
  <si>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</si>
  <si>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</si>
  <si>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</si>
  <si>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</si>
  <si>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</si>
  <si>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</si>
  <si>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</si>
  <si>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</si>
  <si>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</si>
  <si>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</si>
  <si>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</si>
  <si>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</si>
  <si>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</si>
  <si>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</si>
  <si>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</si>
  <si>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</si>
  <si>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</si>
  <si>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</si>
  <si>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</si>
  <si>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</si>
  <si>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</si>
  <si>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</si>
  <si>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</si>
  <si>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</si>
  <si>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</si>
  <si>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</si>
  <si>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</si>
  <si>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</si>
  <si>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</si>
  <si>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</si>
  <si>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</si>
  <si>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</si>
  <si>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</si>
  <si>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</si>
  <si>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</si>
  <si>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</si>
  <si>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</si>
  <si>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</si>
  <si>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</si>
  <si>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</si>
  <si>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</si>
  <si>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</si>
  <si>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</si>
  <si>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</si>
  <si>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</si>
  <si>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</si>
  <si>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</si>
  <si>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</si>
  <si>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</si>
  <si>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</si>
  <si>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</si>
  <si>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</si>
  <si>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</si>
  <si>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(B)</t>
  </si>
  <si>
    <t>(A)</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</si>
  <si>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</si>
  <si>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</si>
  <si>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</si>
  <si>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</si>
  <si>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</si>
  <si>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</si>
  <si>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</si>
  <si>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</si>
  <si>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</si>
  <si>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</si>
  <si>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</si>
  <si>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</si>
  <si>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</si>
  <si>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</si>
  <si>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</si>
  <si>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</si>
  <si>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</si>
  <si>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</si>
  <si>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</si>
  <si>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</si>
  <si>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</si>
  <si>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</si>
  <si>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</si>
  <si>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</si>
  <si>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</si>
  <si>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</si>
  <si>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</si>
  <si>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</si>
  <si>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</si>
  <si>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</si>
  <si>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</si>
  <si>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</si>
  <si>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</si>
  <si>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</si>
  <si>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</si>
  <si>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</si>
  <si>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</si>
  <si>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</si>
  <si>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</si>
  <si>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</si>
  <si>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</si>
  <si>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</si>
  <si>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Misc non-transmission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</si>
  <si>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</si>
  <si>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</si>
  <si>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</si>
  <si>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</si>
  <si>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</si>
  <si>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</si>
  <si>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</si>
  <si>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</si>
  <si>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</si>
  <si>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Joint pole attachments - cable</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</si>
  <si>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</si>
  <si>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</si>
  <si>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</si>
  <si>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</si>
  <si>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</si>
  <si>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</si>
  <si>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</si>
  <si>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</si>
  <si>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</si>
  <si>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</si>
  <si>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</si>
  <si>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</si>
  <si>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Total Loan Amount </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</si>
  <si>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</si>
  <si>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</si>
  <si>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</si>
  <si>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</si>
  <si>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</si>
  <si>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</si>
  <si>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</si>
  <si>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</si>
  <si>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</si>
  <si>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</si>
  <si>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</si>
  <si>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</si>
  <si>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</si>
  <si>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</si>
  <si>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</si>
  <si>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</si>
  <si>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</si>
  <si>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</si>
  <si>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</si>
  <si>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</si>
  <si>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</si>
  <si>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</si>
  <si>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 xml:space="preserve">  Preferred Stock  </t>
  </si>
  <si>
    <t>LAND HELD FOR FUTURE USE</t>
  </si>
  <si>
    <t xml:space="preserve">  Prepayments (Account 165)</t>
  </si>
  <si>
    <t xml:space="preserve">Cash Working Capital assigned to transmission is one-eighth of O&amp;M allocated to transmission </t>
  </si>
  <si>
    <t xml:space="preserve">GROSS REVENUE REQUIREMENT    </t>
  </si>
  <si>
    <t xml:space="preserve">  Unamortized Abandoned Plant</t>
  </si>
  <si>
    <t xml:space="preserve">  Amortization of Abandoned Plant</t>
  </si>
  <si>
    <t>Multi-state Workpaper</t>
  </si>
  <si>
    <t>Weighed Average</t>
  </si>
  <si>
    <t xml:space="preserve">  General and Intangible</t>
  </si>
  <si>
    <t>Commitment &amp; Utilization Fee ($000's)</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</si>
  <si>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</si>
  <si>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</si>
  <si>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</si>
  <si>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</si>
  <si>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</si>
  <si>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</si>
  <si>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</si>
  <si>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</si>
  <si>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</si>
  <si>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</si>
  <si>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</si>
  <si>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</si>
  <si>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Annual Rating Agency Fee</t>
  </si>
  <si>
    <t>Annual Bank Agency Fee</t>
  </si>
  <si>
    <t>Over (Under) Recovery</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</si>
  <si>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</si>
  <si>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</si>
  <si>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</si>
  <si>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</si>
  <si>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</si>
  <si>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</si>
  <si>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</si>
  <si>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</si>
  <si>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</si>
  <si>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</si>
  <si>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</si>
  <si>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</si>
  <si>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Total Amount of True-Up Adjustment</t>
  </si>
  <si>
    <t>Less Over (Under) Recovery</t>
  </si>
  <si>
    <t>Total Interest</t>
  </si>
  <si>
    <t>Item</t>
  </si>
  <si>
    <t xml:space="preserve">     Less EPRI &amp; Reg. Comm. Exp. &amp; Other  Ad.  </t>
  </si>
  <si>
    <t>p323.189.b</t>
  </si>
  <si>
    <t>Revenue Requirement</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</si>
  <si>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</si>
  <si>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</si>
  <si>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</si>
  <si>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</si>
  <si>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</si>
  <si>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</si>
  <si>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</si>
  <si>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</si>
  <si>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</si>
  <si>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</si>
  <si>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</si>
  <si>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</si>
  <si>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YEAR</t>
  </si>
  <si>
    <t>Final Effective cost of debt for the construction loan:</t>
  </si>
  <si>
    <t>321.112.b</t>
  </si>
  <si>
    <t>SUMMARY</t>
  </si>
  <si>
    <t>Calculation of Applicable Interest Expense for each ATRR period</t>
  </si>
  <si>
    <t>Interest Rate on Amount of Refunds or Surcharges from 35.19a</t>
  </si>
  <si>
    <t>(GP=1 if plant =0)</t>
  </si>
  <si>
    <t>(NP=1 if plant =0)</t>
  </si>
  <si>
    <t>SUPPORTING CALCULATIONS AND NOTES</t>
  </si>
  <si>
    <t>labor (labor not capitalized) current year</t>
  </si>
  <si>
    <t>PBOP Expense for current year</t>
  </si>
  <si>
    <t>PBOP Expense in Account 926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</si>
  <si>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</si>
  <si>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</si>
  <si>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</si>
  <si>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Rent from FERC Form No. 1</t>
  </si>
  <si>
    <t>Other Electric Revenues (Note 2)</t>
  </si>
  <si>
    <t>Appendix A Line #s, Descriptions, Notes, Form 1 Page #s and Instructions</t>
  </si>
  <si>
    <t xml:space="preserve">  multiplied by (1/1-T) .</t>
  </si>
  <si>
    <t xml:space="preserve">  Account No. 255 (enter negative) (Note F)</t>
  </si>
  <si>
    <t>Attachment 7</t>
  </si>
  <si>
    <t>Less</t>
  </si>
  <si>
    <t>Equals</t>
  </si>
  <si>
    <t>WAGES &amp; SALARY ALLOCATOR   (W&amp;S) (Note I)</t>
  </si>
  <si>
    <t>FERC Account</t>
  </si>
  <si>
    <t>Attachment 9 - Depreciation and Amortization Rates</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</si>
  <si>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</si>
  <si>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</si>
  <si>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</si>
  <si>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</si>
  <si>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</si>
  <si>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</si>
  <si>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</si>
  <si>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</si>
  <si>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</si>
  <si>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</si>
  <si>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</si>
  <si>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</si>
  <si>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</si>
  <si>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</si>
  <si>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</si>
  <si>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</si>
  <si>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</si>
  <si>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</si>
  <si>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</si>
  <si>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</si>
  <si>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</si>
  <si>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</si>
  <si>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</si>
  <si>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Principal Drawn In Quarter ($000's)</t>
  </si>
  <si>
    <t>Principal Drawn To Date ($000's)</t>
  </si>
  <si>
    <t>Interest &amp; Principal ($000's)</t>
  </si>
  <si>
    <t xml:space="preserve">     Less Accounts 565, 561 and 561.1 to 561.8</t>
  </si>
  <si>
    <t>K</t>
  </si>
  <si>
    <t xml:space="preserve">     (Prepayments exclude Prepaid Pension Assets)</t>
  </si>
  <si>
    <t>Reserves</t>
  </si>
  <si>
    <t>Reserve 1</t>
  </si>
  <si>
    <t>Reserve 2</t>
  </si>
  <si>
    <t>Reserve 3</t>
  </si>
  <si>
    <t>Labor</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</si>
  <si>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</si>
  <si>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</si>
  <si>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</si>
  <si>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</si>
  <si>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</si>
  <si>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</si>
  <si>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</si>
  <si>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</si>
  <si>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</si>
  <si>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</si>
  <si>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</si>
  <si>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</si>
  <si>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</si>
  <si>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</si>
  <si>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</si>
  <si>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</si>
  <si>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</si>
  <si>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</si>
  <si>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</si>
  <si>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</si>
  <si>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</si>
  <si>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</si>
  <si>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</si>
  <si>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</si>
  <si>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</si>
  <si>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</si>
  <si>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</si>
  <si>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</si>
  <si>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</si>
  <si>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6b - Accumulated Deferred Income Taxes (ADIT) Worksheet (End of Year)</t>
  </si>
  <si>
    <t>Average of Beginning of Year and End of Year ((7 +8)/2)</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</si>
  <si>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</si>
  <si>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</si>
  <si>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</si>
  <si>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</si>
  <si>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</si>
  <si>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</si>
  <si>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</si>
  <si>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For  the 12 months ended 12/31/2012</t>
  </si>
  <si>
    <t>Rate Base</t>
  </si>
  <si>
    <t>100 Basis Point Incentive Return</t>
  </si>
  <si>
    <t>Estimated Effective cost of debt used in true up</t>
  </si>
  <si>
    <t>*</t>
  </si>
  <si>
    <t>**</t>
  </si>
  <si>
    <t>The Hypothetical Example:</t>
  </si>
  <si>
    <t>Hypothetical Monthly Interest Rate</t>
  </si>
  <si>
    <t>Year 2014</t>
  </si>
  <si>
    <t>Year 2015</t>
  </si>
  <si>
    <t>Year 2016</t>
  </si>
  <si>
    <t>Year 2017</t>
  </si>
  <si>
    <t>Year 2018</t>
  </si>
  <si>
    <t>Total Amount of True-Up Adjustment for 2014 ATRR</t>
  </si>
  <si>
    <t>Calculation of Interest for 2014 True-Up Period</t>
  </si>
  <si>
    <t>Total Amount of True-Up Adjustment for 2015 ATRR</t>
  </si>
  <si>
    <t>Total Amount of True-Up Adjustment for 2016 ATRR</t>
  </si>
  <si>
    <t>Reserve 4</t>
  </si>
  <si>
    <t>…</t>
  </si>
  <si>
    <t xml:space="preserve">  ADIT</t>
  </si>
  <si>
    <t>Attachment 2 - Cost Support</t>
  </si>
  <si>
    <t xml:space="preserve">  Unamortized Regulatory Assets</t>
  </si>
  <si>
    <t>Project Name</t>
  </si>
  <si>
    <t>Regulatory Assets</t>
  </si>
  <si>
    <t>Projected Annual Transmission Revenue Requirement</t>
  </si>
  <si>
    <t>Land Rights</t>
  </si>
  <si>
    <t>Transmission facility Contributions in Aid of Construction</t>
  </si>
  <si>
    <t>depreciation rates above will be weighted based on the relative amount of underlying plant booked to the accounts</t>
  </si>
  <si>
    <t>shown in lines 1-7 above and the weighted average depreciation rate will be used to amortize the CIAC.</t>
  </si>
  <si>
    <t xml:space="preserve">Note 1:  In the event a Contribution in Aid of Construction (CIAC) is made for a transmission facility, the transmission </t>
  </si>
  <si>
    <t>Attachment 8 - Hypothetical Example of Final True-Up of Interest Rates and Interest Calculations for the Construction Loan</t>
  </si>
  <si>
    <t>Assumes financing will be a 5 year loan with Origination Fees of $2.1 million and a Commitments Fee of 0.3% on the undrawn principal.</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</si>
  <si>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</si>
  <si>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</si>
  <si>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</si>
  <si>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</si>
  <si>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</si>
  <si>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</si>
  <si>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</si>
  <si>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</si>
  <si>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</si>
  <si>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</si>
  <si>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</si>
  <si>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</si>
  <si>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</si>
  <si>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</si>
  <si>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</si>
  <si>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</si>
  <si>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</si>
  <si>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Prior year p219.25.b</t>
  </si>
  <si>
    <t>p219.25.b</t>
  </si>
  <si>
    <t>Prior year p219.26.b</t>
  </si>
  <si>
    <t>p219.26.b</t>
  </si>
  <si>
    <t>p200.21.c</t>
  </si>
  <si>
    <t>Prior year p219.28.b</t>
  </si>
  <si>
    <t>p219.28.b</t>
  </si>
  <si>
    <t>p219.20 thru 219.24.b</t>
  </si>
  <si>
    <t>p219.20:24.b (prior year)</t>
  </si>
  <si>
    <t xml:space="preserve">FERC Quarterly Interest Rate </t>
  </si>
  <si>
    <t>Qtr 3 (Previous Year)</t>
  </si>
  <si>
    <t>Qtr 4 (Previous Year)</t>
  </si>
  <si>
    <t>Qtr 1 (Current Year)</t>
  </si>
  <si>
    <t>Qtr 2 (Current Year)</t>
  </si>
  <si>
    <t xml:space="preserve">Average of the last 4 quarters </t>
  </si>
  <si>
    <t>Interest Rate Used for True-up adjustment (Note B)</t>
  </si>
  <si>
    <t>True-Up Interest Calculation</t>
  </si>
  <si>
    <t>Monthly Interest Rate on Attachment 7a</t>
  </si>
  <si>
    <t>Page 2</t>
  </si>
  <si>
    <t>Total  (sum lines 3-5)</t>
  </si>
  <si>
    <t>(a)</t>
  </si>
  <si>
    <t>(b)</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</si>
  <si>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</si>
  <si>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</si>
  <si>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</si>
  <si>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</si>
  <si>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</si>
  <si>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</si>
  <si>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</si>
  <si>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</si>
  <si>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</si>
  <si>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</si>
  <si>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Net Revenue Requirement</t>
  </si>
  <si>
    <t>NET ADJUSTED REVENUE REQUIREMENT</t>
  </si>
  <si>
    <t>n=</t>
  </si>
  <si>
    <t xml:space="preserve">  (not for profit entity ownership percentage)</t>
  </si>
  <si>
    <t>(Lines 1-4 / 4)</t>
  </si>
  <si>
    <t>(Line 6 / 12)</t>
  </si>
  <si>
    <t xml:space="preserve">     T=1 - {[(1 - SIT) * (1 - FIT)] / (1 - SIT * FIT * p))}*(1-n) =</t>
  </si>
  <si>
    <t>Underground Conduit</t>
  </si>
  <si>
    <t>Roads &amp; Trails</t>
  </si>
  <si>
    <t>ConEd</t>
  </si>
  <si>
    <t>NiMo</t>
  </si>
  <si>
    <t>NYSEG</t>
  </si>
  <si>
    <t>RGE</t>
  </si>
  <si>
    <t>CHG&amp;E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</si>
  <si>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</si>
  <si>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</si>
  <si>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</si>
  <si>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</si>
  <si>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</si>
  <si>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</si>
  <si>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</si>
  <si>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</si>
  <si>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</si>
  <si>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</si>
  <si>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</si>
  <si>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</si>
  <si>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</si>
  <si>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</si>
  <si>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</si>
  <si>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</si>
  <si>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</si>
  <si>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Monthly FERC Refund Interest Rate applicable over the ATRR period</t>
  </si>
  <si>
    <t>Total Amount of Construction Loan Related True-Up to be included in rates (Refund)/Owed</t>
  </si>
  <si>
    <t>NY-ISO</t>
  </si>
  <si>
    <t>New York</t>
  </si>
  <si>
    <t>Table 1</t>
  </si>
  <si>
    <t>Table 2</t>
  </si>
  <si>
    <t>Table 3</t>
  </si>
  <si>
    <t>Attachment 7a</t>
  </si>
  <si>
    <t>Monthly Interest Rate for Attachment 7</t>
  </si>
  <si>
    <t>*  Assumes that the construction loan is retired on December 31, 2018</t>
  </si>
  <si>
    <t>Calculation of Interest for 2015 True-Up Period</t>
  </si>
  <si>
    <t>Calculation of Interest for 2016 True-Up Period</t>
  </si>
  <si>
    <t>Calculation of Interest for 2017 True-Up Period</t>
  </si>
  <si>
    <t>Calculation of Interest for 2018 True-Up Period</t>
  </si>
  <si>
    <t>An over or under collection will be recovered prorata over 2018, held for 2019 and returned prorate over 2020</t>
  </si>
  <si>
    <t>An over or under collection will be recovered prorata over 2017, held for 2018 and 2019, and returned prorate over 2020</t>
  </si>
  <si>
    <t>An over or under collection will be recovered prorata over 2016, held for 2017, 2018 and 2019 and returned prorate over 2020</t>
  </si>
  <si>
    <t>An over or under collection will be recovered prorata over 2014, held for 2015, 2016, 2017, 2018, and 2019 and returned prorate over 2020</t>
  </si>
  <si>
    <t>Year 2019</t>
  </si>
  <si>
    <t>Year 2020</t>
  </si>
  <si>
    <t>Total Amount of True-Up Adjustment for 2017 ATRR</t>
  </si>
  <si>
    <t>Total Amount of True-Up Adjustment for 2018 ATRR</t>
  </si>
  <si>
    <t>CWIP in Rate Base</t>
  </si>
  <si>
    <t>L</t>
  </si>
  <si>
    <t>Unamortized Regulatory Assets, consisting of all expenses incurred but not included in CWIP prior to the date the rate is charged to customers, is included at line 28</t>
  </si>
  <si>
    <t>The cost of debt is determined using the internal rate of return methodology shown on Attachment 5 once project financing is obtained.  Prior to obtaining project financing,</t>
  </si>
  <si>
    <t>will be applied to actual amounts for use in Appendix A.   </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</si>
  <si>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</si>
  <si>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</si>
  <si>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</si>
  <si>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</si>
  <si>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</si>
  <si>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Line 102 Appendix A</t>
  </si>
  <si>
    <t>Incentive $ (Col (b) x Col (g)</t>
  </si>
  <si>
    <t>Col (e) / .01 x Col (f)</t>
  </si>
  <si>
    <t>Incentive % Authorized by FERC</t>
  </si>
  <si>
    <t>Difference (must be zero)</t>
  </si>
  <si>
    <t xml:space="preserve">If the first year is a partial year, the true-up (over or under recovery per month and interest calculation) will reflect only the </t>
  </si>
  <si>
    <t xml:space="preserve">An over or under collection will be recovered prorata over year collected, held for one year and returned prorata over next year. </t>
  </si>
  <si>
    <t>number of months for which the rate was charged.</t>
  </si>
  <si>
    <t>New York Transco LLC</t>
  </si>
  <si>
    <t xml:space="preserve">Line 38 or Line 41 and thus Line 45 shall include any NYISO charges other than penalties, including but not limited to administrative costs.  </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</si>
  <si>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</si>
  <si>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</si>
  <si>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</si>
  <si>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</si>
  <si>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</si>
  <si>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</si>
  <si>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Notes</t>
  </si>
  <si>
    <t xml:space="preserve">   once the actual fees are known.</t>
  </si>
  <si>
    <t>Cumulative Col. D</t>
  </si>
  <si>
    <t>Input in first Qtr of Loan</t>
  </si>
  <si>
    <t xml:space="preserve">  amounts are known</t>
  </si>
  <si>
    <t xml:space="preserve">  Unfunded Reserves (enter negative)</t>
  </si>
  <si>
    <t xml:space="preserve">  rate base.</t>
  </si>
  <si>
    <t>321.96.b &amp; 84.b to 92.b</t>
  </si>
  <si>
    <t>(Attach 2, lines 121 &amp; 136</t>
  </si>
  <si>
    <t>(Attach 2, line 15)</t>
  </si>
  <si>
    <t>(Attach 2, line 30)</t>
  </si>
  <si>
    <t>(Attach 2, lines 45 &amp; 60)</t>
  </si>
  <si>
    <t>(Attach 2, line 151)</t>
  </si>
  <si>
    <t>(Attach 2, line 91)</t>
  </si>
  <si>
    <t>(Attach 2, line 106)</t>
  </si>
  <si>
    <t>(Attach 2, line 75)</t>
  </si>
  <si>
    <t>(Attach 6a, line 9)</t>
  </si>
  <si>
    <t>(Attach 3, line 153)</t>
  </si>
  <si>
    <t xml:space="preserve">  (State Income Tax Rate or Composite SIT from Attach 3)</t>
  </si>
  <si>
    <t>(Attach 3, line 170)</t>
  </si>
  <si>
    <t>(Attach 3, line 155) (Note K)</t>
  </si>
  <si>
    <t>Incentive Return and Income Tax on Authorized Projects (Attach 4, line 58, col h)</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</si>
  <si>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</si>
  <si>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</si>
  <si>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</si>
  <si>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</si>
  <si>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</si>
  <si>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</si>
  <si>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</si>
  <si>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</si>
  <si>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3.  Line 1 reflects the loan amount, the maximum amount that can be drawn on</t>
  </si>
  <si>
    <t xml:space="preserve">EPRI and EEI Dues to be excluded from the formula rate </t>
  </si>
  <si>
    <r>
      <t xml:space="preserve"> Utilizing </t>
    </r>
    <r>
      <rPr>
        <sz val="12"/>
        <color rgb="FF7030A0"/>
        <rFont val="Arial"/>
        <family val="2"/>
      </rPr>
      <t>Appendix A</t>
    </r>
    <r>
      <rPr>
        <sz val="12"/>
        <rFont val="Arial"/>
        <family val="2"/>
      </rPr>
      <t xml:space="preserve"> Data</t>
    </r>
  </si>
  <si>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</si>
  <si>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</si>
  <si>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</si>
  <si>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</si>
  <si>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</si>
  <si>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</si>
  <si>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</si>
  <si>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</si>
  <si>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</si>
  <si>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</si>
  <si>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</si>
  <si>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</si>
  <si>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</si>
  <si>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</si>
  <si>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</si>
  <si>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</si>
  <si>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</si>
  <si>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</si>
  <si>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</si>
  <si>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</si>
  <si>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</si>
  <si>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</si>
  <si>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</si>
  <si>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</si>
  <si>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</si>
  <si>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</si>
  <si>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</si>
  <si>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</si>
  <si>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</si>
  <si>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</si>
  <si>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</si>
  <si>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</si>
  <si>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</si>
  <si>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</si>
  <si>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</si>
  <si>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</si>
  <si>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</si>
  <si>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</si>
  <si>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</si>
  <si>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</si>
  <si>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Capital Expenditures  ($000's)</t>
  </si>
  <si>
    <t>Source (Less ARO, see Note M)</t>
  </si>
  <si>
    <t xml:space="preserve">Regulatory Assets </t>
  </si>
  <si>
    <t>3a</t>
  </si>
  <si>
    <t>3b</t>
  </si>
  <si>
    <t>3c</t>
  </si>
  <si>
    <t>3x</t>
  </si>
  <si>
    <t>Abandoned Plant</t>
  </si>
  <si>
    <t>Attachment 10 - Workpapers</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</si>
  <si>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</si>
  <si>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</si>
  <si>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</si>
  <si>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</si>
  <si>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</si>
  <si>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</si>
  <si>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</si>
  <si>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</si>
  <si>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</si>
  <si>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</si>
  <si>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</si>
  <si>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</si>
  <si>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</si>
  <si>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</si>
  <si>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</si>
  <si>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</si>
  <si>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</si>
  <si>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</si>
  <si>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</si>
  <si>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</si>
  <si>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</si>
  <si>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</si>
  <si>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</si>
  <si>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</si>
  <si>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</si>
  <si>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</si>
  <si>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</si>
  <si>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</si>
  <si>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</si>
  <si>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</si>
  <si>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</si>
  <si>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</si>
  <si>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</si>
  <si>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</si>
  <si>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</si>
  <si>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</si>
  <si>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Project 1</t>
  </si>
  <si>
    <t>Project 2</t>
  </si>
  <si>
    <t>Land Held for Future Use and Estimated Date</t>
  </si>
  <si>
    <t>Intangible Plant Detail</t>
  </si>
  <si>
    <t>Service Life</t>
  </si>
  <si>
    <t xml:space="preserve">5 Yr </t>
  </si>
  <si>
    <t xml:space="preserve">7 Yr </t>
  </si>
  <si>
    <t xml:space="preserve">10 Year </t>
  </si>
  <si>
    <t xml:space="preserve">15 year </t>
  </si>
  <si>
    <t>5a</t>
  </si>
  <si>
    <t>5b</t>
  </si>
  <si>
    <t>5c</t>
  </si>
  <si>
    <t>5x</t>
  </si>
  <si>
    <t>7a</t>
  </si>
  <si>
    <t>7b</t>
  </si>
  <si>
    <t>7c</t>
  </si>
  <si>
    <t>7x</t>
  </si>
  <si>
    <t>11a</t>
  </si>
  <si>
    <t>11b</t>
  </si>
  <si>
    <t>11c</t>
  </si>
  <si>
    <t>11x</t>
  </si>
  <si>
    <t>Land Held for Future Use (LHFU)</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</si>
  <si>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</si>
  <si>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</si>
  <si>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</si>
  <si>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</si>
  <si>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</si>
  <si>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</si>
  <si>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</si>
  <si>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</si>
  <si>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</si>
  <si>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</si>
  <si>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</si>
  <si>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</si>
  <si>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</si>
  <si>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Table 4</t>
  </si>
  <si>
    <t>Table 5</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</si>
  <si>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</si>
  <si>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</si>
  <si>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</si>
  <si>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</si>
  <si>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</si>
  <si>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</si>
  <si>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</si>
  <si>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</si>
  <si>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</si>
  <si>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</si>
  <si>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</si>
  <si>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</si>
  <si>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</si>
  <si>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</si>
  <si>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</si>
  <si>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</si>
  <si>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</si>
  <si>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</si>
  <si>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</si>
  <si>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</si>
  <si>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</si>
  <si>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</si>
  <si>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</si>
  <si>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</si>
  <si>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</si>
  <si>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</si>
  <si>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</si>
  <si>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</si>
  <si>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</si>
  <si>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</si>
  <si>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</si>
  <si>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</si>
  <si>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</si>
  <si>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</si>
  <si>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</si>
  <si>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</si>
  <si>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</si>
  <si>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</si>
  <si>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</si>
  <si>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</si>
  <si>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</si>
  <si>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</si>
  <si>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</si>
  <si>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</si>
  <si>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</si>
  <si>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</si>
  <si>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</si>
  <si>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</si>
  <si>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</si>
  <si>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</si>
  <si>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</si>
  <si>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</si>
  <si>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</si>
  <si>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</si>
  <si>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</si>
  <si>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</si>
  <si>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</si>
  <si>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</si>
  <si>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</si>
  <si>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An over or under collection will be recovered prorata over 2015, held for 2016, 2017, 2018, and 2019 and returned prorate over 2020</t>
  </si>
  <si>
    <t>**  Assumes that the construction loan IRR on Attachment 5 has an effective rate of 6.5%</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</si>
  <si>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</si>
  <si>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</si>
  <si>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</si>
  <si>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</si>
  <si>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</si>
  <si>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</si>
  <si>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PBOP Adjustment for Appendix A, Line 44</t>
  </si>
  <si>
    <t>Total  (sum lines 24-26)</t>
  </si>
  <si>
    <t>Return and Income Taxes with 100 basis point increase in ROE</t>
  </si>
  <si>
    <t>Return and Income Taxes with 100 basis point increase in  ROE</t>
  </si>
  <si>
    <t>Difference in Return and Income Taxes between Base ROE and 100 Basis Point Incentive</t>
  </si>
  <si>
    <t>Attachment 10</t>
  </si>
  <si>
    <t xml:space="preserve">   to FASB 106 or 109.  The formula uses the stated average of the beginning and end of year balances to prorate ADIT to comply with IRS normalization rules.  Balance of Account 255</t>
  </si>
  <si>
    <t>Central Hudson G&amp;E</t>
  </si>
  <si>
    <t>Consolidated Edison</t>
  </si>
  <si>
    <t>NY State E&amp;G</t>
  </si>
  <si>
    <t>Rochester G&amp;E</t>
  </si>
  <si>
    <t>….</t>
  </si>
  <si>
    <t xml:space="preserve">Total  </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</si>
  <si>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</si>
  <si>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</si>
  <si>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</si>
  <si>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</si>
  <si>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</si>
  <si>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</si>
  <si>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</si>
  <si>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</si>
  <si>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</si>
  <si>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</si>
  <si>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</si>
  <si>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</si>
  <si>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</si>
  <si>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(Attach 10)  (Note L)</t>
  </si>
  <si>
    <t>(Attach 10) (Note K)</t>
  </si>
  <si>
    <t>Company Records</t>
  </si>
  <si>
    <t>Amort Exp in Formula Rate**            (f) x (g)</t>
  </si>
  <si>
    <t xml:space="preserve">**All amortizations of the Regulatory Asset are to be booked to Account 566 </t>
  </si>
  <si>
    <t>5. If the item giving rise to the ADIT is not included in the formula, the associated ADIT amount shall be excluded</t>
  </si>
  <si>
    <t>These depreciation and amortization rates will not change absent the appropriate filing at FERC.</t>
  </si>
  <si>
    <t>Once determined for a particular CIAC, the rate will not change for that CIAC absent Commission approval.</t>
  </si>
  <si>
    <t>(Attach 3, line 243)</t>
  </si>
  <si>
    <t>Amortization Expense</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</si>
  <si>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</si>
  <si>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</si>
  <si>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</si>
  <si>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</si>
  <si>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</si>
  <si>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</si>
  <si>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</si>
  <si>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</si>
  <si>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</si>
  <si>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</si>
  <si>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</si>
  <si>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</si>
  <si>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</si>
  <si>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</si>
  <si>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</si>
  <si>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</si>
  <si>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5 - Financing Costs  for Long Term Debt using the Internal Rate of Return Methodology (Note 13)</t>
  </si>
  <si>
    <t>1/4 * Interest Rate from Line 16 x Col. E prior quarter and Principal repayment</t>
  </si>
  <si>
    <t xml:space="preserve">(line 1/1000 less Col. E prior quarter)*line 13/4 +line 12/4000+line 11/4000 </t>
  </si>
  <si>
    <t>2.  The IRR is a discount rate that makes the net present value of a series of cash flows equal to zero.  The IRR equation is shown on line 4.</t>
  </si>
  <si>
    <t xml:space="preserve">4.  Lines 5 through 13 include the fees associated with the loan.  They are estimated based on current bank condition and are updated with the actual fees </t>
  </si>
  <si>
    <t xml:space="preserve">5.  The estimate of the average 3 month Libor forward rate for the year on line 14 is that published by Bloomberg Finance L.P. during August of the prior year and is trued-up to actual </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</si>
  <si>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</si>
  <si>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</si>
  <si>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12</t>
  </si>
  <si>
    <t>13</t>
  </si>
  <si>
    <t>14</t>
  </si>
  <si>
    <t>15</t>
  </si>
  <si>
    <t>16</t>
  </si>
  <si>
    <t>17</t>
  </si>
  <si>
    <t>19</t>
  </si>
  <si>
    <t>20</t>
  </si>
  <si>
    <t>21</t>
  </si>
  <si>
    <t>22</t>
  </si>
  <si>
    <t>23</t>
  </si>
  <si>
    <t>24</t>
  </si>
  <si>
    <t>25</t>
  </si>
  <si>
    <t>26</t>
  </si>
  <si>
    <t>27</t>
  </si>
  <si>
    <t>28</t>
  </si>
  <si>
    <t>30</t>
  </si>
  <si>
    <t>31</t>
  </si>
  <si>
    <t>32</t>
  </si>
  <si>
    <t>33</t>
  </si>
  <si>
    <t>34</t>
  </si>
  <si>
    <t>35</t>
  </si>
  <si>
    <t>36</t>
  </si>
  <si>
    <t>37</t>
  </si>
  <si>
    <t>8</t>
  </si>
  <si>
    <t>38</t>
  </si>
  <si>
    <t>10</t>
  </si>
  <si>
    <t>11</t>
  </si>
  <si>
    <t>18</t>
  </si>
  <si>
    <t>22a</t>
  </si>
  <si>
    <t>22b</t>
  </si>
  <si>
    <t>22c</t>
  </si>
  <si>
    <t>29</t>
  </si>
  <si>
    <t>33a</t>
  </si>
  <si>
    <t>33b</t>
  </si>
  <si>
    <t>33c</t>
  </si>
  <si>
    <t>39</t>
  </si>
  <si>
    <t>40</t>
  </si>
  <si>
    <t>41</t>
  </si>
  <si>
    <t>42</t>
  </si>
  <si>
    <t>20a</t>
  </si>
  <si>
    <t>20b</t>
  </si>
  <si>
    <t>20c</t>
  </si>
  <si>
    <t>31a</t>
  </si>
  <si>
    <t>31b</t>
  </si>
  <si>
    <t>dissimilar items with amounts exceeding $100,000 will be listed separately.  For ADIT directly related to project depreciation or CWIP, the balance must shown in a separate row for each project.</t>
  </si>
  <si>
    <t>Attachment 5</t>
  </si>
  <si>
    <t>(Attach 3, line 189)</t>
  </si>
  <si>
    <t>(Attach 10, line 2)</t>
  </si>
  <si>
    <t>(Attachment 3, line 175)</t>
  </si>
  <si>
    <t xml:space="preserve">Transmission plant included in OATT Ancillary Services and not otherwise excluded </t>
  </si>
  <si>
    <t>(Attach 3, lines 249 &amp; 270 or Attach 5) (Note G)</t>
  </si>
  <si>
    <t>(Attachment 3, line 257)</t>
  </si>
  <si>
    <t>(Attachment 3, lines 251 &amp; 273)</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</si>
  <si>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</si>
  <si>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</si>
  <si>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</si>
  <si>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</si>
  <si>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</si>
  <si>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</si>
  <si>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</si>
  <si>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43 reflects all Regulatory Commission Expenses directly related to transmission service, RTO filings, or transmission siting itemized at 351.h</t>
  </si>
  <si>
    <t>Total Regulatory Asset in Rate Base (sum lines 1a-1x):</t>
  </si>
  <si>
    <t>Total Abandoned Plant in Rate Base (sum lines 3a-3x):</t>
  </si>
  <si>
    <t>Total LHFU in rate base (sum lines 5a-5x):</t>
  </si>
  <si>
    <t>Total  (sum lines 7a-7x)</t>
  </si>
  <si>
    <t>Total  (sum lines 9a-9x)</t>
  </si>
  <si>
    <t>13a</t>
  </si>
  <si>
    <t>13b</t>
  </si>
  <si>
    <t>13c</t>
  </si>
  <si>
    <t>13x</t>
  </si>
  <si>
    <t>(sum lines 13a-13x)</t>
  </si>
  <si>
    <t>Average of Columns (d) Through (p)</t>
  </si>
  <si>
    <t>Account 454 - Rent from Electric Property  (300.19.b)</t>
  </si>
  <si>
    <t>Account 456 (including 456.1) (300.21.b and 300.22.b)</t>
  </si>
  <si>
    <t>Attachment 10, line 2, col. (v)</t>
  </si>
  <si>
    <t>Attachment 10, line 2, col. (h)</t>
  </si>
  <si>
    <t>170a</t>
  </si>
  <si>
    <t>(Attach 3, line 170a)</t>
  </si>
  <si>
    <t xml:space="preserve">(Attach 10)  </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</si>
  <si>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</si>
  <si>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</si>
  <si>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</si>
  <si>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</si>
  <si>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</si>
  <si>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</si>
  <si>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Note 1: Revenue requirements billed is input, source data are the invoices from NYISO.  The amounts exclude any true ups or prior period adjustments. </t>
  </si>
  <si>
    <t>Note 2: The actual revenue requirement is input from Attachment 4, line 66, column p.  The amounts exclude any true-ups or prior period adjustments.</t>
  </si>
  <si>
    <t>Note 3:  This "Example" sheet will be populated with actuals and used in each year's annual true-up calculation.</t>
  </si>
  <si>
    <t>Actual Revenue Requirement (Note 2)</t>
  </si>
  <si>
    <t>Attachment 7 - Example of True-Up Calculation  (Note 3)</t>
  </si>
  <si>
    <t>Revenue Requirement Billed (Note 1)</t>
  </si>
  <si>
    <t xml:space="preserve"> 18 35.19 (a)</t>
  </si>
  <si>
    <t>Pursuant to</t>
  </si>
  <si>
    <t>18 C.F.R. Section</t>
  </si>
  <si>
    <t>Attachment 8 - Hypothetical Example of Final True-Up of Interest Rates and Interest Calculations for the Construction Loan (Note 1)</t>
  </si>
  <si>
    <t>Note 1:  This 'Hypothetical Example' sheet will be populated with actuals and used in each year's annual true-up calculation.</t>
  </si>
  <si>
    <t>Based on cost of debt used in prior year true-ups (Note 2)</t>
  </si>
  <si>
    <t>Based on Actual Final Cost of Debt (Note 3)</t>
  </si>
  <si>
    <t>Note 2:  Enter the revenue requirement from the true-up for that year (Note 2)</t>
  </si>
  <si>
    <t>Note 3:  Enter the revenue requirement from re-running the prior year true-ups with the final cost of debt once all inputs to Attachment 5 are based on actual data.</t>
  </si>
  <si>
    <t xml:space="preserve">Source </t>
  </si>
  <si>
    <t xml:space="preserve">The total </t>
  </si>
  <si>
    <t>Total  (sum lines 11a-11x) ties to p207.5.g</t>
  </si>
  <si>
    <t>Niagara Mohawk</t>
  </si>
  <si>
    <t>112.19 c, d enter negative</t>
  </si>
  <si>
    <t>A worksheet will be provided if there are ever any excluded transmission plant or transmission plant in OATT Ancillary Services</t>
  </si>
  <si>
    <t>ROE Base (From Appendix A, line 93)</t>
  </si>
  <si>
    <t>(Appendix A, Line 93)</t>
  </si>
  <si>
    <t>(Appendix A, Line 91)</t>
  </si>
  <si>
    <t>(Appendix A, Line 92)</t>
  </si>
  <si>
    <t>(line 3)</t>
  </si>
  <si>
    <t>(line 4)</t>
  </si>
  <si>
    <t xml:space="preserve">  Common Stock</t>
  </si>
  <si>
    <t>(line 5 plus 100 basis points)</t>
  </si>
  <si>
    <t>(line 5 plus 1% in equity ratio))</t>
  </si>
  <si>
    <t>(line 3 minus 1% in equity ratio)</t>
  </si>
  <si>
    <t>ER15-572</t>
  </si>
  <si>
    <t>Up to $228 million for the 3 TOTS projects in aggregate</t>
  </si>
  <si>
    <t>TOTs 1 - Ramapo to Rock Tavern</t>
  </si>
  <si>
    <t>TOTs 2 - Staten Island Unbottling Feeder Split</t>
  </si>
  <si>
    <t>TOTs 3 -  NYSEG's Marcy South Series Comp Fraser to Coopers Corner</t>
  </si>
  <si>
    <t>Equity % in Capital Structure (% above base %, -% below base %)(1 equals 1%)</t>
  </si>
  <si>
    <t>After the completion of construction, the  cost of debt will be calculated pursuant to Attachment 3</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</si>
  <si>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</si>
  <si>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</si>
  <si>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dissimilar items with amounts exceeding $100,000 will be listed separately.  For ADIT directly related to project depreciation or CWIP, the balance must be shown in a separate row for each project.</t>
  </si>
  <si>
    <t>Line 41- Line 20</t>
  </si>
  <si>
    <t>calculated (1/8 * Line 45)</t>
  </si>
  <si>
    <t>The total of these additions should total the additions reported in the FERC Form No.1 on page 206, lines 48 to 56</t>
  </si>
  <si>
    <t>31c</t>
  </si>
  <si>
    <t>321.97.b</t>
  </si>
  <si>
    <t>Line 47 x line 42</t>
  </si>
  <si>
    <t>66a</t>
  </si>
  <si>
    <t>66b</t>
  </si>
  <si>
    <t>66c</t>
  </si>
  <si>
    <t>Detail of Affiliate Charges Included in NY Transco's Books as Requested by Certain Parties to the Filing</t>
  </si>
  <si>
    <t>All Accounts</t>
  </si>
  <si>
    <t>PRODUCTION PLANT</t>
  </si>
  <si>
    <t>DISTRIBUTION PLANT</t>
  </si>
  <si>
    <t xml:space="preserve">     T=1 - {[(1 - SIT) * (1 - FIT)] / (1 - SIT * FIT * p)} =  (Appendix A, line 61)</t>
  </si>
  <si>
    <t>Amortized Investment Tax Credit (line 14)</t>
  </si>
  <si>
    <t>Source of Total Column</t>
  </si>
  <si>
    <t>Development of Base Carrying charge and Summary of Incentive and Non-Incentive Investments</t>
  </si>
  <si>
    <t>The table below  breaks out the total revenue requirement on Appendix A separately  for each investment.  The total of Column (p) must equal the amount shown on Appendix A, Line 3.</t>
  </si>
  <si>
    <t>These amounts are then used to caluate the actual increase in  revenue in the table below (starting on line 66) associated with the actual incentive authortized by the Commisison</t>
  </si>
  <si>
    <t xml:space="preserve">The use of the 100 basis point calulations do not presume any particular incentive (i.e., 100 basis points) being granted by the Commisison. </t>
  </si>
  <si>
    <t>ROE Authorized by FERC (Note C)</t>
  </si>
  <si>
    <t>Expense Allocator    (line 64)</t>
  </si>
  <si>
    <t>Base Return and Tax (Line 65 x Col (b)</t>
  </si>
  <si>
    <t>O&amp;M, Taxes Other than Income                  (Col. (l) x Col. (n)</t>
  </si>
  <si>
    <t>Total Revenues (Col. (h) + (j) + (k) +(n) +(o))</t>
  </si>
  <si>
    <t>Base Carrying Charge (used in Attach 4, Line 65)</t>
  </si>
  <si>
    <t>Index</t>
  </si>
  <si>
    <t>Attachment 1</t>
  </si>
  <si>
    <t>Attachment 2</t>
  </si>
  <si>
    <t>Attachment 3</t>
  </si>
  <si>
    <t>Attachment 8</t>
  </si>
  <si>
    <t>Attachment 9</t>
  </si>
  <si>
    <t>Main body of the Formula Rate</t>
  </si>
  <si>
    <t>Detail of the Revenue Credits</t>
  </si>
  <si>
    <t>Monthly Plant and Accumulated Depreciation balances</t>
  </si>
  <si>
    <t>Cost Support Detail</t>
  </si>
  <si>
    <t>Attachment 6a and 6b</t>
  </si>
  <si>
    <t>Detail of the Accumulated Deferred Income Tax Balances</t>
  </si>
  <si>
    <t>True-Up calculations</t>
  </si>
  <si>
    <t>Depreciation Rates</t>
  </si>
  <si>
    <t>Workpapers</t>
  </si>
  <si>
    <t>Transactions between NY Transco and any entity that is associated (affiliated) with NY Transco must be reported on page 429 of the Form No. 1.  The chart below is to include all charges to the NYTransco by an affiliate, by Affilate and by FERC account number</t>
  </si>
  <si>
    <t xml:space="preserve">The calcuations below calcuate that additional revenue requirement for 100 basis points of ROE and 1 perent change in the equity component fo the capital structure. </t>
  </si>
  <si>
    <t xml:space="preserve">Calculations showing the revenue requirement by Investment, including any Incentives, </t>
  </si>
  <si>
    <t>Cost of Debt should Construction Financing be Obtained</t>
  </si>
  <si>
    <t>True-Up for the Construction Financing calculations in Attachment 5</t>
  </si>
  <si>
    <t xml:space="preserve">   The Excel ™ formula on line 2 is :  (round(XIRR(first quarter of loan Col A of Table 5:last quarter of loan Col A of Table 5, first quarter of loan Col I of Table 5: last quarter of loan Col I of Table 5, 8%),4))</t>
  </si>
  <si>
    <t>Amortized Investment Tax Credit (Atttachment 4, line 14)</t>
  </si>
  <si>
    <t>Line 41</t>
  </si>
  <si>
    <t>Preformation costs</t>
  </si>
  <si>
    <t>2016</t>
  </si>
  <si>
    <t>2106</t>
  </si>
  <si>
    <t>Apr. 30</t>
  </si>
  <si>
    <t>Line 42 removes all EEI and EPRI research, development and demonstration expenses and NY Transco will not participate in EEI or EPRI.</t>
  </si>
  <si>
    <t>ADIT-282</t>
  </si>
  <si>
    <t>Estimated acceleration depreciation (average 20-year life)</t>
  </si>
  <si>
    <t xml:space="preserve">an interest rate of 3.85% from Table 4 of Attachment 5 will be used and will not be trued up.  Attachment 5 contains an estimate of the internal rate of return methodology; the methodology </t>
  </si>
  <si>
    <t>Upto 228 million</t>
  </si>
  <si>
    <t>Over 228 million</t>
  </si>
  <si>
    <t>Regulatory Asset</t>
  </si>
  <si>
    <t>Return and Taxes</t>
  </si>
  <si>
    <t/>
  </si>
  <si>
    <t>(Lines 69 &amp; 71)</t>
  </si>
  <si>
    <t>Net Transmission Plant in Service</t>
  </si>
  <si>
    <t>[Appendix A, lines 45 and 59, less Appendix A, line 44b / Gross Transmission Plant In Service Column (l)] (Note B)</t>
  </si>
  <si>
    <t>Incentive eligible ave. gross</t>
  </si>
  <si>
    <t>Incentive eligible ave. gross (excludes gen'l)</t>
  </si>
  <si>
    <t>Total incentive eligible ave. gross (excludes gen'l)</t>
  </si>
  <si>
    <t>Incentive eligible ave. deprec.</t>
  </si>
  <si>
    <t>Incentive eligible ave. deprec. (excludes gen'l)</t>
  </si>
  <si>
    <t>Total incentive eligible ave. deprec. (excludes gen'l)</t>
  </si>
  <si>
    <t>Net ave. plant incentive eligible (excludes gen'l)</t>
  </si>
  <si>
    <t>Return and income taxes</t>
  </si>
  <si>
    <t>Depreciation and amortization</t>
  </si>
  <si>
    <t>Total O&amp;M and other taxes less amortization</t>
  </si>
  <si>
    <t>Eligible for incentive</t>
  </si>
  <si>
    <t>Project costs not subject to incentive</t>
  </si>
  <si>
    <t>Total cost ave.</t>
  </si>
  <si>
    <t>Total A/D ave.</t>
  </si>
  <si>
    <t>Net total ave.</t>
  </si>
  <si>
    <t>Incentive allowed</t>
  </si>
  <si>
    <t>Actual eligible project costs</t>
  </si>
  <si>
    <t>Total non incentive net costs</t>
  </si>
  <si>
    <t>Transmission projects-ave. gross cost</t>
  </si>
  <si>
    <t>Transmission projects-ave. A/D</t>
  </si>
  <si>
    <t>Percent  eligible for incentive</t>
  </si>
  <si>
    <t>General-ave. costs</t>
  </si>
  <si>
    <t>General-ave. A/D</t>
  </si>
  <si>
    <t>Net  general-ave.</t>
  </si>
  <si>
    <t>Net transmission projects-ave.</t>
  </si>
  <si>
    <t>See Appendix A and bottom of tab "2 - Cost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</si>
</sst>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0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000000%"/>
    <numFmt numFmtId="179" formatCode="_(* #,##0.000_);_(* \(#,##0.000\);_(* &quot;-&quot;??_);_(@_)"/>
    <numFmt numFmtId="180" formatCode="0.0000%"/>
    <numFmt numFmtId="181" formatCode="_(* #,##0.0000_);_(* \(#,##0.0000\);_(* &quot;-&quot;??_);_(@_)"/>
    <numFmt numFmtId="182" formatCode="_(* #,##0.000_);_(* \(#,##0.000\);_(* &quot;-&quot;???_);_(@_)"/>
    <numFmt numFmtId="183" formatCode="_(* #,##0.0_);_(* \(#,##0.0\);_(* &quot;-&quot;??_);_(@_)"/>
    <numFmt numFmtId="184" formatCode="#,##0.0_);\(#,##0.0\)"/>
    <numFmt numFmtId="185" formatCode="#,##0.0\ ;\(#,##0.0\)"/>
    <numFmt numFmtId="186" formatCode="#,##0_);[Red]\(#,##0\);&quot;-&quot;"/>
    <numFmt numFmtId="187" formatCode="_-* #,##0_-;\-* #,##0_-;_-* &quot;-&quot;_-;_-@_-"/>
    <numFmt numFmtId="188" formatCode="_-* #,##0.00_-;\-* #,##0.00_-;_-* &quot;-&quot;??_-;_-@_-"/>
    <numFmt numFmtId="189" formatCode="_(* #,##0_);_(* \(#,##0\);_(* &quot;0&quot;_);_(@_)"/>
    <numFmt numFmtId="190" formatCode="&quot;$&quot;_(#,##0.00_);&quot;$&quot;\(#,##0.00\)"/>
    <numFmt numFmtId="191" formatCode="_-&quot;$&quot;* #,##0.0_-;\-&quot;$&quot;* #,##0.0_-;_-&quot;$&quot;* &quot;-&quot;??_-;_-@_-"/>
    <numFmt numFmtId="192" formatCode="#,##0.0_)\x;\(#,##0.0\)\x"/>
    <numFmt numFmtId="193" formatCode="#,##0.0_)_x;\(#,##0.0\)_x"/>
    <numFmt numFmtId="194" formatCode="0.0_)\%;\(0.0\)\%"/>
    <numFmt numFmtId="195" formatCode="_-* #,##0.000_-;\-* #,##0.000_-;_-* &quot;-&quot;??_-;_-@_-"/>
    <numFmt numFmtId="196" formatCode="#,##0.0_)_%;\(#,##0.0\)_%"/>
    <numFmt numFmtId="197" formatCode="_(&quot;$&quot;* #,##0.0_);_(&quot;$&quot;* \(#,##0.0\);_(&quot;$&quot;* &quot;-&quot;?_);_(@_)"/>
    <numFmt numFmtId="198" formatCode="\£\ #,##0_);[Red]\(\£\ #,##0\)"/>
    <numFmt numFmtId="199" formatCode="#,##0.00;[Red]\(#,##0.00\);\-"/>
    <numFmt numFmtId="200" formatCode="\¥\ #,##0_);[Red]\(\¥\ #,##0\)"/>
    <numFmt numFmtId="201" formatCode="#,##0;\(#,##0\)"/>
    <numFmt numFmtId="202" formatCode="0;[Red]\(0\);\-"/>
    <numFmt numFmtId="203" formatCode="#,##0;[Red]\(#,##0\);\-"/>
    <numFmt numFmtId="204" formatCode="0.0;\(0.0\);\-"/>
    <numFmt numFmtId="205" formatCode="0.00;\(0.00\);\-"/>
    <numFmt numFmtId="206" formatCode="0.00;[Red]\(0.00\);\-"/>
    <numFmt numFmtId="207" formatCode="0.000;\(0.000\);\-"/>
    <numFmt numFmtId="208" formatCode="m\-d\-yy"/>
    <numFmt numFmtId="209" formatCode="_ &quot;R&quot;\ * #,##0_ ;_ &quot;R&quot;\ * \-#,##0_ ;_ &quot;R&quot;\ * &quot;-&quot;_ ;_ @_ "/>
    <numFmt numFmtId="210" formatCode="dd/mm/yyyy"/>
    <numFmt numFmtId="211" formatCode="#,##0_-;\(#,##0\);&quot;-&quot;"/>
    <numFmt numFmtId="212" formatCode="0.0\ \x;\(0.0\)\x;&quot;-&quot;"/>
    <numFmt numFmtId="213" formatCode="0.0%;\(0.0\)%"/>
    <numFmt numFmtId="214" formatCode="\•\ \ @"/>
    <numFmt numFmtId="215" formatCode="_-* #,##0_-;* \(#,##0\)_-;_-@_-"/>
    <numFmt numFmtId="216" formatCode="0.000_)"/>
    <numFmt numFmtId="217" formatCode="#,##0.0;[Red]\(#,##0.0\);\-"/>
    <numFmt numFmtId="218" formatCode="#,##0.000;[Red]\(#,##0.000\);\-"/>
    <numFmt numFmtId="219" formatCode="#,##0_%_);\(#,##0\)_%;**;@_%_)"/>
    <numFmt numFmtId="220" formatCode="0.0_x_)_);&quot;NM&quot;_x_)_);0.0_x_)_);@_%_)"/>
    <numFmt numFmtId="221" formatCode="0.0\ \x;\(0.0\ \x\)"/>
    <numFmt numFmtId="222" formatCode="0.0_ ;\(0.0\)_ \ "/>
    <numFmt numFmtId="223" formatCode="General_)"/>
    <numFmt numFmtId="224" formatCode="m/d"/>
    <numFmt numFmtId="225" formatCode="0.0\ \ \x\ ;\(0.0\)\ \ \x\ "/>
    <numFmt numFmtId="226" formatCode="\ \ _•\–\ \ \ \ @"/>
    <numFmt numFmtId="227" formatCode="&quot;$&quot;#,##0.0;[Red]&quot;$&quot;#,##0.0"/>
    <numFmt numFmtId="228" formatCode="d\-mmm\-yyyy"/>
    <numFmt numFmtId="229" formatCode="0.00,,;[Red]\(0.00,,\);\-"/>
    <numFmt numFmtId="230" formatCode="_-[$€-2]* #,##0.00_-;\-[$€-2]* #,##0.00_-;_-[$€-2]* &quot;-&quot;??_-"/>
    <numFmt numFmtId="231" formatCode="[Magenta]&quot;Err&quot;;[Magenta]&quot;Err&quot;;[Blue]&quot;OK&quot;"/>
    <numFmt numFmtId="232" formatCode="General\ &quot;.&quot;"/>
    <numFmt numFmtId="233" formatCode="#,##0_);[Red]\(#,##0\);\-_)"/>
    <numFmt numFmtId="234" formatCode="0.0_)%;[Red]\(0.0%\);0.0_)%"/>
    <numFmt numFmtId="235" formatCode="[Red][&gt;1]&quot;&gt;100 %&quot;;[Red]\(0.0%\);0.0_)%"/>
    <numFmt numFmtId="236" formatCode="0.00_)"/>
    <numFmt numFmtId="237" formatCode="_-* #,##0_-;\-* #,##0_-;_-* &quot;-&quot;??_-;_-@_-"/>
    <numFmt numFmtId="238" formatCode="0.0\x"/>
    <numFmt numFmtId="239" formatCode="0.0\ \x"/>
    <numFmt numFmtId="240" formatCode="0%_);\(0%\);0%_);@_%_)"/>
    <numFmt numFmtId="241" formatCode="[Blue]#,##0;[Red]\(#,##0\);\-"/>
    <numFmt numFmtId="242" formatCode="[Blue]#,##0.0;[Red]\(#,##0.0\);\-"/>
    <numFmt numFmtId="243" formatCode="[Blue]#,##0.00;[Red]\(#,##0.00\);\-"/>
    <numFmt numFmtId="244" formatCode="[Blue]#,##0.000;[Red]\(#,##0.000\);\-"/>
    <numFmt numFmtId="245" formatCode="#,##0.000_-;\(#,##0.000\);&quot;-&quot;"/>
    <numFmt numFmtId="246" formatCode="0.00%;[Red]\(0.00%\);\-"/>
    <numFmt numFmtId="247" formatCode="_-* #,##0.00%_-;* \(#,##0.00\)%_-;_-@_-"/>
    <numFmt numFmtId="248" formatCode="0.0\ \x\ ;\(0.0\)\ \x\ "/>
    <numFmt numFmtId="249" formatCode="0.0%;\(0.0%\);\-"/>
    <numFmt numFmtId="250" formatCode="0.00%;\(0.00%\);\-"/>
    <numFmt numFmtId="251" formatCode="000\-00\-0000\ "/>
    <numFmt numFmtId="252" formatCode="0____"/>
    <numFmt numFmtId="253" formatCode="_-&quot;£&quot;* #,##0_-;\-&quot;£&quot;* #,##0_-;_-&quot;£&quot;* &quot;-&quot;_-;_-@_-"/>
    <numFmt numFmtId="254" formatCode="_-&quot;£&quot;* #,##0.00_-;\-&quot;£&quot;* #,##0.00_-;_-&quot;£&quot;* &quot;-&quot;??_-;_-@_-"/>
    <numFmt numFmtId="255" formatCode="_(&quot;$&quot;* #,##0.0000_);_(&quot;$&quot;* \(#,##0.0000\);_(&quot;$&quot;* &quot;-&quot;??_);_(@_)"/>
    <numFmt numFmtId="256" formatCode="0.00_);\(0.00\)"/>
    <numFmt numFmtId="257" formatCode="_(* #,##0.0_);_(* \(#,##0.0\);_(* &quot;-&quot;?_);_(@_)"/>
    <numFmt numFmtId="258" formatCode="_(* #,##0.00000_);_(* \(#,##0.00000\);_(* &quot;-&quot;??_);_(@_)"/>
  </numFmts>
  <fonts count="191">
    <font>
      <sz val="12"/>
      <name val="Arial MT"/>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b/>
      <sz val="12"/>
      <name val="Arial"/>
      <family val="2"/>
    </font>
    <font>
      <sz val="9"/>
      <name val="Arial Narrow"/>
      <family val="2"/>
    </font>
    <font>
      <sz val="8"/>
      <name val="Arial MT"/>
    </font>
    <font>
      <b/>
      <sz val="12"/>
      <name val="Arial MT"/>
    </font>
    <font>
      <b/>
      <u/>
      <sz val="14"/>
      <name val="Arial Narrow"/>
      <family val="2"/>
    </font>
    <font>
      <b/>
      <sz val="16"/>
      <name val="Arial Narrow"/>
      <family val="2"/>
    </font>
    <font>
      <b/>
      <i/>
      <sz val="10"/>
      <color indexed="10"/>
      <name val="Arial MT"/>
    </font>
    <font>
      <b/>
      <sz val="14"/>
      <name val="Arial Narrow"/>
      <family val="2"/>
    </font>
    <font>
      <b/>
      <sz val="10"/>
      <color indexed="10"/>
      <name val="Arial"/>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i/>
      <sz val="12"/>
      <color indexed="10"/>
      <name val="Arial MT"/>
    </font>
    <font>
      <sz val="11"/>
      <name val="Calibri"/>
      <family val="2"/>
      <scheme val="minor"/>
    </font>
    <font>
      <b/>
      <sz val="10"/>
      <color rgb="FFFF0000"/>
      <name val="Arial"/>
      <family val="2"/>
    </font>
    <font>
      <sz val="11"/>
      <color rgb="FF1F497D"/>
      <name val="Calibri"/>
      <family val="2"/>
    </font>
    <font>
      <b/>
      <i/>
      <sz val="10"/>
      <color rgb="FFFF0000"/>
      <name val="Arial MT"/>
    </font>
    <font>
      <b/>
      <sz val="16"/>
      <name val="Arial"/>
      <family val="2"/>
    </font>
    <font>
      <b/>
      <sz val="10"/>
      <name val="Times New Roman"/>
      <family val="1"/>
    </font>
    <font>
      <sz val="14"/>
      <color rgb="FFFF0000"/>
      <name val="Arial Narrow"/>
      <family val="2"/>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0"/>
      <color theme="1"/>
      <name val="Arial"/>
      <family val="2"/>
    </font>
    <font>
      <sz val="12"/>
      <name val="Calibri"/>
      <family val="2"/>
    </font>
    <font>
      <u/>
      <sz val="12"/>
      <color theme="10"/>
      <name val="Arial MT"/>
    </font>
    <font>
      <sz val="9"/>
      <color rgb="FF000000"/>
      <name val="Verdana"/>
      <family val="2"/>
    </font>
    <font>
      <sz val="10"/>
      <color rgb="FFFF0000"/>
      <name val="Arial"/>
      <family val="2"/>
    </font>
    <font>
      <b/>
      <sz val="12"/>
      <color rgb="FFFF0000"/>
      <name val="Arial MT"/>
    </font>
    <font>
      <b/>
      <sz val="12"/>
      <color rgb="FF7030A0"/>
      <name val="Arial"/>
      <family val="2"/>
    </font>
    <font>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b/>
      <sz val="12"/>
      <color rgb="FF7131A1"/>
      <name val="Arial"/>
      <family val="2"/>
    </font>
    <font>
      <sz val="10"/>
      <color indexed="40"/>
      <name val="Times New Roman"/>
      <family val="1"/>
    </font>
    <font>
      <sz val="8"/>
      <color theme="1"/>
      <name val="Arial"/>
      <family val="2"/>
    </font>
    <font>
      <sz val="12"/>
      <color theme="1"/>
      <name val="Times New Roman"/>
      <family val="1"/>
    </font>
    <font>
      <sz val="12"/>
      <color theme="1"/>
      <name val="Arial Narrow"/>
      <family val="2"/>
    </font>
    <font>
      <sz val="10"/>
      <color rgb="FFFF0000"/>
      <name val="Times New Roman"/>
      <family val="1"/>
    </font>
    <font>
      <b/>
      <sz val="12"/>
      <color rgb="FFFF0000"/>
      <name val="Arial Narrow"/>
      <family val="2"/>
    </font>
    <font>
      <b/>
      <sz val="14"/>
      <color rgb="FF7030A0"/>
      <name val="Arial Narrow"/>
      <family val="2"/>
    </font>
    <font>
      <sz val="14"/>
      <color indexed="17"/>
      <name val="Arial"/>
      <family val="2"/>
    </font>
    <font>
      <sz val="14"/>
      <name val="Helv"/>
    </font>
    <font>
      <u/>
      <sz val="12"/>
      <name val="Arial Narrow"/>
      <family val="2"/>
    </font>
    <font>
      <sz val="9"/>
      <color indexed="81"/>
      <name val="Tahoma"/>
      <family val="2"/>
    </font>
    <font>
      <b/>
      <sz val="9"/>
      <color indexed="81"/>
      <name val="Tahoma"/>
      <family val="2"/>
    </font>
  </fonts>
  <fills count="68">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92D050"/>
        <bgColor indexed="64"/>
      </patternFill>
    </fill>
    <fill>
      <patternFill patternType="solid">
        <fgColor rgb="FFFF0000"/>
        <bgColor indexed="64"/>
      </patternFill>
    </fill>
  </fills>
  <borders count="76">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top/>
      <bottom style="thin">
        <color auto="1"/>
      </bottom>
      <diagonal/>
    </border>
  </borders>
  <cellStyleXfs count="527">
    <xf numFmtId="174" fontId="0" fillId="0" borderId="0" applyProtection="0"/>
    <xf numFmtId="174" fontId="3" fillId="0" borderId="0" applyFill="0"/>
    <xf numFmtId="174" fontId="3" fillId="0" borderId="0">
      <alignment horizontal="center"/>
    </xf>
    <xf numFmtId="0" fontId="3" fillId="0" borderId="0" applyFill="0">
      <alignment horizontal="center"/>
    </xf>
    <xf numFmtId="174" fontId="4" fillId="0" borderId="1" applyFill="0"/>
    <xf numFmtId="0" fontId="5" fillId="0" borderId="0" applyFont="0" applyAlignment="0"/>
    <xf numFmtId="0" fontId="6" fillId="0" borderId="0" applyFill="0">
      <alignment vertical="top"/>
    </xf>
    <xf numFmtId="0" fontId="4" fillId="0" borderId="0" applyFill="0">
      <alignment horizontal="left" vertical="top"/>
    </xf>
    <xf numFmtId="174" fontId="7" fillId="0" borderId="2" applyFill="0"/>
    <xf numFmtId="0" fontId="5" fillId="0" borderId="0" applyNumberFormat="0" applyFont="0" applyAlignment="0"/>
    <xf numFmtId="0" fontId="6" fillId="0" borderId="0" applyFill="0">
      <alignment wrapText="1"/>
    </xf>
    <xf numFmtId="0" fontId="4" fillId="0" borderId="0" applyFill="0">
      <alignment horizontal="left" vertical="top" wrapText="1"/>
    </xf>
    <xf numFmtId="174" fontId="8" fillId="0" borderId="0" applyFill="0"/>
    <xf numFmtId="0" fontId="9" fillId="0" borderId="0" applyNumberFormat="0" applyFont="0" applyAlignment="0">
      <alignment horizontal="center"/>
    </xf>
    <xf numFmtId="0" fontId="10" fillId="0" borderId="0" applyFill="0">
      <alignment vertical="top" wrapText="1"/>
    </xf>
    <xf numFmtId="0" fontId="7" fillId="0" borderId="0" applyFill="0">
      <alignment horizontal="left" vertical="top" wrapText="1"/>
    </xf>
    <xf numFmtId="174" fontId="5" fillId="0" borderId="0" applyFill="0"/>
    <xf numFmtId="0" fontId="9" fillId="0" borderId="0" applyNumberFormat="0" applyFont="0" applyAlignment="0">
      <alignment horizontal="center"/>
    </xf>
    <xf numFmtId="0" fontId="11" fillId="0" borderId="0" applyFill="0">
      <alignment vertical="center" wrapText="1"/>
    </xf>
    <xf numFmtId="0" fontId="12" fillId="0" borderId="0">
      <alignment horizontal="left" vertical="center" wrapText="1"/>
    </xf>
    <xf numFmtId="174" fontId="13" fillId="0" borderId="0" applyFill="0"/>
    <xf numFmtId="0" fontId="9" fillId="0" borderId="0" applyNumberFormat="0" applyFont="0" applyAlignment="0">
      <alignment horizontal="center"/>
    </xf>
    <xf numFmtId="0" fontId="14" fillId="0" borderId="0" applyFill="0">
      <alignment horizontal="center" vertical="center" wrapText="1"/>
    </xf>
    <xf numFmtId="0" fontId="15" fillId="0" borderId="0" applyFill="0">
      <alignment horizontal="center" vertical="center" wrapText="1"/>
    </xf>
    <xf numFmtId="174" fontId="16" fillId="0" borderId="0" applyFill="0"/>
    <xf numFmtId="0" fontId="9" fillId="0" borderId="0" applyNumberFormat="0" applyFont="0" applyAlignment="0">
      <alignment horizontal="center"/>
    </xf>
    <xf numFmtId="0" fontId="17" fillId="0" borderId="0" applyFill="0">
      <alignment horizontal="center" vertical="center" wrapText="1"/>
    </xf>
    <xf numFmtId="0" fontId="18" fillId="0" borderId="0" applyFill="0">
      <alignment horizontal="center" vertical="center" wrapText="1"/>
    </xf>
    <xf numFmtId="174" fontId="19" fillId="0" borderId="0" applyFill="0"/>
    <xf numFmtId="0" fontId="9" fillId="0" borderId="0" applyNumberFormat="0" applyFont="0" applyAlignment="0">
      <alignment horizontal="center"/>
    </xf>
    <xf numFmtId="0" fontId="20" fillId="0" borderId="0">
      <alignment horizontal="center" wrapText="1"/>
    </xf>
    <xf numFmtId="0" fontId="16" fillId="0" borderId="0" applyFill="0">
      <alignment horizontal="center" wrapText="1"/>
    </xf>
    <xf numFmtId="43" fontId="5" fillId="0" borderId="0" applyFont="0" applyFill="0" applyBorder="0" applyAlignment="0" applyProtection="0"/>
    <xf numFmtId="41"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0" fontId="5" fillId="0" borderId="3"/>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3" fillId="0" borderId="4"/>
    <xf numFmtId="0" fontId="24" fillId="0" borderId="0"/>
    <xf numFmtId="0" fontId="5" fillId="0" borderId="0"/>
    <xf numFmtId="0" fontId="15" fillId="0" borderId="0"/>
    <xf numFmtId="0" fontId="5" fillId="0" borderId="0"/>
    <xf numFmtId="0" fontId="5" fillId="0" borderId="0"/>
    <xf numFmtId="0" fontId="59" fillId="0" borderId="0"/>
    <xf numFmtId="0" fontId="5" fillId="0" borderId="0"/>
    <xf numFmtId="174" fontId="25" fillId="0" borderId="0" applyProtection="0"/>
    <xf numFmtId="0" fontId="25" fillId="0" borderId="0" applyProtection="0"/>
    <xf numFmtId="0" fontId="5" fillId="0" borderId="0"/>
    <xf numFmtId="174" fontId="25" fillId="0" borderId="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3" fontId="5" fillId="0" borderId="0">
      <alignment horizontal="left" vertical="top"/>
    </xf>
    <xf numFmtId="0" fontId="27" fillId="0" borderId="4">
      <alignment horizontal="center"/>
    </xf>
    <xf numFmtId="3" fontId="26" fillId="0" borderId="0" applyFont="0" applyFill="0" applyBorder="0" applyAlignment="0" applyProtection="0"/>
    <xf numFmtId="0" fontId="26" fillId="2" borderId="0" applyNumberFormat="0" applyFont="0" applyBorder="0" applyAlignment="0" applyProtection="0"/>
    <xf numFmtId="3" fontId="5" fillId="0" borderId="0">
      <alignment horizontal="right" vertical="top"/>
    </xf>
    <xf numFmtId="41" fontId="12" fillId="3" borderId="5" applyFill="0"/>
    <xf numFmtId="0" fontId="28" fillId="0" borderId="0">
      <alignment horizontal="left" indent="7"/>
    </xf>
    <xf numFmtId="41" fontId="12" fillId="0" borderId="5" applyFill="0">
      <alignment horizontal="left" indent="2"/>
    </xf>
    <xf numFmtId="174" fontId="29" fillId="0" borderId="6" applyFill="0">
      <alignment horizontal="right"/>
    </xf>
    <xf numFmtId="0" fontId="30" fillId="0" borderId="7" applyNumberFormat="0" applyFont="0" applyBorder="0">
      <alignment horizontal="right"/>
    </xf>
    <xf numFmtId="0" fontId="31" fillId="0" borderId="0" applyFill="0"/>
    <xf numFmtId="0" fontId="7" fillId="0" borderId="0" applyFill="0"/>
    <xf numFmtId="4" fontId="29" fillId="0" borderId="6" applyFill="0"/>
    <xf numFmtId="0" fontId="5" fillId="0" borderId="0" applyNumberFormat="0" applyFont="0" applyBorder="0" applyAlignment="0"/>
    <xf numFmtId="0" fontId="10" fillId="0" borderId="0" applyFill="0">
      <alignment horizontal="left" indent="1"/>
    </xf>
    <xf numFmtId="0" fontId="32" fillId="0" borderId="0" applyFill="0">
      <alignment horizontal="left" indent="1"/>
    </xf>
    <xf numFmtId="4" fontId="13" fillId="0" borderId="0" applyFill="0"/>
    <xf numFmtId="0" fontId="5" fillId="0" borderId="0" applyNumberFormat="0" applyFont="0" applyFill="0" applyBorder="0" applyAlignment="0"/>
    <xf numFmtId="0" fontId="10" fillId="0" borderId="0" applyFill="0">
      <alignment horizontal="left" indent="2"/>
    </xf>
    <xf numFmtId="0" fontId="7" fillId="0" borderId="0" applyFill="0">
      <alignment horizontal="left" indent="2"/>
    </xf>
    <xf numFmtId="4" fontId="13" fillId="0" borderId="0" applyFill="0"/>
    <xf numFmtId="0" fontId="5" fillId="0" borderId="0" applyNumberFormat="0" applyFont="0" applyBorder="0" applyAlignment="0"/>
    <xf numFmtId="0" fontId="33" fillId="0" borderId="0">
      <alignment horizontal="left" indent="3"/>
    </xf>
    <xf numFmtId="0" fontId="34" fillId="0" borderId="0" applyFill="0">
      <alignment horizontal="left" indent="3"/>
    </xf>
    <xf numFmtId="4" fontId="13" fillId="0" borderId="0" applyFill="0"/>
    <xf numFmtId="0" fontId="5" fillId="0" borderId="0" applyNumberFormat="0" applyFont="0" applyBorder="0" applyAlignment="0"/>
    <xf numFmtId="0" fontId="14" fillId="0" borderId="0">
      <alignment horizontal="left" indent="4"/>
    </xf>
    <xf numFmtId="0" fontId="15" fillId="0" borderId="0" applyFill="0">
      <alignment horizontal="left" indent="4"/>
    </xf>
    <xf numFmtId="4" fontId="16" fillId="0" borderId="0" applyFill="0"/>
    <xf numFmtId="0" fontId="5" fillId="0" borderId="0" applyNumberFormat="0" applyFont="0" applyBorder="0" applyAlignment="0"/>
    <xf numFmtId="0" fontId="17" fillId="0" borderId="0">
      <alignment horizontal="left" indent="5"/>
    </xf>
    <xf numFmtId="0" fontId="18" fillId="0" borderId="0" applyFill="0">
      <alignment horizontal="left" indent="5"/>
    </xf>
    <xf numFmtId="4" fontId="19" fillId="0" borderId="0" applyFill="0"/>
    <xf numFmtId="0" fontId="5" fillId="0" borderId="0" applyNumberFormat="0" applyFont="0" applyFill="0" applyBorder="0" applyAlignment="0"/>
    <xf numFmtId="0" fontId="20" fillId="0" borderId="0" applyFill="0">
      <alignment horizontal="left" indent="6"/>
    </xf>
    <xf numFmtId="0" fontId="16" fillId="0" borderId="0" applyFill="0">
      <alignment horizontal="left" indent="6"/>
    </xf>
    <xf numFmtId="0" fontId="4" fillId="4" borderId="0"/>
    <xf numFmtId="0" fontId="5" fillId="3" borderId="3" applyNumberFormat="0" applyFont="0" applyAlignment="0"/>
    <xf numFmtId="0" fontId="5" fillId="0" borderId="0" applyFont="0" applyFill="0" applyBorder="0" applyAlignment="0" applyProtection="0"/>
    <xf numFmtId="0" fontId="5" fillId="0" borderId="0"/>
    <xf numFmtId="0" fontId="87" fillId="0" borderId="0"/>
    <xf numFmtId="43" fontId="87" fillId="0" borderId="0" applyFont="0" applyFill="0" applyBorder="0" applyAlignment="0" applyProtection="0"/>
    <xf numFmtId="9" fontId="87" fillId="0" borderId="0" applyFont="0" applyFill="0" applyBorder="0" applyAlignment="0" applyProtection="0"/>
    <xf numFmtId="185" fontId="13" fillId="0" borderId="0"/>
    <xf numFmtId="186" fontId="5" fillId="0" borderId="0"/>
    <xf numFmtId="185" fontId="13" fillId="0" borderId="0"/>
    <xf numFmtId="186" fontId="5" fillId="0" borderId="0"/>
    <xf numFmtId="0" fontId="87" fillId="0" borderId="0"/>
    <xf numFmtId="187" fontId="5" fillId="0" borderId="0" applyFont="0" applyFill="0" applyBorder="0" applyAlignment="0" applyProtection="0"/>
    <xf numFmtId="0" fontId="88" fillId="0" borderId="0" applyNumberFormat="0" applyFill="0" applyBorder="0" applyAlignment="0" applyProtection="0">
      <alignment vertical="top"/>
      <protection locked="0"/>
    </xf>
    <xf numFmtId="188" fontId="5" fillId="0" borderId="0" applyFont="0" applyFill="0" applyBorder="0" applyAlignment="0" applyProtection="0"/>
    <xf numFmtId="189" fontId="89" fillId="0" borderId="0">
      <alignment horizontal="right" vertical="center"/>
    </xf>
    <xf numFmtId="0" fontId="87" fillId="0" borderId="0"/>
    <xf numFmtId="0" fontId="87" fillId="0" borderId="0"/>
    <xf numFmtId="0" fontId="87" fillId="0" borderId="0" applyFont="0" applyFill="0" applyBorder="0" applyAlignment="0" applyProtection="0"/>
    <xf numFmtId="0" fontId="87" fillId="0" borderId="0"/>
    <xf numFmtId="0" fontId="90" fillId="0" borderId="0"/>
    <xf numFmtId="0" fontId="87" fillId="0" borderId="0"/>
    <xf numFmtId="184" fontId="87" fillId="0" borderId="0" applyFont="0" applyFill="0" applyBorder="0" applyAlignment="0" applyProtection="0"/>
    <xf numFmtId="0" fontId="13" fillId="0" borderId="0" applyFont="0" applyFill="0" applyBorder="0" applyAlignment="0" applyProtection="0"/>
    <xf numFmtId="184" fontId="87" fillId="0" borderId="0" applyFont="0" applyFill="0" applyBorder="0" applyAlignment="0" applyProtection="0"/>
    <xf numFmtId="190" fontId="87" fillId="0" borderId="0" applyFont="0" applyFill="0" applyBorder="0" applyAlignment="0" applyProtection="0"/>
    <xf numFmtId="0" fontId="13" fillId="0" borderId="0" applyFont="0" applyFill="0" applyBorder="0" applyAlignment="0" applyProtection="0"/>
    <xf numFmtId="191" fontId="5" fillId="0" borderId="0" applyFont="0" applyFill="0" applyBorder="0" applyAlignment="0" applyProtection="0"/>
    <xf numFmtId="190" fontId="87" fillId="0" borderId="0" applyFont="0" applyFill="0" applyBorder="0" applyAlignment="0" applyProtection="0"/>
    <xf numFmtId="191" fontId="5" fillId="0" borderId="0" applyFont="0" applyFill="0" applyBorder="0" applyAlignment="0" applyProtection="0"/>
    <xf numFmtId="39" fontId="87" fillId="0" borderId="0" applyFont="0" applyFill="0" applyBorder="0" applyAlignment="0" applyProtection="0"/>
    <xf numFmtId="0" fontId="13" fillId="0" borderId="0" applyFont="0" applyFill="0" applyBorder="0" applyAlignment="0" applyProtection="0"/>
    <xf numFmtId="39" fontId="87" fillId="0" borderId="0" applyFont="0" applyFill="0" applyBorder="0" applyAlignment="0" applyProtection="0"/>
    <xf numFmtId="0" fontId="87" fillId="0" borderId="0" applyFont="0" applyFill="0" applyBorder="0" applyAlignment="0" applyProtection="0"/>
    <xf numFmtId="192" fontId="87" fillId="0" borderId="0" applyFont="0" applyFill="0" applyBorder="0" applyAlignment="0" applyProtection="0"/>
    <xf numFmtId="0" fontId="13" fillId="0" borderId="0" applyFont="0" applyFill="0" applyBorder="0" applyAlignment="0" applyProtection="0"/>
    <xf numFmtId="170" fontId="5" fillId="0" borderId="0" applyFont="0" applyFill="0" applyBorder="0" applyAlignment="0" applyProtection="0"/>
    <xf numFmtId="192" fontId="87" fillId="0" borderId="0" applyFont="0" applyFill="0" applyBorder="0" applyAlignment="0" applyProtection="0"/>
    <xf numFmtId="170" fontId="5" fillId="0" borderId="0" applyFont="0" applyFill="0" applyBorder="0" applyAlignment="0" applyProtection="0"/>
    <xf numFmtId="193" fontId="87" fillId="0" borderId="0" applyFont="0" applyFill="0" applyBorder="0" applyAlignment="0" applyProtection="0"/>
    <xf numFmtId="0" fontId="13" fillId="0" borderId="0" applyFont="0" applyFill="0" applyBorder="0" applyAlignment="0" applyProtection="0"/>
    <xf numFmtId="176" fontId="5" fillId="0" borderId="0" applyFont="0" applyFill="0" applyBorder="0" applyAlignment="0" applyProtection="0"/>
    <xf numFmtId="193" fontId="87" fillId="0" borderId="0" applyFont="0" applyFill="0" applyBorder="0" applyAlignment="0" applyProtection="0"/>
    <xf numFmtId="176" fontId="5" fillId="0" borderId="0" applyFont="0" applyFill="0" applyBorder="0" applyAlignment="0" applyProtection="0"/>
    <xf numFmtId="0" fontId="90" fillId="0" borderId="0"/>
    <xf numFmtId="0" fontId="87" fillId="0" borderId="0"/>
    <xf numFmtId="0" fontId="87" fillId="0" borderId="0"/>
    <xf numFmtId="194" fontId="87" fillId="0" borderId="0" applyFont="0" applyFill="0" applyBorder="0" applyAlignment="0" applyProtection="0"/>
    <xf numFmtId="0" fontId="13" fillId="0" borderId="0" applyFont="0" applyFill="0" applyBorder="0" applyAlignment="0" applyProtection="0"/>
    <xf numFmtId="195" fontId="5" fillId="0" borderId="0" applyFont="0" applyFill="0" applyBorder="0" applyAlignment="0" applyProtection="0"/>
    <xf numFmtId="194" fontId="87" fillId="0" borderId="0" applyFont="0" applyFill="0" applyBorder="0" applyAlignment="0" applyProtection="0"/>
    <xf numFmtId="195" fontId="5" fillId="0" borderId="0" applyFont="0" applyFill="0" applyBorder="0" applyAlignment="0" applyProtection="0"/>
    <xf numFmtId="196" fontId="87" fillId="0" borderId="0" applyFont="0" applyFill="0" applyBorder="0" applyAlignment="0" applyProtection="0"/>
    <xf numFmtId="0" fontId="13" fillId="0" borderId="0" applyFont="0" applyFill="0" applyBorder="0" applyAlignment="0" applyProtection="0"/>
    <xf numFmtId="197" fontId="5" fillId="0" borderId="0" applyFont="0" applyFill="0" applyBorder="0" applyAlignment="0" applyProtection="0"/>
    <xf numFmtId="196" fontId="87" fillId="0" borderId="0" applyFont="0" applyFill="0" applyBorder="0" applyAlignment="0" applyProtection="0"/>
    <xf numFmtId="197" fontId="5" fillId="0" borderId="0" applyFont="0" applyFill="0" applyBorder="0" applyAlignment="0" applyProtection="0"/>
    <xf numFmtId="0" fontId="87" fillId="0" borderId="0"/>
    <xf numFmtId="0" fontId="91" fillId="0" borderId="0" applyNumberFormat="0" applyFill="0" applyBorder="0" applyProtection="0">
      <alignment horizontal="left"/>
    </xf>
    <xf numFmtId="0" fontId="92" fillId="0" borderId="0" applyNumberFormat="0" applyFill="0" applyBorder="0" applyProtection="0">
      <alignment horizontal="centerContinuous"/>
    </xf>
    <xf numFmtId="198" fontId="88" fillId="0" borderId="0" applyFont="0" applyFill="0" applyBorder="0" applyAlignment="0" applyProtection="0"/>
    <xf numFmtId="199" fontId="93" fillId="0" borderId="0"/>
    <xf numFmtId="200" fontId="88" fillId="0" borderId="0" applyFont="0" applyFill="0" applyBorder="0" applyAlignment="0" applyProtection="0"/>
    <xf numFmtId="0" fontId="87" fillId="0" borderId="0"/>
    <xf numFmtId="201" fontId="87" fillId="0" borderId="0" applyBorder="0"/>
    <xf numFmtId="0" fontId="87" fillId="0" borderId="0" applyBorder="0"/>
    <xf numFmtId="201" fontId="87" fillId="0" borderId="0" applyBorder="0"/>
    <xf numFmtId="202" fontId="93" fillId="0" borderId="0"/>
    <xf numFmtId="202" fontId="94" fillId="0" borderId="0"/>
    <xf numFmtId="203" fontId="93" fillId="0" borderId="0"/>
    <xf numFmtId="204" fontId="95" fillId="0" borderId="0"/>
    <xf numFmtId="0" fontId="94" fillId="0" borderId="0"/>
    <xf numFmtId="205" fontId="93" fillId="0" borderId="0"/>
    <xf numFmtId="206" fontId="94" fillId="0" borderId="0"/>
    <xf numFmtId="207" fontId="93" fillId="0" borderId="0"/>
    <xf numFmtId="0" fontId="96" fillId="14" borderId="0" applyNumberFormat="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7" fillId="22" borderId="0" applyNumberFormat="0" applyBorder="0" applyAlignment="0" applyProtection="0"/>
    <xf numFmtId="0" fontId="96" fillId="17" borderId="0" applyNumberFormat="0" applyBorder="0" applyAlignment="0" applyProtection="0"/>
    <xf numFmtId="0" fontId="96" fillId="23" borderId="0" applyNumberFormat="0" applyBorder="0" applyAlignment="0" applyProtection="0"/>
    <xf numFmtId="0" fontId="97" fillId="18"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7" fillId="1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7" fillId="28" borderId="0" applyNumberFormat="0" applyBorder="0" applyAlignment="0" applyProtection="0"/>
    <xf numFmtId="208" fontId="98" fillId="29" borderId="46">
      <alignment horizontal="center" vertical="center"/>
    </xf>
    <xf numFmtId="201" fontId="99" fillId="0" borderId="0" applyFont="0" applyFill="0" applyBorder="0" applyAlignment="0" applyProtection="0"/>
    <xf numFmtId="0" fontId="99" fillId="0" borderId="0" applyFont="0" applyFill="0" applyBorder="0" applyAlignment="0" applyProtection="0"/>
    <xf numFmtId="0" fontId="87" fillId="0" borderId="0"/>
    <xf numFmtId="209" fontId="100" fillId="0" borderId="0" applyFont="0" applyFill="0" applyBorder="0" applyAlignment="0" applyProtection="0"/>
    <xf numFmtId="0" fontId="99" fillId="0" borderId="0" applyFont="0" applyFill="0" applyBorder="0" applyAlignment="0" applyProtection="0"/>
    <xf numFmtId="210" fontId="7" fillId="29" borderId="0" applyFont="0" applyFill="0" applyBorder="0" applyAlignment="0" applyProtection="0"/>
    <xf numFmtId="0" fontId="30" fillId="29" borderId="0" applyNumberFormat="0" applyFont="0" applyAlignment="0">
      <alignment horizontal="center"/>
    </xf>
    <xf numFmtId="211" fontId="53" fillId="6" borderId="7" applyAlignment="0">
      <protection locked="0"/>
    </xf>
    <xf numFmtId="212" fontId="7" fillId="29" borderId="0" applyFont="0" applyFill="0" applyBorder="0" applyAlignment="0" applyProtection="0"/>
    <xf numFmtId="213" fontId="7" fillId="29" borderId="0" applyFont="0" applyFill="0" applyBorder="0" applyAlignment="0" applyProtection="0"/>
    <xf numFmtId="0" fontId="101" fillId="0" borderId="0" applyNumberFormat="0" applyFill="0" applyBorder="0" applyAlignment="0" applyProtection="0"/>
    <xf numFmtId="0" fontId="73" fillId="0" borderId="6" applyNumberFormat="0" applyFill="0" applyAlignment="0" applyProtection="0"/>
    <xf numFmtId="0" fontId="93" fillId="0" borderId="0"/>
    <xf numFmtId="214" fontId="88"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3" fillId="0" borderId="0"/>
    <xf numFmtId="0" fontId="99" fillId="0" borderId="0" applyFill="0" applyBorder="0" applyAlignment="0"/>
    <xf numFmtId="215" fontId="5" fillId="3" borderId="0"/>
    <xf numFmtId="0" fontId="87" fillId="0" borderId="0">
      <alignment vertical="center"/>
    </xf>
    <xf numFmtId="37" fontId="30" fillId="0" borderId="6">
      <alignment horizontal="center"/>
    </xf>
    <xf numFmtId="37" fontId="30" fillId="0" borderId="0">
      <alignment horizontal="center" vertical="center" wrapText="1"/>
    </xf>
    <xf numFmtId="216" fontId="88" fillId="0" borderId="0"/>
    <xf numFmtId="216" fontId="88" fillId="0" borderId="0"/>
    <xf numFmtId="216" fontId="88" fillId="0" borderId="0"/>
    <xf numFmtId="216" fontId="88" fillId="0" borderId="0"/>
    <xf numFmtId="216" fontId="88" fillId="0" borderId="0"/>
    <xf numFmtId="216" fontId="88" fillId="0" borderId="0"/>
    <xf numFmtId="216" fontId="88" fillId="0" borderId="0"/>
    <xf numFmtId="216" fontId="88" fillId="0" borderId="0"/>
    <xf numFmtId="38" fontId="5" fillId="0" borderId="0" applyFont="0" applyFill="0" applyBorder="0" applyAlignment="0" applyProtection="0"/>
    <xf numFmtId="217" fontId="95" fillId="0" borderId="0"/>
    <xf numFmtId="199" fontId="93" fillId="0" borderId="0"/>
    <xf numFmtId="218" fontId="95" fillId="0" borderId="0"/>
    <xf numFmtId="0" fontId="104" fillId="0" borderId="0" applyFont="0" applyFill="0" applyBorder="0" applyAlignment="0" applyProtection="0">
      <alignment horizontal="right"/>
    </xf>
    <xf numFmtId="219" fontId="104" fillId="0" borderId="0" applyFont="0" applyFill="0" applyBorder="0" applyAlignment="0" applyProtection="0"/>
    <xf numFmtId="0" fontId="104" fillId="0" borderId="0" applyFont="0" applyFill="0" applyBorder="0" applyAlignment="0" applyProtection="0">
      <alignment horizontal="right"/>
    </xf>
    <xf numFmtId="220" fontId="87" fillId="0" borderId="0" applyFont="0" applyFill="0" applyBorder="0" applyAlignment="0" applyProtection="0"/>
    <xf numFmtId="0" fontId="104" fillId="0" borderId="0" applyFont="0" applyFill="0" applyBorder="0" applyAlignment="0" applyProtection="0">
      <alignment horizontal="right"/>
    </xf>
    <xf numFmtId="221" fontId="87" fillId="0" borderId="0" applyFont="0" applyFill="0" applyBorder="0" applyAlignment="0" applyProtection="0"/>
    <xf numFmtId="222" fontId="87" fillId="0" borderId="0" applyFont="0" applyFill="0" applyBorder="0" applyAlignment="0" applyProtection="0"/>
    <xf numFmtId="38" fontId="88" fillId="0" borderId="0" applyFill="0" applyBorder="0" applyProtection="0">
      <alignment horizontal="center"/>
    </xf>
    <xf numFmtId="223" fontId="87" fillId="0" borderId="0" applyFill="0" applyBorder="0">
      <alignment horizontal="left"/>
    </xf>
    <xf numFmtId="0" fontId="105" fillId="0" borderId="0" applyNumberFormat="0" applyAlignment="0">
      <alignment horizontal="left"/>
    </xf>
    <xf numFmtId="37" fontId="87" fillId="30" borderId="0" applyFont="0" applyBorder="0" applyAlignment="0" applyProtection="0"/>
    <xf numFmtId="184" fontId="106" fillId="30" borderId="0" applyFont="0" applyBorder="0" applyAlignment="0" applyProtection="0"/>
    <xf numFmtId="39" fontId="106" fillId="30" borderId="0" applyFont="0" applyBorder="0" applyAlignment="0" applyProtection="0"/>
    <xf numFmtId="42" fontId="5" fillId="0" borderId="0">
      <alignment horizontal="right"/>
    </xf>
    <xf numFmtId="0" fontId="104" fillId="0" borderId="0" applyFont="0" applyFill="0" applyBorder="0" applyAlignment="0" applyProtection="0">
      <alignment horizontal="right"/>
    </xf>
    <xf numFmtId="224" fontId="87" fillId="0" borderId="0" applyFont="0" applyFill="0" applyBorder="0" applyAlignment="0" applyProtection="0"/>
    <xf numFmtId="0" fontId="104" fillId="0" borderId="0" applyFont="0" applyFill="0" applyBorder="0" applyAlignment="0" applyProtection="0">
      <alignment horizontal="right"/>
    </xf>
    <xf numFmtId="223" fontId="87" fillId="0" borderId="0" applyFont="0" applyFill="0" applyBorder="0" applyAlignment="0" applyProtection="0"/>
    <xf numFmtId="225" fontId="87" fillId="0" borderId="0" applyFont="0" applyFill="0" applyBorder="0" applyAlignment="0" applyProtection="0"/>
    <xf numFmtId="226" fontId="88" fillId="0" borderId="0" applyFont="0" applyFill="0" applyBorder="0" applyAlignment="0" applyProtection="0"/>
    <xf numFmtId="0" fontId="104" fillId="0" borderId="0" applyFont="0" applyFill="0" applyBorder="0" applyAlignment="0" applyProtection="0"/>
    <xf numFmtId="227" fontId="87" fillId="0" borderId="0" applyFont="0" applyFill="0" applyBorder="0" applyAlignment="0" applyProtection="0"/>
    <xf numFmtId="0" fontId="104" fillId="0" borderId="0" applyFont="0" applyFill="0" applyBorder="0" applyAlignment="0" applyProtection="0"/>
    <xf numFmtId="228" fontId="87" fillId="0" borderId="0" applyFill="0" applyBorder="0"/>
    <xf numFmtId="203" fontId="95" fillId="0" borderId="0">
      <alignment horizontal="right"/>
    </xf>
    <xf numFmtId="199" fontId="95" fillId="0" borderId="0">
      <alignment horizontal="right"/>
      <protection locked="0"/>
    </xf>
    <xf numFmtId="199" fontId="95" fillId="0" borderId="0"/>
    <xf numFmtId="229" fontId="95" fillId="0" borderId="0">
      <alignment horizontal="right"/>
      <protection locked="0"/>
    </xf>
    <xf numFmtId="187" fontId="87" fillId="0" borderId="0" applyFont="0" applyFill="0" applyBorder="0" applyAlignment="0" applyProtection="0"/>
    <xf numFmtId="188" fontId="87" fillId="0" borderId="0" applyFont="0" applyFill="0" applyBorder="0" applyAlignment="0" applyProtection="0"/>
    <xf numFmtId="8" fontId="88" fillId="0" borderId="0" applyFill="0" applyBorder="0" applyProtection="0">
      <alignment horizontal="center"/>
    </xf>
    <xf numFmtId="6" fontId="88" fillId="0" borderId="0">
      <alignment horizontal="center"/>
    </xf>
    <xf numFmtId="8" fontId="88" fillId="0" borderId="0" applyFill="0" applyBorder="0" applyProtection="0">
      <alignment horizontal="center"/>
    </xf>
    <xf numFmtId="0" fontId="104" fillId="0" borderId="47" applyNumberFormat="0" applyFont="0" applyFill="0" applyAlignment="0" applyProtection="0"/>
    <xf numFmtId="202" fontId="95" fillId="0" borderId="0"/>
    <xf numFmtId="0" fontId="107" fillId="31"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8" fillId="0" borderId="0" applyNumberFormat="0" applyAlignment="0">
      <alignment horizontal="left"/>
    </xf>
    <xf numFmtId="230" fontId="109" fillId="0" borderId="0" applyFont="0" applyFill="0" applyBorder="0" applyAlignment="0" applyProtection="0"/>
    <xf numFmtId="0" fontId="88" fillId="34" borderId="0" applyNumberFormat="0" applyFont="0" applyBorder="0" applyAlignment="0" applyProtection="0"/>
    <xf numFmtId="0" fontId="110" fillId="0" borderId="0" applyNumberFormat="0" applyFill="0" applyBorder="0" applyAlignment="0" applyProtection="0"/>
    <xf numFmtId="231" fontId="111" fillId="0" borderId="0" applyFill="0" applyBorder="0"/>
    <xf numFmtId="15" fontId="112" fillId="0" borderId="0" applyFill="0" applyBorder="0" applyProtection="0">
      <alignment horizontal="center"/>
    </xf>
    <xf numFmtId="0" fontId="88" fillId="35" borderId="0" applyNumberFormat="0" applyFont="0" applyBorder="0" applyAlignment="0" applyProtection="0"/>
    <xf numFmtId="232" fontId="113" fillId="36" borderId="30" applyAlignment="0" applyProtection="0"/>
    <xf numFmtId="233" fontId="114" fillId="0" borderId="0" applyNumberFormat="0" applyFill="0" applyBorder="0" applyAlignment="0" applyProtection="0"/>
    <xf numFmtId="233" fontId="115" fillId="0" borderId="0" applyNumberFormat="0" applyFill="0" applyBorder="0" applyAlignment="0" applyProtection="0"/>
    <xf numFmtId="15" fontId="53" fillId="37" borderId="48">
      <alignment horizontal="center"/>
      <protection locked="0"/>
    </xf>
    <xf numFmtId="234" fontId="53" fillId="37" borderId="48" applyAlignment="0">
      <protection locked="0"/>
    </xf>
    <xf numFmtId="233" fontId="53" fillId="37" borderId="48" applyAlignment="0">
      <protection locked="0"/>
    </xf>
    <xf numFmtId="233" fontId="112" fillId="0" borderId="0" applyFill="0" applyBorder="0" applyAlignment="0" applyProtection="0"/>
    <xf numFmtId="234" fontId="112" fillId="0" borderId="0" applyFill="0" applyBorder="0" applyAlignment="0" applyProtection="0"/>
    <xf numFmtId="235" fontId="112" fillId="0" borderId="0" applyFill="0" applyBorder="0" applyAlignment="0" applyProtection="0"/>
    <xf numFmtId="0" fontId="88" fillId="0" borderId="49" applyNumberFormat="0" applyFont="0" applyAlignment="0" applyProtection="0"/>
    <xf numFmtId="0" fontId="88" fillId="0" borderId="50" applyNumberFormat="0" applyFont="0" applyAlignment="0" applyProtection="0"/>
    <xf numFmtId="0" fontId="88" fillId="38" borderId="0" applyNumberFormat="0" applyFont="0" applyBorder="0" applyAlignment="0" applyProtection="0"/>
    <xf numFmtId="0" fontId="116" fillId="0" borderId="0"/>
    <xf numFmtId="0" fontId="117" fillId="0" borderId="0" applyFill="0" applyBorder="0" applyProtection="0">
      <alignment horizontal="left"/>
    </xf>
    <xf numFmtId="4" fontId="118" fillId="0" borderId="0">
      <protection locked="0"/>
    </xf>
    <xf numFmtId="10" fontId="119" fillId="39" borderId="7" applyNumberFormat="0" applyFill="0" applyBorder="0" applyAlignment="0" applyProtection="0">
      <protection locked="0"/>
    </xf>
    <xf numFmtId="0" fontId="30" fillId="29" borderId="0" applyFont="0" applyFill="0" applyBorder="0" applyAlignment="0" applyProtection="0"/>
    <xf numFmtId="38" fontId="3" fillId="3" borderId="0" applyNumberFormat="0" applyBorder="0" applyAlignment="0" applyProtection="0"/>
    <xf numFmtId="0" fontId="104" fillId="0" borderId="0" applyFont="0" applyFill="0" applyBorder="0" applyAlignment="0" applyProtection="0">
      <alignment horizontal="right"/>
    </xf>
    <xf numFmtId="0" fontId="120" fillId="0" borderId="0" applyProtection="0">
      <alignment horizontal="right"/>
    </xf>
    <xf numFmtId="0" fontId="7" fillId="0" borderId="17" applyNumberFormat="0" applyAlignment="0" applyProtection="0">
      <alignment horizontal="left" vertical="center"/>
    </xf>
    <xf numFmtId="0" fontId="7" fillId="0" borderId="30">
      <alignment horizontal="left" vertical="center"/>
    </xf>
    <xf numFmtId="236" fontId="121" fillId="0" borderId="0">
      <alignment horizontal="right"/>
    </xf>
    <xf numFmtId="0" fontId="53" fillId="0" borderId="51" applyNumberFormat="0" applyFill="0" applyAlignment="0" applyProtection="0"/>
    <xf numFmtId="0" fontId="51" fillId="0" borderId="0">
      <alignment wrapText="1"/>
    </xf>
    <xf numFmtId="10" fontId="3" fillId="40" borderId="7" applyNumberFormat="0" applyBorder="0" applyAlignment="0" applyProtection="0"/>
    <xf numFmtId="0" fontId="53" fillId="0" borderId="0" applyNumberFormat="0" applyFill="0" applyBorder="0" applyAlignment="0">
      <protection locked="0"/>
    </xf>
    <xf numFmtId="0" fontId="122" fillId="41" borderId="0"/>
    <xf numFmtId="215" fontId="30" fillId="42" borderId="0">
      <protection locked="0"/>
    </xf>
    <xf numFmtId="237" fontId="88" fillId="0" borderId="0"/>
    <xf numFmtId="40" fontId="123" fillId="0" borderId="0">
      <alignment horizontal="right"/>
    </xf>
    <xf numFmtId="37" fontId="4" fillId="0" borderId="0"/>
    <xf numFmtId="0" fontId="124" fillId="0" borderId="0">
      <alignment vertical="center"/>
    </xf>
    <xf numFmtId="0" fontId="87" fillId="0" borderId="0" applyNumberFormat="0" applyFill="0" applyBorder="0" applyAlignment="0" applyProtection="0"/>
    <xf numFmtId="0" fontId="125" fillId="0" borderId="4"/>
    <xf numFmtId="238" fontId="88" fillId="0" borderId="0" applyFill="0" applyBorder="0" applyProtection="0">
      <alignment horizontal="center"/>
    </xf>
    <xf numFmtId="239" fontId="42" fillId="0" borderId="0" applyFont="0" applyFill="0" applyBorder="0" applyAlignment="0" applyProtection="0">
      <alignment horizontal="centerContinuous"/>
      <protection locked="0"/>
    </xf>
    <xf numFmtId="240" fontId="3" fillId="0" borderId="0" applyFont="0" applyFill="0" applyBorder="0" applyAlignment="0" applyProtection="0">
      <alignment horizontal="right"/>
    </xf>
    <xf numFmtId="233" fontId="5" fillId="34" borderId="0"/>
    <xf numFmtId="233" fontId="110" fillId="0" borderId="0"/>
    <xf numFmtId="231" fontId="111" fillId="0" borderId="0"/>
    <xf numFmtId="15" fontId="112" fillId="0" borderId="0">
      <alignment horizontal="center"/>
    </xf>
    <xf numFmtId="233" fontId="5" fillId="35" borderId="0"/>
    <xf numFmtId="232" fontId="113" fillId="36" borderId="30"/>
    <xf numFmtId="233" fontId="114" fillId="0" borderId="0"/>
    <xf numFmtId="233" fontId="115" fillId="0" borderId="0"/>
    <xf numFmtId="15" fontId="53" fillId="37" borderId="48">
      <alignment horizontal="center"/>
      <protection locked="0"/>
    </xf>
    <xf numFmtId="234" fontId="53" fillId="37" borderId="48">
      <protection locked="0"/>
    </xf>
    <xf numFmtId="233" fontId="53" fillId="37" borderId="48">
      <protection locked="0"/>
    </xf>
    <xf numFmtId="233" fontId="112" fillId="0" borderId="0"/>
    <xf numFmtId="234" fontId="112" fillId="0" borderId="0"/>
    <xf numFmtId="235" fontId="112" fillId="0" borderId="0"/>
    <xf numFmtId="233" fontId="5" fillId="0" borderId="49"/>
    <xf numFmtId="233" fontId="5" fillId="0" borderId="50"/>
    <xf numFmtId="233" fontId="5" fillId="38" borderId="0"/>
    <xf numFmtId="37" fontId="126" fillId="0" borderId="0"/>
    <xf numFmtId="0" fontId="87" fillId="0" borderId="0"/>
    <xf numFmtId="241" fontId="71" fillId="0" borderId="0"/>
    <xf numFmtId="241" fontId="71" fillId="0" borderId="6"/>
    <xf numFmtId="241" fontId="71" fillId="0" borderId="52"/>
    <xf numFmtId="242" fontId="95" fillId="0" borderId="0"/>
    <xf numFmtId="243" fontId="95" fillId="0" borderId="0"/>
    <xf numFmtId="244" fontId="95" fillId="0" borderId="0"/>
    <xf numFmtId="217" fontId="93" fillId="0" borderId="52"/>
    <xf numFmtId="0" fontId="53" fillId="0" borderId="0" applyFill="0" applyBorder="0">
      <protection locked="0"/>
    </xf>
    <xf numFmtId="245" fontId="12" fillId="0" borderId="0" applyFont="0" applyFill="0" applyBorder="0" applyAlignment="0" applyProtection="0"/>
    <xf numFmtId="0" fontId="127" fillId="0" borderId="0"/>
    <xf numFmtId="0" fontId="87" fillId="0" borderId="0"/>
    <xf numFmtId="40" fontId="112" fillId="43" borderId="0">
      <alignment horizontal="right"/>
    </xf>
    <xf numFmtId="0" fontId="128" fillId="44" borderId="0">
      <alignment horizontal="center"/>
    </xf>
    <xf numFmtId="0" fontId="129" fillId="45" borderId="0"/>
    <xf numFmtId="0" fontId="130" fillId="43" borderId="0" applyBorder="0">
      <alignment horizontal="centerContinuous"/>
    </xf>
    <xf numFmtId="0" fontId="131" fillId="45" borderId="0" applyBorder="0">
      <alignment horizontal="centerContinuous"/>
    </xf>
    <xf numFmtId="0" fontId="42" fillId="46" borderId="0" applyNumberFormat="0" applyFont="0" applyBorder="0" applyAlignment="0"/>
    <xf numFmtId="1" fontId="132" fillId="0" borderId="0" applyProtection="0">
      <alignment horizontal="right" vertical="center"/>
    </xf>
    <xf numFmtId="184" fontId="40" fillId="0" borderId="0">
      <alignment horizontal="left"/>
    </xf>
    <xf numFmtId="10" fontId="87" fillId="0" borderId="0" applyFont="0" applyFill="0" applyBorder="0" applyAlignment="0" applyProtection="0"/>
    <xf numFmtId="246" fontId="95" fillId="0" borderId="0"/>
    <xf numFmtId="247" fontId="30" fillId="30" borderId="0" applyBorder="0" applyAlignment="0">
      <protection locked="0"/>
    </xf>
    <xf numFmtId="9" fontId="95" fillId="0" borderId="0"/>
    <xf numFmtId="171" fontId="95" fillId="0" borderId="0"/>
    <xf numFmtId="10" fontId="95" fillId="0" borderId="0"/>
    <xf numFmtId="248" fontId="87" fillId="0" borderId="0" applyFont="0" applyFill="0" applyBorder="0" applyAlignment="0" applyProtection="0"/>
    <xf numFmtId="249" fontId="93" fillId="0" borderId="0"/>
    <xf numFmtId="250" fontId="93" fillId="0" borderId="0"/>
    <xf numFmtId="250" fontId="95" fillId="0" borderId="0"/>
    <xf numFmtId="40" fontId="87" fillId="0" borderId="0"/>
    <xf numFmtId="0" fontId="133" fillId="0" borderId="0"/>
    <xf numFmtId="14" fontId="134" fillId="0" borderId="0" applyNumberFormat="0" applyFill="0" applyBorder="0" applyAlignment="0" applyProtection="0">
      <alignment horizontal="left"/>
    </xf>
    <xf numFmtId="184" fontId="135" fillId="0" borderId="0"/>
    <xf numFmtId="0" fontId="135" fillId="0" borderId="53">
      <alignment horizontal="centerContinuous"/>
    </xf>
    <xf numFmtId="0" fontId="135" fillId="0" borderId="53">
      <protection locked="0"/>
    </xf>
    <xf numFmtId="0" fontId="135" fillId="0" borderId="53">
      <alignment horizontal="centerContinuous"/>
    </xf>
    <xf numFmtId="184" fontId="135" fillId="0" borderId="0"/>
    <xf numFmtId="0" fontId="135" fillId="0" borderId="53">
      <protection locked="0"/>
    </xf>
    <xf numFmtId="184" fontId="135" fillId="0" borderId="0"/>
    <xf numFmtId="0" fontId="135" fillId="0" borderId="53">
      <alignment horizontal="centerContinuous"/>
    </xf>
    <xf numFmtId="0" fontId="135" fillId="0" borderId="53">
      <alignment horizontal="centerContinuous"/>
    </xf>
    <xf numFmtId="184" fontId="135" fillId="0" borderId="0"/>
    <xf numFmtId="0" fontId="135" fillId="0" borderId="53">
      <protection locked="0"/>
    </xf>
    <xf numFmtId="184" fontId="135" fillId="0" borderId="0"/>
    <xf numFmtId="0" fontId="135" fillId="0" borderId="53">
      <protection locked="0"/>
    </xf>
    <xf numFmtId="0" fontId="135" fillId="0" borderId="53">
      <alignment horizontal="centerContinuous"/>
    </xf>
    <xf numFmtId="184" fontId="135" fillId="0" borderId="0"/>
    <xf numFmtId="0" fontId="135" fillId="0" borderId="53">
      <protection locked="0"/>
    </xf>
    <xf numFmtId="0" fontId="135" fillId="0" borderId="53">
      <alignment horizontal="centerContinuous"/>
    </xf>
    <xf numFmtId="0" fontId="135" fillId="0" borderId="53">
      <alignment horizontal="centerContinuous"/>
    </xf>
    <xf numFmtId="184" fontId="135" fillId="0" borderId="0"/>
    <xf numFmtId="0" fontId="135" fillId="0" borderId="53">
      <alignment horizontal="centerContinuous"/>
    </xf>
    <xf numFmtId="0" fontId="135" fillId="0" borderId="53">
      <protection locked="0"/>
    </xf>
    <xf numFmtId="184" fontId="135" fillId="0" borderId="0"/>
    <xf numFmtId="0" fontId="135" fillId="0" borderId="0"/>
    <xf numFmtId="184" fontId="135" fillId="0" borderId="0"/>
    <xf numFmtId="0" fontId="135" fillId="0" borderId="53">
      <alignment horizontal="centerContinuous"/>
    </xf>
    <xf numFmtId="0" fontId="135" fillId="0" borderId="53">
      <protection locked="0"/>
    </xf>
    <xf numFmtId="184" fontId="135" fillId="0" borderId="0"/>
    <xf numFmtId="0" fontId="135" fillId="0" borderId="53">
      <alignment horizontal="centerContinuous"/>
    </xf>
    <xf numFmtId="0" fontId="135" fillId="0" borderId="53">
      <protection locked="0"/>
    </xf>
    <xf numFmtId="0" fontId="135" fillId="0" borderId="53">
      <alignment horizontal="centerContinuous"/>
    </xf>
    <xf numFmtId="0" fontId="135" fillId="0" borderId="53">
      <protection locked="0"/>
    </xf>
    <xf numFmtId="0" fontId="135" fillId="0" borderId="53">
      <protection locked="0"/>
    </xf>
    <xf numFmtId="184" fontId="135" fillId="0" borderId="0"/>
    <xf numFmtId="0" fontId="135" fillId="0" borderId="53">
      <protection locked="0"/>
    </xf>
    <xf numFmtId="0" fontId="135" fillId="0" borderId="53">
      <alignment horizontal="centerContinuous"/>
    </xf>
    <xf numFmtId="0" fontId="135" fillId="0" borderId="53">
      <alignment horizontal="centerContinuous"/>
    </xf>
    <xf numFmtId="0" fontId="135" fillId="0" borderId="53">
      <protection locked="0"/>
    </xf>
    <xf numFmtId="184" fontId="135" fillId="0" borderId="0"/>
    <xf numFmtId="0" fontId="135" fillId="0" borderId="53">
      <alignment horizontal="centerContinuous"/>
    </xf>
    <xf numFmtId="0" fontId="135" fillId="0" borderId="53">
      <alignment horizontal="centerContinuous"/>
    </xf>
    <xf numFmtId="184" fontId="135" fillId="0" borderId="0"/>
    <xf numFmtId="0" fontId="135" fillId="0" borderId="53">
      <alignment horizontal="centerContinuous"/>
    </xf>
    <xf numFmtId="184" fontId="135" fillId="0" borderId="0"/>
    <xf numFmtId="0" fontId="135" fillId="0" borderId="53">
      <alignment horizontal="centerContinuous"/>
    </xf>
    <xf numFmtId="184" fontId="135" fillId="0" borderId="0"/>
    <xf numFmtId="0" fontId="135" fillId="0" borderId="53">
      <protection locked="0"/>
    </xf>
    <xf numFmtId="0" fontId="135" fillId="0" borderId="53">
      <alignment horizontal="centerContinuous"/>
    </xf>
    <xf numFmtId="184" fontId="135" fillId="0" borderId="0"/>
    <xf numFmtId="0" fontId="136" fillId="0" borderId="54">
      <alignment vertical="center"/>
    </xf>
    <xf numFmtId="4" fontId="137" fillId="6" borderId="55" applyNumberFormat="0" applyProtection="0">
      <alignment vertical="center"/>
    </xf>
    <xf numFmtId="4" fontId="138" fillId="6" borderId="55" applyNumberFormat="0" applyProtection="0">
      <alignment vertical="center"/>
    </xf>
    <xf numFmtId="4" fontId="139" fillId="6" borderId="55" applyNumberFormat="0" applyProtection="0">
      <alignment horizontal="left" vertical="center" indent="1"/>
    </xf>
    <xf numFmtId="0" fontId="140" fillId="37" borderId="55" applyNumberFormat="0" applyProtection="0">
      <alignment horizontal="left" vertical="top" indent="1"/>
    </xf>
    <xf numFmtId="4" fontId="139" fillId="47" borderId="0" applyNumberFormat="0" applyProtection="0">
      <alignment horizontal="left" vertical="center" indent="1"/>
    </xf>
    <xf numFmtId="4" fontId="139" fillId="5" borderId="55" applyNumberFormat="0" applyProtection="0">
      <alignment horizontal="right" vertical="center"/>
    </xf>
    <xf numFmtId="4" fontId="139" fillId="8" borderId="55" applyNumberFormat="0" applyProtection="0">
      <alignment horizontal="right" vertical="center"/>
    </xf>
    <xf numFmtId="4" fontId="139" fillId="42" borderId="55" applyNumberFormat="0" applyProtection="0">
      <alignment horizontal="right" vertical="center"/>
    </xf>
    <xf numFmtId="4" fontId="139" fillId="10" borderId="55" applyNumberFormat="0" applyProtection="0">
      <alignment horizontal="right" vertical="center"/>
    </xf>
    <xf numFmtId="4" fontId="139" fillId="48" borderId="55" applyNumberFormat="0" applyProtection="0">
      <alignment horizontal="right" vertical="center"/>
    </xf>
    <xf numFmtId="4" fontId="139" fillId="49" borderId="55" applyNumberFormat="0" applyProtection="0">
      <alignment horizontal="right" vertical="center"/>
    </xf>
    <xf numFmtId="4" fontId="139" fillId="50" borderId="55" applyNumberFormat="0" applyProtection="0">
      <alignment horizontal="right" vertical="center"/>
    </xf>
    <xf numFmtId="4" fontId="139" fillId="51" borderId="55" applyNumberFormat="0" applyProtection="0">
      <alignment horizontal="right" vertical="center"/>
    </xf>
    <xf numFmtId="4" fontId="139" fillId="52" borderId="55" applyNumberFormat="0" applyProtection="0">
      <alignment horizontal="right" vertical="center"/>
    </xf>
    <xf numFmtId="4" fontId="137" fillId="53" borderId="56" applyNumberFormat="0" applyProtection="0">
      <alignment horizontal="left" vertical="center" indent="1"/>
    </xf>
    <xf numFmtId="4" fontId="137" fillId="29" borderId="0" applyNumberFormat="0" applyProtection="0">
      <alignment horizontal="left" vertical="center" indent="1"/>
    </xf>
    <xf numFmtId="4" fontId="137" fillId="47" borderId="0" applyNumberFormat="0" applyProtection="0">
      <alignment horizontal="left" vertical="center" indent="1"/>
    </xf>
    <xf numFmtId="4" fontId="139" fillId="29" borderId="55" applyNumberFormat="0" applyProtection="0">
      <alignment horizontal="right" vertical="center"/>
    </xf>
    <xf numFmtId="4" fontId="141" fillId="29" borderId="0" applyNumberFormat="0" applyProtection="0">
      <alignment horizontal="left" vertical="center" indent="1"/>
    </xf>
    <xf numFmtId="4" fontId="141" fillId="47" borderId="0" applyNumberFormat="0" applyProtection="0">
      <alignment horizontal="left" vertical="center" indent="1"/>
    </xf>
    <xf numFmtId="0" fontId="3" fillId="36" borderId="57" applyNumberFormat="0" applyProtection="0">
      <alignment horizontal="left" vertical="center" indent="1"/>
    </xf>
    <xf numFmtId="0" fontId="109" fillId="54" borderId="55" applyNumberFormat="0" applyProtection="0">
      <alignment horizontal="left" vertical="top" indent="1"/>
    </xf>
    <xf numFmtId="0" fontId="3" fillId="55" borderId="57" applyNumberFormat="0" applyProtection="0">
      <alignment horizontal="left" vertical="center" indent="1"/>
    </xf>
    <xf numFmtId="0" fontId="109" fillId="56" borderId="55" applyNumberFormat="0" applyProtection="0">
      <alignment horizontal="left" vertical="top" indent="1"/>
    </xf>
    <xf numFmtId="0" fontId="3" fillId="57" borderId="57" applyNumberFormat="0" applyProtection="0">
      <alignment horizontal="left" vertical="center" indent="1"/>
    </xf>
    <xf numFmtId="0" fontId="109" fillId="57" borderId="55" applyNumberFormat="0" applyProtection="0">
      <alignment horizontal="left" vertical="top" indent="1"/>
    </xf>
    <xf numFmtId="0" fontId="3" fillId="58" borderId="57" applyNumberFormat="0" applyProtection="0">
      <alignment horizontal="left" vertical="center" indent="1"/>
    </xf>
    <xf numFmtId="0" fontId="109" fillId="58" borderId="55" applyNumberFormat="0" applyProtection="0">
      <alignment horizontal="left" vertical="top" indent="1"/>
    </xf>
    <xf numFmtId="0" fontId="109" fillId="43" borderId="58" applyNumberFormat="0">
      <protection locked="0"/>
    </xf>
    <xf numFmtId="0" fontId="142" fillId="54" borderId="59" applyBorder="0"/>
    <xf numFmtId="4" fontId="139" fillId="59" borderId="55" applyNumberFormat="0" applyProtection="0">
      <alignment vertical="center"/>
    </xf>
    <xf numFmtId="4" fontId="143" fillId="59" borderId="55" applyNumberFormat="0" applyProtection="0">
      <alignment vertical="center"/>
    </xf>
    <xf numFmtId="4" fontId="137" fillId="29" borderId="60" applyNumberFormat="0" applyProtection="0">
      <alignment horizontal="left" vertical="center" indent="1"/>
    </xf>
    <xf numFmtId="0" fontId="144" fillId="41" borderId="55" applyNumberFormat="0" applyProtection="0">
      <alignment horizontal="left" vertical="top" indent="1"/>
    </xf>
    <xf numFmtId="4" fontId="139" fillId="59" borderId="55" applyNumberFormat="0" applyProtection="0">
      <alignment horizontal="right" vertical="center"/>
    </xf>
    <xf numFmtId="4" fontId="143" fillId="59" borderId="55" applyNumberFormat="0" applyProtection="0">
      <alignment horizontal="right" vertical="center"/>
    </xf>
    <xf numFmtId="4" fontId="137" fillId="29" borderId="55" applyNumberFormat="0" applyProtection="0">
      <alignment horizontal="left" vertical="center" indent="1"/>
    </xf>
    <xf numFmtId="0" fontId="144" fillId="56" borderId="55" applyNumberFormat="0" applyProtection="0">
      <alignment horizontal="left" vertical="top" indent="1"/>
    </xf>
    <xf numFmtId="4" fontId="145" fillId="60" borderId="60" applyNumberFormat="0" applyProtection="0">
      <alignment horizontal="left" vertical="center" indent="1"/>
    </xf>
    <xf numFmtId="0" fontId="3" fillId="61" borderId="7"/>
    <xf numFmtId="4" fontId="146" fillId="59" borderId="55" applyNumberFormat="0" applyProtection="0">
      <alignment horizontal="right" vertical="center"/>
    </xf>
    <xf numFmtId="0" fontId="147" fillId="7" borderId="0"/>
    <xf numFmtId="0" fontId="7" fillId="0" borderId="0"/>
    <xf numFmtId="40" fontId="148" fillId="0" borderId="0" applyFont="0" applyFill="0" applyBorder="0" applyAlignment="0" applyProtection="0"/>
    <xf numFmtId="217" fontId="93" fillId="62" borderId="0" applyFont="0"/>
    <xf numFmtId="0" fontId="21" fillId="0" borderId="0"/>
    <xf numFmtId="0" fontId="149" fillId="0" borderId="0" applyNumberFormat="0" applyFill="0" applyBorder="0" applyAlignment="0" applyProtection="0"/>
    <xf numFmtId="1" fontId="87" fillId="0" borderId="0"/>
    <xf numFmtId="0" fontId="150" fillId="0" borderId="0">
      <alignment textRotation="90"/>
    </xf>
    <xf numFmtId="251" fontId="151" fillId="0" borderId="0">
      <alignment vertical="center"/>
    </xf>
    <xf numFmtId="0" fontId="141" fillId="0" borderId="0"/>
    <xf numFmtId="0" fontId="87" fillId="63" borderId="0"/>
    <xf numFmtId="0" fontId="87" fillId="0" borderId="0"/>
    <xf numFmtId="0" fontId="87" fillId="0" borderId="0">
      <alignment vertical="top"/>
    </xf>
    <xf numFmtId="0" fontId="87" fillId="0" borderId="0">
      <alignment vertical="top"/>
    </xf>
    <xf numFmtId="0" fontId="152" fillId="29" borderId="0"/>
    <xf numFmtId="0" fontId="153" fillId="0" borderId="0">
      <alignment horizontal="left" vertical="center"/>
    </xf>
    <xf numFmtId="40" fontId="154" fillId="0" borderId="0" applyBorder="0">
      <alignment horizontal="right"/>
    </xf>
    <xf numFmtId="37" fontId="30" fillId="0" borderId="2" applyNumberFormat="0"/>
    <xf numFmtId="0" fontId="155" fillId="0" borderId="61" applyNumberFormat="0" applyAlignment="0" applyProtection="0"/>
    <xf numFmtId="0" fontId="156" fillId="0" borderId="0" applyBorder="0" applyProtection="0">
      <alignment vertical="center"/>
    </xf>
    <xf numFmtId="0" fontId="156" fillId="0" borderId="6" applyBorder="0" applyProtection="0">
      <alignment horizontal="right" vertical="center"/>
    </xf>
    <xf numFmtId="0" fontId="157" fillId="64" borderId="0" applyBorder="0" applyProtection="0">
      <alignment horizontal="centerContinuous" vertical="center"/>
    </xf>
    <xf numFmtId="0" fontId="157" fillId="65" borderId="6" applyBorder="0" applyProtection="0">
      <alignment horizontal="centerContinuous" vertical="center"/>
    </xf>
    <xf numFmtId="0" fontId="158" fillId="0" borderId="0"/>
    <xf numFmtId="0" fontId="127" fillId="0" borderId="0"/>
    <xf numFmtId="0" fontId="159" fillId="0" borderId="0" applyFill="0" applyBorder="0" applyProtection="0">
      <alignment horizontal="left"/>
    </xf>
    <xf numFmtId="0" fontId="117" fillId="0" borderId="20" applyFill="0" applyBorder="0" applyProtection="0">
      <alignment horizontal="left" vertical="top"/>
    </xf>
    <xf numFmtId="0" fontId="85" fillId="0" borderId="0">
      <alignment horizontal="centerContinuous"/>
    </xf>
    <xf numFmtId="49" fontId="88" fillId="0" borderId="0" applyFont="0" applyFill="0" applyBorder="0" applyAlignment="0" applyProtection="0"/>
    <xf numFmtId="0" fontId="160" fillId="0" borderId="0"/>
    <xf numFmtId="0" fontId="161" fillId="0" borderId="0"/>
    <xf numFmtId="0" fontId="38" fillId="40" borderId="0">
      <alignment horizontal="right"/>
    </xf>
    <xf numFmtId="252" fontId="57" fillId="0" borderId="0"/>
    <xf numFmtId="201" fontId="30" fillId="0" borderId="30" applyFill="0"/>
    <xf numFmtId="37" fontId="30" fillId="0" borderId="45" applyNumberFormat="0" applyFill="0"/>
    <xf numFmtId="0" fontId="162" fillId="0" borderId="0">
      <alignment horizontal="fill"/>
    </xf>
    <xf numFmtId="37" fontId="3" fillId="6" borderId="0" applyNumberFormat="0" applyBorder="0" applyAlignment="0" applyProtection="0"/>
    <xf numFmtId="37" fontId="109" fillId="0" borderId="0"/>
    <xf numFmtId="37" fontId="109" fillId="3" borderId="0" applyNumberFormat="0" applyBorder="0" applyAlignment="0" applyProtection="0"/>
    <xf numFmtId="3" fontId="163" fillId="0" borderId="51" applyProtection="0"/>
    <xf numFmtId="4" fontId="91" fillId="0" borderId="0">
      <protection locked="0"/>
    </xf>
    <xf numFmtId="253" fontId="87" fillId="0" borderId="0" applyFont="0" applyFill="0" applyBorder="0" applyAlignment="0" applyProtection="0"/>
    <xf numFmtId="254" fontId="87" fillId="0" borderId="0" applyFont="0" applyFill="0" applyBorder="0" applyAlignment="0" applyProtection="0"/>
    <xf numFmtId="0" fontId="87" fillId="0" borderId="0" applyFont="0" applyFill="0" applyBorder="0">
      <alignment horizontal="right" vertical="center" wrapText="1"/>
    </xf>
    <xf numFmtId="236" fontId="13" fillId="0" borderId="0"/>
    <xf numFmtId="1" fontId="164" fillId="0" borderId="0">
      <alignment horizontal="center"/>
    </xf>
    <xf numFmtId="1" fontId="165" fillId="0" borderId="0">
      <alignment horizontal="centerContinuous"/>
    </xf>
    <xf numFmtId="174" fontId="168"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4" fontId="25" fillId="0" borderId="0" applyProtection="0"/>
    <xf numFmtId="0" fontId="5" fillId="0" borderId="0"/>
    <xf numFmtId="0" fontId="1" fillId="0" borderId="0"/>
  </cellStyleXfs>
  <cellXfs count="1583">
    <xf numFmtId="174" fontId="0" fillId="0" borderId="0" xfId="0" applyAlignment="1"/>
    <xf numFmtId="0" fontId="25" fillId="0" borderId="0" xfId="60" applyAlignment="1"/>
    <xf numFmtId="0" fontId="12" fillId="0" borderId="0" xfId="60" applyNumberFormat="1" applyFont="1" applyAlignment="1" applyProtection="1">
      <protection locked="0"/>
    </xf>
    <xf numFmtId="0" fontId="12" fillId="0" borderId="0" xfId="60" applyNumberFormat="1" applyFont="1" applyAlignment="1" applyProtection="1">
      <alignment horizontal="left"/>
      <protection locked="0"/>
    </xf>
    <xf numFmtId="0" fontId="12" fillId="0" borderId="0" xfId="60" applyNumberFormat="1" applyFont="1" applyAlignment="1" applyProtection="1">
      <alignment horizontal="center"/>
      <protection locked="0"/>
    </xf>
    <xf numFmtId="0" fontId="12" fillId="0" borderId="0" xfId="60" applyNumberFormat="1" applyFont="1" applyAlignment="1" applyProtection="1">
      <alignment horizontal="right"/>
      <protection locked="0"/>
    </xf>
    <xf numFmtId="0" fontId="25" fillId="0" borderId="0" xfId="60" applyNumberFormat="1" applyFont="1"/>
    <xf numFmtId="0" fontId="25" fillId="0" borderId="0" xfId="60" applyFont="1" applyAlignment="1"/>
    <xf numFmtId="0" fontId="12" fillId="0" borderId="0" xfId="60" applyNumberFormat="1" applyFont="1" applyProtection="1">
      <protection locked="0"/>
    </xf>
    <xf numFmtId="0" fontId="12" fillId="0" borderId="0" xfId="60" applyNumberFormat="1" applyFont="1" applyAlignment="1">
      <alignment horizontal="right"/>
    </xf>
    <xf numFmtId="0" fontId="12" fillId="0" borderId="0" xfId="60" applyNumberFormat="1" applyFont="1"/>
    <xf numFmtId="3" fontId="12" fillId="0" borderId="0" xfId="60" applyNumberFormat="1" applyFont="1" applyAlignment="1"/>
    <xf numFmtId="0" fontId="25" fillId="0" borderId="0" xfId="60" applyNumberFormat="1" applyAlignment="1" applyProtection="1">
      <alignment horizontal="center"/>
      <protection locked="0"/>
    </xf>
    <xf numFmtId="49" fontId="12" fillId="0" borderId="0" xfId="60" quotePrefix="1" applyNumberFormat="1" applyFont="1" applyAlignment="1">
      <alignment horizontal="center"/>
    </xf>
    <xf numFmtId="49" fontId="12" fillId="0" borderId="0" xfId="60" applyNumberFormat="1" applyFont="1"/>
    <xf numFmtId="0" fontId="25" fillId="0" borderId="4" xfId="60" applyNumberFormat="1" applyBorder="1" applyAlignment="1" applyProtection="1">
      <alignment horizontal="center"/>
      <protection locked="0"/>
    </xf>
    <xf numFmtId="0" fontId="12" fillId="0" borderId="4" xfId="60" applyNumberFormat="1" applyFont="1" applyBorder="1" applyAlignment="1" applyProtection="1">
      <alignment horizontal="center"/>
      <protection locked="0"/>
    </xf>
    <xf numFmtId="3" fontId="12" fillId="0" borderId="0" xfId="60" applyNumberFormat="1" applyFont="1"/>
    <xf numFmtId="0" fontId="12" fillId="0" borderId="0" xfId="60" applyNumberFormat="1" applyFont="1" applyAlignment="1"/>
    <xf numFmtId="3" fontId="12" fillId="0" borderId="0" xfId="60" applyNumberFormat="1" applyFont="1" applyFill="1" applyAlignment="1"/>
    <xf numFmtId="0" fontId="12" fillId="0" borderId="4" xfId="60" applyNumberFormat="1" applyFont="1" applyBorder="1" applyAlignment="1" applyProtection="1">
      <alignment horizontal="centerContinuous"/>
      <protection locked="0"/>
    </xf>
    <xf numFmtId="166" fontId="12" fillId="0" borderId="0" xfId="60" applyNumberFormat="1" applyFont="1" applyAlignment="1"/>
    <xf numFmtId="0" fontId="36" fillId="0" borderId="0" xfId="60" applyNumberFormat="1" applyFont="1" applyAlignment="1">
      <alignment horizontal="left"/>
    </xf>
    <xf numFmtId="3" fontId="12" fillId="0" borderId="0" xfId="60" applyNumberFormat="1" applyFont="1" applyFill="1" applyBorder="1"/>
    <xf numFmtId="3" fontId="12" fillId="0" borderId="4" xfId="60" applyNumberFormat="1" applyFont="1" applyBorder="1" applyAlignment="1"/>
    <xf numFmtId="3" fontId="12" fillId="0" borderId="0" xfId="60" applyNumberFormat="1" applyFont="1" applyAlignment="1">
      <alignment horizontal="fill"/>
    </xf>
    <xf numFmtId="0" fontId="12" fillId="0" borderId="0" xfId="60" applyFont="1" applyAlignment="1"/>
    <xf numFmtId="42" fontId="12" fillId="0" borderId="8" xfId="60" applyNumberFormat="1" applyFont="1" applyBorder="1" applyAlignment="1" applyProtection="1">
      <alignment horizontal="right"/>
      <protection locked="0"/>
    </xf>
    <xf numFmtId="0" fontId="12" fillId="0" borderId="0" xfId="60" applyNumberFormat="1" applyFont="1" applyFill="1" applyProtection="1">
      <protection locked="0"/>
    </xf>
    <xf numFmtId="0" fontId="12" fillId="0" borderId="0" xfId="60" applyNumberFormat="1" applyFont="1" applyAlignment="1">
      <alignment horizontal="left"/>
    </xf>
    <xf numFmtId="0" fontId="35" fillId="0" borderId="0" xfId="60" quotePrefix="1" applyFont="1" applyAlignment="1">
      <alignment horizontal="left"/>
    </xf>
    <xf numFmtId="0" fontId="36" fillId="0" borderId="0" xfId="60" quotePrefix="1" applyFont="1" applyAlignment="1">
      <alignment horizontal="left" indent="1"/>
    </xf>
    <xf numFmtId="169" fontId="12" fillId="0" borderId="0" xfId="60" applyNumberFormat="1" applyFont="1"/>
    <xf numFmtId="3" fontId="25" fillId="0" borderId="0" xfId="60" applyNumberFormat="1" applyFont="1" applyAlignment="1"/>
    <xf numFmtId="0" fontId="25" fillId="0" borderId="0" xfId="60" applyNumberFormat="1" applyFont="1" applyAlignment="1"/>
    <xf numFmtId="0" fontId="12" fillId="0" borderId="0" xfId="60" applyNumberFormat="1" applyFont="1" applyAlignment="1">
      <alignment horizontal="center"/>
    </xf>
    <xf numFmtId="49" fontId="12" fillId="0" borderId="0" xfId="60" applyNumberFormat="1" applyFont="1" applyAlignment="1">
      <alignment horizontal="left"/>
    </xf>
    <xf numFmtId="49" fontId="12" fillId="0" borderId="0" xfId="60" applyNumberFormat="1" applyFont="1" applyAlignment="1">
      <alignment horizontal="center"/>
    </xf>
    <xf numFmtId="3" fontId="7" fillId="0" borderId="0" xfId="60" applyNumberFormat="1" applyFont="1" applyAlignment="1">
      <alignment horizontal="center"/>
    </xf>
    <xf numFmtId="0" fontId="7" fillId="0" borderId="0" xfId="60" applyNumberFormat="1" applyFont="1" applyAlignment="1" applyProtection="1">
      <alignment horizontal="center"/>
      <protection locked="0"/>
    </xf>
    <xf numFmtId="0" fontId="25" fillId="0" borderId="0" xfId="60" applyNumberFormat="1" applyFont="1" applyAlignment="1">
      <alignment horizontal="center"/>
    </xf>
    <xf numFmtId="0" fontId="7" fillId="0" borderId="0" xfId="60" applyFont="1" applyAlignment="1">
      <alignment horizontal="center"/>
    </xf>
    <xf numFmtId="3" fontId="7" fillId="0" borderId="0" xfId="60" applyNumberFormat="1" applyFont="1" applyAlignment="1"/>
    <xf numFmtId="0" fontId="34" fillId="0" borderId="0" xfId="60" applyNumberFormat="1" applyFont="1" applyAlignment="1" applyProtection="1">
      <alignment horizontal="center"/>
      <protection locked="0"/>
    </xf>
    <xf numFmtId="0" fontId="7" fillId="0" borderId="0" xfId="60" applyNumberFormat="1" applyFont="1" applyAlignment="1"/>
    <xf numFmtId="0" fontId="36" fillId="0" borderId="0" xfId="60" quotePrefix="1" applyNumberFormat="1" applyFont="1" applyAlignment="1">
      <alignment horizontal="left"/>
    </xf>
    <xf numFmtId="164" fontId="12" fillId="0" borderId="0" xfId="60" applyNumberFormat="1" applyFont="1" applyAlignment="1">
      <alignment horizontal="center"/>
    </xf>
    <xf numFmtId="165" fontId="12" fillId="0" borderId="0" xfId="60" applyNumberFormat="1" applyFont="1" applyFill="1" applyAlignment="1">
      <alignment horizontal="right"/>
    </xf>
    <xf numFmtId="0" fontId="35" fillId="0" borderId="0" xfId="60" quotePrefix="1" applyNumberFormat="1" applyFont="1" applyAlignment="1">
      <alignment horizontal="left"/>
    </xf>
    <xf numFmtId="0" fontId="25" fillId="0" borderId="0" xfId="60" applyNumberFormat="1" applyProtection="1">
      <protection locked="0"/>
    </xf>
    <xf numFmtId="0" fontId="38" fillId="0" borderId="0" xfId="60" applyNumberFormat="1" applyFont="1" applyAlignment="1">
      <alignment horizontal="center"/>
    </xf>
    <xf numFmtId="3" fontId="38" fillId="0" borderId="0" xfId="60" applyNumberFormat="1" applyFont="1" applyAlignment="1"/>
    <xf numFmtId="0" fontId="7" fillId="0" borderId="0" xfId="60" applyNumberFormat="1" applyFont="1" applyAlignment="1">
      <alignment horizontal="center"/>
    </xf>
    <xf numFmtId="3" fontId="36" fillId="0" borderId="0" xfId="60" quotePrefix="1" applyNumberFormat="1" applyFont="1" applyAlignment="1">
      <alignment horizontal="left"/>
    </xf>
    <xf numFmtId="0" fontId="12" fillId="0" borderId="0" xfId="60" applyNumberFormat="1" applyFont="1" applyFill="1" applyAlignment="1"/>
    <xf numFmtId="172" fontId="12" fillId="0" borderId="0" xfId="60" applyNumberFormat="1" applyFont="1" applyFill="1" applyAlignment="1">
      <alignment horizontal="left"/>
    </xf>
    <xf numFmtId="3" fontId="39" fillId="0" borderId="0" xfId="0" applyNumberFormat="1" applyFont="1" applyAlignment="1"/>
    <xf numFmtId="3" fontId="25" fillId="0" borderId="0" xfId="60" applyNumberFormat="1" applyFont="1" applyFill="1" applyAlignment="1"/>
    <xf numFmtId="166" fontId="12" fillId="0" borderId="0" xfId="60" applyNumberFormat="1" applyFont="1" applyAlignment="1">
      <alignment horizontal="center"/>
    </xf>
    <xf numFmtId="164" fontId="12" fillId="0" borderId="0" xfId="60" applyNumberFormat="1" applyFont="1" applyAlignment="1">
      <alignment horizontal="left"/>
    </xf>
    <xf numFmtId="10" fontId="12" fillId="0" borderId="0" xfId="60" applyNumberFormat="1" applyFont="1" applyAlignment="1">
      <alignment horizontal="left"/>
    </xf>
    <xf numFmtId="164" fontId="12" fillId="0" borderId="0" xfId="60" applyNumberFormat="1" applyFont="1" applyAlignment="1" applyProtection="1">
      <alignment horizontal="left"/>
      <protection locked="0"/>
    </xf>
    <xf numFmtId="3" fontId="12" fillId="0" borderId="0" xfId="60" applyNumberFormat="1" applyFont="1" applyFill="1" applyAlignment="1">
      <alignment horizontal="right"/>
    </xf>
    <xf numFmtId="167" fontId="12" fillId="0" borderId="0" xfId="60" applyNumberFormat="1" applyFont="1" applyAlignment="1"/>
    <xf numFmtId="0" fontId="12" fillId="0" borderId="0" xfId="60" applyFont="1" applyFill="1" applyAlignment="1"/>
    <xf numFmtId="0" fontId="40" fillId="0" borderId="0" xfId="60" applyFont="1" applyAlignment="1"/>
    <xf numFmtId="0" fontId="35" fillId="0" borderId="0" xfId="60" applyFont="1" applyAlignment="1">
      <alignment horizontal="left" indent="1"/>
    </xf>
    <xf numFmtId="0" fontId="12" fillId="0" borderId="0" xfId="60" applyNumberFormat="1" applyFont="1" applyFill="1" applyAlignment="1" applyProtection="1">
      <protection locked="0"/>
    </xf>
    <xf numFmtId="0" fontId="12" fillId="0" borderId="0" xfId="60" applyNumberFormat="1" applyFont="1" applyFill="1"/>
    <xf numFmtId="0" fontId="25" fillId="0" borderId="0" xfId="60" applyFill="1" applyAlignment="1"/>
    <xf numFmtId="0" fontId="25" fillId="0" borderId="0" xfId="60" applyFill="1" applyAlignment="1">
      <alignment horizontal="right"/>
    </xf>
    <xf numFmtId="3" fontId="25" fillId="0" borderId="0" xfId="60" applyNumberFormat="1" applyFont="1" applyFill="1" applyAlignment="1">
      <alignment horizontal="right"/>
    </xf>
    <xf numFmtId="0" fontId="25" fillId="0" borderId="0" xfId="60" applyNumberFormat="1" applyFont="1" applyFill="1" applyAlignment="1">
      <alignment horizontal="right"/>
    </xf>
    <xf numFmtId="0" fontId="25" fillId="0" borderId="0" xfId="60" applyNumberFormat="1" applyFont="1" applyFill="1" applyAlignment="1"/>
    <xf numFmtId="0" fontId="25" fillId="0" borderId="0" xfId="60" applyFont="1" applyFill="1" applyAlignment="1"/>
    <xf numFmtId="0" fontId="12" fillId="0" borderId="4" xfId="60" applyNumberFormat="1" applyFont="1" applyFill="1" applyBorder="1" applyProtection="1">
      <protection locked="0"/>
    </xf>
    <xf numFmtId="0" fontId="12" fillId="0" borderId="4" xfId="60" applyNumberFormat="1" applyFont="1" applyFill="1" applyBorder="1"/>
    <xf numFmtId="3" fontId="12" fillId="0" borderId="0" xfId="60" applyNumberFormat="1" applyFont="1" applyFill="1" applyAlignment="1">
      <alignment horizontal="center"/>
    </xf>
    <xf numFmtId="49" fontId="12" fillId="0" borderId="0" xfId="60" applyNumberFormat="1" applyFont="1" applyFill="1"/>
    <xf numFmtId="49" fontId="12" fillId="0" borderId="0" xfId="60" applyNumberFormat="1" applyFont="1" applyFill="1" applyAlignment="1"/>
    <xf numFmtId="49" fontId="12" fillId="0" borderId="0" xfId="60" applyNumberFormat="1" applyFont="1" applyFill="1" applyAlignment="1">
      <alignment horizontal="center"/>
    </xf>
    <xf numFmtId="3" fontId="12" fillId="0" borderId="0" xfId="60" applyNumberFormat="1" applyFont="1" applyAlignment="1">
      <alignment horizontal="center"/>
    </xf>
    <xf numFmtId="3" fontId="25" fillId="0" borderId="0" xfId="60" applyNumberFormat="1" applyFill="1" applyAlignment="1"/>
    <xf numFmtId="3" fontId="12" fillId="0" borderId="4" xfId="60" applyNumberFormat="1" applyFont="1" applyBorder="1" applyAlignment="1">
      <alignment horizontal="center"/>
    </xf>
    <xf numFmtId="4" fontId="12" fillId="0" borderId="0" xfId="60" applyNumberFormat="1" applyFont="1" applyAlignment="1"/>
    <xf numFmtId="0" fontId="36" fillId="0" borderId="0" xfId="60" quotePrefix="1" applyNumberFormat="1" applyFont="1" applyFill="1" applyAlignment="1">
      <alignment horizontal="left"/>
    </xf>
    <xf numFmtId="3" fontId="12" fillId="0" borderId="0" xfId="60" applyNumberFormat="1" applyFont="1" applyFill="1" applyBorder="1" applyAlignment="1">
      <alignment horizontal="center"/>
    </xf>
    <xf numFmtId="0" fontId="25" fillId="0" borderId="4" xfId="60" applyNumberFormat="1" applyFill="1" applyBorder="1" applyAlignment="1" applyProtection="1">
      <alignment horizontal="center"/>
      <protection locked="0"/>
    </xf>
    <xf numFmtId="0" fontId="25" fillId="0" borderId="0" xfId="60" applyNumberFormat="1" applyFill="1" applyAlignment="1" applyProtection="1">
      <alignment horizontal="center"/>
      <protection locked="0"/>
    </xf>
    <xf numFmtId="169" fontId="12" fillId="0" borderId="0" xfId="60" applyNumberFormat="1" applyFont="1" applyAlignment="1"/>
    <xf numFmtId="3" fontId="12" fillId="0" borderId="0" xfId="60" quotePrefix="1" applyNumberFormat="1" applyFont="1" applyAlignment="1"/>
    <xf numFmtId="0" fontId="12" fillId="0" borderId="0" xfId="60" applyNumberFormat="1" applyFont="1" applyBorder="1" applyAlignment="1" applyProtection="1">
      <alignment horizontal="center"/>
      <protection locked="0"/>
    </xf>
    <xf numFmtId="0" fontId="25" fillId="0" borderId="0" xfId="60" applyFill="1" applyAlignment="1" applyProtection="1"/>
    <xf numFmtId="174" fontId="12" fillId="0" borderId="0" xfId="60" applyNumberFormat="1" applyFont="1" applyAlignment="1" applyProtection="1">
      <protection locked="0"/>
    </xf>
    <xf numFmtId="0" fontId="41" fillId="0" borderId="0" xfId="60" applyFont="1" applyAlignment="1"/>
    <xf numFmtId="0" fontId="41" fillId="0" borderId="0" xfId="60" applyFont="1" applyFill="1" applyAlignment="1"/>
    <xf numFmtId="3" fontId="25" fillId="0" borderId="0" xfId="60" applyNumberFormat="1" applyFont="1" applyFill="1" applyAlignment="1" applyProtection="1"/>
    <xf numFmtId="0" fontId="42" fillId="0" borderId="0" xfId="60" applyNumberFormat="1" applyFont="1" applyAlignment="1" applyProtection="1">
      <alignment horizontal="center"/>
      <protection locked="0"/>
    </xf>
    <xf numFmtId="0" fontId="41" fillId="0" borderId="0" xfId="60" applyNumberFormat="1" applyFont="1" applyAlignment="1" applyProtection="1">
      <alignment horizontal="center"/>
      <protection locked="0"/>
    </xf>
    <xf numFmtId="0" fontId="41" fillId="0" borderId="0" xfId="60" applyNumberFormat="1" applyFont="1" applyProtection="1">
      <protection locked="0"/>
    </xf>
    <xf numFmtId="0" fontId="41" fillId="0" borderId="0" xfId="60" applyNumberFormat="1" applyFont="1" applyAlignment="1" applyProtection="1">
      <protection locked="0"/>
    </xf>
    <xf numFmtId="3" fontId="41" fillId="0" borderId="0" xfId="60" applyNumberFormat="1" applyFont="1" applyAlignment="1"/>
    <xf numFmtId="0" fontId="43" fillId="0" borderId="0" xfId="60" applyNumberFormat="1" applyFont="1" applyAlignment="1" applyProtection="1">
      <alignment horizontal="center"/>
      <protection locked="0"/>
    </xf>
    <xf numFmtId="0" fontId="41" fillId="0" borderId="4" xfId="60" applyNumberFormat="1" applyFont="1" applyBorder="1" applyAlignment="1" applyProtection="1">
      <alignment horizontal="center"/>
      <protection locked="0"/>
    </xf>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2" fillId="0" borderId="0" xfId="60" quotePrefix="1" applyFont="1" applyAlignment="1">
      <alignment horizontal="left"/>
    </xf>
    <xf numFmtId="0" fontId="25" fillId="0" borderId="0" xfId="60" applyNumberFormat="1" applyFont="1" applyAlignment="1" applyProtection="1">
      <alignment horizontal="center"/>
      <protection locked="0"/>
    </xf>
    <xf numFmtId="0" fontId="12" fillId="0" borderId="0" xfId="60" quotePrefix="1" applyFont="1" applyAlignment="1">
      <alignment horizontal="left" indent="1"/>
    </xf>
    <xf numFmtId="0" fontId="12" fillId="0" borderId="0" xfId="60" quotePrefix="1" applyNumberFormat="1" applyFont="1" applyAlignment="1" applyProtection="1">
      <alignment horizontal="left"/>
      <protection locked="0"/>
    </xf>
    <xf numFmtId="0" fontId="25" fillId="0" borderId="0" xfId="60" applyNumberFormat="1" applyFont="1" applyProtection="1">
      <protection locked="0"/>
    </xf>
    <xf numFmtId="0" fontId="12" fillId="0" borderId="0" xfId="60" applyNumberFormat="1" applyFont="1" applyBorder="1" applyAlignment="1"/>
    <xf numFmtId="175" fontId="12" fillId="0" borderId="0" xfId="32" applyNumberFormat="1" applyFont="1" applyFill="1" applyAlignment="1"/>
    <xf numFmtId="0" fontId="25" fillId="0" borderId="0" xfId="60" applyBorder="1" applyAlignment="1"/>
    <xf numFmtId="0" fontId="25" fillId="0" borderId="0" xfId="60" applyFont="1" applyBorder="1" applyAlignment="1"/>
    <xf numFmtId="0" fontId="12" fillId="0" borderId="0" xfId="60" applyNumberFormat="1" applyFont="1" applyFill="1" applyBorder="1" applyProtection="1">
      <protection locked="0"/>
    </xf>
    <xf numFmtId="3" fontId="12" fillId="0" borderId="0" xfId="60" applyNumberFormat="1" applyFont="1" applyBorder="1" applyAlignment="1"/>
    <xf numFmtId="3" fontId="12" fillId="0" borderId="0" xfId="60" applyNumberFormat="1" applyFont="1" applyFill="1" applyBorder="1" applyAlignment="1"/>
    <xf numFmtId="0" fontId="25" fillId="0" borderId="0" xfId="60" applyNumberFormat="1" applyFill="1" applyBorder="1" applyAlignment="1" applyProtection="1">
      <alignment horizontal="center"/>
      <protection locked="0"/>
    </xf>
    <xf numFmtId="0" fontId="25" fillId="0" borderId="0" xfId="60" applyFill="1" applyBorder="1" applyAlignment="1"/>
    <xf numFmtId="0" fontId="12" fillId="0" borderId="0" xfId="60" applyNumberFormat="1" applyFont="1" applyFill="1" applyBorder="1" applyAlignment="1"/>
    <xf numFmtId="0" fontId="12" fillId="0" borderId="0" xfId="60" applyNumberFormat="1" applyFont="1" applyFill="1" applyBorder="1"/>
    <xf numFmtId="0" fontId="25" fillId="0" borderId="0" xfId="60" applyNumberFormat="1" applyFont="1" applyFill="1" applyBorder="1"/>
    <xf numFmtId="0" fontId="25" fillId="0" borderId="0" xfId="60" applyFont="1" applyFill="1" applyBorder="1" applyAlignment="1"/>
    <xf numFmtId="0" fontId="12" fillId="0" borderId="0" xfId="60" applyFont="1" applyFill="1" applyBorder="1" applyAlignment="1"/>
    <xf numFmtId="3" fontId="25" fillId="0" borderId="0" xfId="60" applyNumberFormat="1" applyFont="1" applyFill="1" applyBorder="1"/>
    <xf numFmtId="0" fontId="37" fillId="0" borderId="0" xfId="60" applyFont="1" applyFill="1" applyBorder="1" applyAlignment="1"/>
    <xf numFmtId="3" fontId="35" fillId="0" borderId="0" xfId="60" applyNumberFormat="1" applyFont="1" applyFill="1" applyBorder="1" applyAlignment="1">
      <alignment horizontal="right"/>
    </xf>
    <xf numFmtId="3" fontId="45" fillId="0" borderId="0" xfId="60" applyNumberFormat="1" applyFont="1" applyFill="1" applyBorder="1" applyAlignment="1">
      <alignment horizontal="right"/>
    </xf>
    <xf numFmtId="0" fontId="36" fillId="0" borderId="0" xfId="60" applyNumberFormat="1" applyFont="1" applyFill="1" applyBorder="1" applyAlignment="1">
      <alignment horizontal="left"/>
    </xf>
    <xf numFmtId="0" fontId="12" fillId="0" borderId="0" xfId="60" applyNumberFormat="1" applyFont="1" applyFill="1" applyBorder="1" applyAlignment="1" applyProtection="1">
      <protection locked="0"/>
    </xf>
    <xf numFmtId="168" fontId="12" fillId="0" borderId="0" xfId="60" applyNumberFormat="1" applyFont="1" applyFill="1" applyBorder="1"/>
    <xf numFmtId="168" fontId="12" fillId="0" borderId="0" xfId="60" applyNumberFormat="1" applyFont="1" applyFill="1" applyBorder="1" applyAlignment="1">
      <alignment horizontal="center"/>
    </xf>
    <xf numFmtId="0" fontId="12" fillId="0" borderId="0" xfId="60" applyFont="1" applyFill="1" applyBorder="1" applyAlignment="1">
      <alignment horizontal="center"/>
    </xf>
    <xf numFmtId="3" fontId="25" fillId="0" borderId="0" xfId="60" applyNumberFormat="1" applyFont="1" applyBorder="1" applyAlignment="1"/>
    <xf numFmtId="49" fontId="12" fillId="0" borderId="0" xfId="60" quotePrefix="1" applyNumberFormat="1" applyFont="1" applyBorder="1" applyAlignment="1">
      <alignment horizontal="center"/>
    </xf>
    <xf numFmtId="0" fontId="12" fillId="0" borderId="0" xfId="60" applyNumberFormat="1" applyFont="1" applyBorder="1" applyAlignment="1">
      <alignment horizontal="center"/>
    </xf>
    <xf numFmtId="0" fontId="25" fillId="0" borderId="0" xfId="60" applyNumberFormat="1" applyFont="1" applyBorder="1" applyAlignment="1">
      <alignment horizontal="center"/>
    </xf>
    <xf numFmtId="3" fontId="44" fillId="0" borderId="0" xfId="60" quotePrefix="1" applyNumberFormat="1" applyFont="1" applyBorder="1" applyAlignment="1">
      <alignment horizontal="right"/>
    </xf>
    <xf numFmtId="3" fontId="12" fillId="0" borderId="0" xfId="60" applyNumberFormat="1" applyFont="1" applyBorder="1" applyAlignment="1">
      <alignment horizontal="right"/>
    </xf>
    <xf numFmtId="164" fontId="12" fillId="0" borderId="0" xfId="60" applyNumberFormat="1" applyFont="1" applyBorder="1" applyAlignment="1">
      <alignment horizontal="center"/>
    </xf>
    <xf numFmtId="3" fontId="36" fillId="0" borderId="0" xfId="60" applyNumberFormat="1" applyFont="1" applyBorder="1" applyAlignment="1"/>
    <xf numFmtId="3" fontId="44" fillId="0" borderId="0" xfId="60" applyNumberFormat="1" applyFont="1" applyBorder="1" applyAlignment="1">
      <alignment horizontal="right"/>
    </xf>
    <xf numFmtId="49" fontId="12" fillId="0" borderId="0" xfId="60" quotePrefix="1" applyNumberFormat="1" applyFont="1" applyFill="1" applyBorder="1" applyAlignment="1">
      <alignment horizontal="center"/>
    </xf>
    <xf numFmtId="0" fontId="12"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2"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7" fillId="0" borderId="0" xfId="60" applyNumberFormat="1" applyFont="1" applyBorder="1" applyAlignment="1" applyProtection="1">
      <alignment horizontal="center"/>
      <protection locked="0"/>
    </xf>
    <xf numFmtId="0" fontId="25" fillId="0" borderId="0" xfId="60" applyNumberFormat="1" applyBorder="1" applyProtection="1">
      <protection locked="0"/>
    </xf>
    <xf numFmtId="0" fontId="40" fillId="0" borderId="0" xfId="60" applyFont="1" applyFill="1" applyBorder="1" applyAlignment="1"/>
    <xf numFmtId="0" fontId="40" fillId="0" borderId="0" xfId="60" applyFont="1" applyBorder="1" applyAlignment="1"/>
    <xf numFmtId="42" fontId="12" fillId="0" borderId="0" xfId="60" applyNumberFormat="1" applyFont="1" applyFill="1" applyBorder="1"/>
    <xf numFmtId="42" fontId="12"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2" fillId="0" borderId="0" xfId="60" applyNumberFormat="1" applyFont="1" applyFill="1"/>
    <xf numFmtId="0" fontId="12" fillId="0" borderId="0" xfId="60" quotePrefix="1" applyNumberFormat="1" applyFont="1" applyFill="1" applyAlignment="1" applyProtection="1">
      <alignment horizontal="left"/>
      <protection locked="0"/>
    </xf>
    <xf numFmtId="175" fontId="12" fillId="0" borderId="0" xfId="32" applyNumberFormat="1" applyFont="1" applyFill="1" applyBorder="1" applyAlignment="1"/>
    <xf numFmtId="0" fontId="0" fillId="0" borderId="0" xfId="0" applyNumberFormat="1"/>
    <xf numFmtId="0" fontId="0" fillId="0" borderId="0" xfId="60" applyFont="1" applyAlignment="1"/>
    <xf numFmtId="165" fontId="12" fillId="0" borderId="0" xfId="60" applyNumberFormat="1" applyFont="1" applyFill="1" applyBorder="1" applyAlignment="1"/>
    <xf numFmtId="175"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5" fontId="12" fillId="0" borderId="0" xfId="32" applyNumberFormat="1" applyFont="1" applyFill="1" applyBorder="1"/>
    <xf numFmtId="42" fontId="25" fillId="0" borderId="0" xfId="60" applyNumberFormat="1" applyFill="1" applyBorder="1" applyAlignment="1"/>
    <xf numFmtId="42" fontId="12" fillId="0" borderId="0" xfId="60" applyNumberFormat="1" applyFont="1" applyFill="1" applyBorder="1" applyProtection="1">
      <protection locked="0"/>
    </xf>
    <xf numFmtId="175" fontId="25" fillId="0" borderId="0" xfId="32" applyNumberFormat="1" applyFont="1" applyAlignment="1"/>
    <xf numFmtId="175" fontId="25" fillId="0" borderId="4" xfId="32" applyNumberFormat="1" applyFont="1" applyBorder="1" applyAlignment="1"/>
    <xf numFmtId="0" fontId="5" fillId="0" borderId="0" xfId="55"/>
    <xf numFmtId="0" fontId="13" fillId="0" borderId="0" xfId="55" applyFont="1" applyFill="1" applyBorder="1"/>
    <xf numFmtId="0" fontId="5" fillId="0" borderId="0" xfId="55" applyFill="1"/>
    <xf numFmtId="174" fontId="0" fillId="0" borderId="0" xfId="0" applyFill="1" applyAlignment="1"/>
    <xf numFmtId="0" fontId="12" fillId="0" borderId="0" xfId="60" applyNumberFormat="1" applyFont="1" applyFill="1" applyBorder="1" applyAlignment="1">
      <alignment horizontal="left"/>
    </xf>
    <xf numFmtId="173" fontId="12" fillId="0" borderId="0" xfId="60" applyNumberFormat="1" applyFont="1" applyFill="1" applyBorder="1" applyAlignment="1"/>
    <xf numFmtId="3" fontId="12" fillId="0" borderId="0" xfId="60" applyNumberFormat="1" applyFont="1" applyFill="1" applyBorder="1" applyAlignment="1">
      <alignment horizontal="left"/>
    </xf>
    <xf numFmtId="175" fontId="12" fillId="0" borderId="0" xfId="32" quotePrefix="1" applyNumberFormat="1" applyFont="1" applyFill="1" applyBorder="1" applyAlignment="1"/>
    <xf numFmtId="175" fontId="12" fillId="0" borderId="0" xfId="32" quotePrefix="1" applyNumberFormat="1" applyFont="1" applyFill="1" applyBorder="1" applyAlignment="1" applyProtection="1">
      <protection locked="0"/>
    </xf>
    <xf numFmtId="173" fontId="12" fillId="0" borderId="0" xfId="60" applyNumberFormat="1" applyFont="1" applyFill="1" applyBorder="1" applyProtection="1">
      <protection locked="0"/>
    </xf>
    <xf numFmtId="175" fontId="12" fillId="0" borderId="0" xfId="32" quotePrefix="1" applyNumberFormat="1" applyFont="1" applyFill="1" applyBorder="1" applyProtection="1">
      <protection locked="0"/>
    </xf>
    <xf numFmtId="3" fontId="25" fillId="0" borderId="0" xfId="60" applyNumberFormat="1" applyFill="1" applyBorder="1" applyAlignment="1"/>
    <xf numFmtId="175" fontId="25" fillId="0" borderId="0" xfId="60" applyNumberFormat="1" applyFill="1" applyBorder="1" applyAlignment="1"/>
    <xf numFmtId="173" fontId="25" fillId="0" borderId="0" xfId="60" applyNumberFormat="1" applyFill="1" applyBorder="1" applyAlignment="1"/>
    <xf numFmtId="0" fontId="12" fillId="0" borderId="0" xfId="60" applyFont="1" applyFill="1" applyBorder="1" applyAlignment="1">
      <alignment horizontal="left"/>
    </xf>
    <xf numFmtId="175" fontId="12" fillId="0" borderId="0" xfId="32" applyNumberFormat="1" applyFont="1"/>
    <xf numFmtId="175" fontId="12" fillId="0" borderId="0" xfId="32" applyNumberFormat="1" applyFont="1" applyAlignment="1"/>
    <xf numFmtId="175" fontId="12" fillId="0" borderId="8" xfId="32" applyNumberFormat="1" applyFont="1" applyBorder="1" applyAlignment="1"/>
    <xf numFmtId="175" fontId="12" fillId="0" borderId="0" xfId="32" applyNumberFormat="1" applyFont="1" applyAlignment="1" applyProtection="1">
      <protection locked="0"/>
    </xf>
    <xf numFmtId="175" fontId="12" fillId="0" borderId="0" xfId="32" applyNumberFormat="1" applyFont="1" applyAlignment="1" applyProtection="1">
      <alignment horizontal="right"/>
      <protection locked="0"/>
    </xf>
    <xf numFmtId="175" fontId="12" fillId="0" borderId="0" xfId="32" applyNumberFormat="1" applyFont="1" applyAlignment="1">
      <alignment horizontal="right"/>
    </xf>
    <xf numFmtId="175" fontId="12" fillId="0" borderId="0" xfId="32" applyNumberFormat="1" applyFont="1" applyProtection="1">
      <protection locked="0"/>
    </xf>
    <xf numFmtId="175" fontId="12" fillId="0" borderId="0" xfId="32" applyNumberFormat="1" applyFont="1" applyAlignment="1">
      <alignment horizontal="center"/>
    </xf>
    <xf numFmtId="175" fontId="25" fillId="0" borderId="0" xfId="32" applyNumberFormat="1" applyFont="1" applyProtection="1">
      <protection locked="0"/>
    </xf>
    <xf numFmtId="175" fontId="7" fillId="0" borderId="0" xfId="32" applyNumberFormat="1" applyFont="1" applyAlignment="1" applyProtection="1">
      <alignment horizontal="center"/>
      <protection locked="0"/>
    </xf>
    <xf numFmtId="175" fontId="34" fillId="0" borderId="0" xfId="32" applyNumberFormat="1" applyFont="1" applyAlignment="1" applyProtection="1">
      <alignment horizontal="center"/>
      <protection locked="0"/>
    </xf>
    <xf numFmtId="175" fontId="12" fillId="0" borderId="0" xfId="32" applyNumberFormat="1" applyFont="1" applyFill="1" applyAlignment="1">
      <alignment horizontal="right"/>
    </xf>
    <xf numFmtId="175" fontId="12" fillId="6" borderId="0" xfId="32" applyNumberFormat="1" applyFont="1" applyFill="1" applyAlignment="1"/>
    <xf numFmtId="0" fontId="30" fillId="0" borderId="10" xfId="55" applyFont="1" applyFill="1" applyBorder="1" applyAlignment="1">
      <alignment horizontal="center"/>
    </xf>
    <xf numFmtId="0" fontId="5" fillId="0" borderId="0" xfId="55" applyFont="1" applyFill="1"/>
    <xf numFmtId="175" fontId="5" fillId="0" borderId="0" xfId="55" applyNumberFormat="1" applyFill="1"/>
    <xf numFmtId="9" fontId="13" fillId="0" borderId="0" xfId="55" applyNumberFormat="1" applyFont="1" applyFill="1" applyBorder="1"/>
    <xf numFmtId="0" fontId="48" fillId="0" borderId="0" xfId="55" applyFont="1"/>
    <xf numFmtId="175" fontId="48" fillId="0" borderId="0" xfId="35" applyNumberFormat="1" applyFont="1" applyAlignment="1"/>
    <xf numFmtId="0" fontId="52" fillId="0" borderId="0" xfId="55" applyFont="1"/>
    <xf numFmtId="0" fontId="5" fillId="0" borderId="0" xfId="55" applyAlignment="1">
      <alignment horizontal="center"/>
    </xf>
    <xf numFmtId="175" fontId="48" fillId="0" borderId="0" xfId="35" applyNumberFormat="1" applyFont="1" applyFill="1" applyAlignment="1"/>
    <xf numFmtId="0" fontId="48" fillId="0" borderId="0" xfId="55" applyFont="1" applyFill="1"/>
    <xf numFmtId="0" fontId="48" fillId="0" borderId="0" xfId="55" applyFont="1" applyFill="1" applyAlignment="1"/>
    <xf numFmtId="175" fontId="48" fillId="6" borderId="0" xfId="35" applyNumberFormat="1" applyFont="1" applyFill="1" applyAlignment="1"/>
    <xf numFmtId="175" fontId="48" fillId="0" borderId="0" xfId="35" applyNumberFormat="1" applyFont="1" applyFill="1" applyBorder="1" applyAlignment="1"/>
    <xf numFmtId="0" fontId="48" fillId="0" borderId="0" xfId="55" applyFont="1" applyAlignment="1"/>
    <xf numFmtId="175" fontId="5" fillId="0" borderId="0" xfId="35" applyNumberFormat="1" applyFill="1" applyAlignment="1"/>
    <xf numFmtId="0" fontId="5" fillId="0" borderId="0" xfId="55" applyFont="1"/>
    <xf numFmtId="175" fontId="5" fillId="0" borderId="0" xfId="35" applyNumberFormat="1" applyAlignment="1"/>
    <xf numFmtId="0" fontId="47" fillId="0" borderId="0" xfId="55" applyFont="1" applyAlignment="1"/>
    <xf numFmtId="0" fontId="5" fillId="0" borderId="0" xfId="55" applyAlignment="1"/>
    <xf numFmtId="175" fontId="48" fillId="0" borderId="0" xfId="35" applyNumberFormat="1" applyFont="1" applyFill="1" applyBorder="1" applyAlignment="1">
      <alignment wrapText="1"/>
    </xf>
    <xf numFmtId="0" fontId="5" fillId="0" borderId="0" xfId="0" applyNumberFormat="1" applyFont="1" applyFill="1"/>
    <xf numFmtId="0" fontId="5" fillId="0" borderId="0" xfId="0" applyNumberFormat="1" applyFont="1"/>
    <xf numFmtId="175" fontId="5" fillId="0" borderId="0" xfId="35" applyNumberFormat="1" applyFont="1" applyFill="1" applyBorder="1"/>
    <xf numFmtId="0" fontId="5" fillId="0" borderId="0" xfId="55" applyFont="1" applyAlignment="1">
      <alignment horizontal="center"/>
    </xf>
    <xf numFmtId="0" fontId="5" fillId="0" borderId="12" xfId="55" applyFont="1" applyBorder="1"/>
    <xf numFmtId="0" fontId="5" fillId="0" borderId="4" xfId="55" applyFont="1" applyBorder="1"/>
    <xf numFmtId="0" fontId="5" fillId="0" borderId="13" xfId="55" applyFont="1" applyBorder="1" applyAlignment="1">
      <alignment horizontal="center"/>
    </xf>
    <xf numFmtId="0" fontId="5" fillId="0" borderId="9" xfId="55" applyFont="1" applyBorder="1"/>
    <xf numFmtId="0" fontId="5" fillId="0" borderId="0" xfId="55" applyFont="1" applyBorder="1"/>
    <xf numFmtId="0" fontId="5" fillId="0" borderId="0" xfId="55" applyFont="1" applyBorder="1" applyAlignment="1">
      <alignment horizontal="center"/>
    </xf>
    <xf numFmtId="0" fontId="5" fillId="0" borderId="0" xfId="55" applyNumberFormat="1" applyFont="1" applyFill="1" applyBorder="1" applyAlignment="1"/>
    <xf numFmtId="0" fontId="5" fillId="0" borderId="0" xfId="55" applyFont="1" applyFill="1" applyBorder="1" applyAlignment="1">
      <alignment horizontal="center" wrapText="1"/>
    </xf>
    <xf numFmtId="0" fontId="5" fillId="0" borderId="0" xfId="55" applyFont="1" applyBorder="1" applyAlignment="1"/>
    <xf numFmtId="3" fontId="5" fillId="0" borderId="0" xfId="55" applyNumberFormat="1" applyFont="1" applyBorder="1" applyAlignment="1">
      <alignment horizontal="center"/>
    </xf>
    <xf numFmtId="175" fontId="5" fillId="0" borderId="0" xfId="35" applyNumberFormat="1" applyFont="1" applyFill="1" applyBorder="1" applyAlignment="1">
      <alignment horizontal="right"/>
    </xf>
    <xf numFmtId="0" fontId="5" fillId="0" borderId="0" xfId="55" applyFont="1" applyBorder="1" applyAlignment="1">
      <alignment horizontal="right"/>
    </xf>
    <xf numFmtId="0" fontId="51" fillId="0" borderId="0" xfId="55" applyFont="1" applyFill="1" applyBorder="1" applyAlignment="1">
      <alignment horizontal="left"/>
    </xf>
    <xf numFmtId="0" fontId="5" fillId="0" borderId="4" xfId="55" applyFont="1" applyFill="1" applyBorder="1"/>
    <xf numFmtId="0" fontId="5" fillId="0" borderId="13" xfId="55" applyFont="1" applyFill="1" applyBorder="1"/>
    <xf numFmtId="0" fontId="5" fillId="0" borderId="6" xfId="55" applyNumberFormat="1" applyFont="1" applyFill="1" applyBorder="1" applyAlignment="1">
      <alignment horizontal="left"/>
    </xf>
    <xf numFmtId="175" fontId="5" fillId="6" borderId="0" xfId="35" applyNumberFormat="1" applyFont="1" applyFill="1" applyBorder="1" applyAlignment="1">
      <alignment horizontal="right"/>
    </xf>
    <xf numFmtId="0" fontId="5" fillId="0" borderId="0" xfId="55" applyNumberFormat="1" applyFont="1" applyFill="1" applyBorder="1" applyAlignment="1">
      <alignment horizontal="left"/>
    </xf>
    <xf numFmtId="0" fontId="5" fillId="0" borderId="9" xfId="55" applyFont="1" applyFill="1" applyBorder="1"/>
    <xf numFmtId="0" fontId="5" fillId="0" borderId="0" xfId="55" applyFont="1" applyFill="1" applyBorder="1"/>
    <xf numFmtId="0" fontId="5" fillId="0" borderId="0" xfId="55" applyFont="1" applyFill="1" applyBorder="1" applyAlignment="1">
      <alignment horizontal="center"/>
    </xf>
    <xf numFmtId="0" fontId="5" fillId="0" borderId="10" xfId="55" applyFont="1" applyFill="1" applyBorder="1" applyAlignment="1">
      <alignment horizontal="center"/>
    </xf>
    <xf numFmtId="0" fontId="5" fillId="0" borderId="0" xfId="55" applyFont="1" applyFill="1" applyBorder="1" applyAlignment="1"/>
    <xf numFmtId="175" fontId="5" fillId="0" borderId="0" xfId="35" applyNumberFormat="1" applyFont="1" applyFill="1" applyBorder="1" applyAlignment="1">
      <alignment horizontal="center"/>
    </xf>
    <xf numFmtId="0" fontId="5" fillId="0" borderId="0" xfId="55" applyNumberFormat="1" applyFont="1" applyFill="1" applyBorder="1" applyAlignment="1">
      <alignment horizontal="center"/>
    </xf>
    <xf numFmtId="0" fontId="5" fillId="0" borderId="10" xfId="55" applyNumberFormat="1" applyFont="1" applyFill="1" applyBorder="1" applyAlignment="1">
      <alignment horizontal="center"/>
    </xf>
    <xf numFmtId="0" fontId="51" fillId="7" borderId="15" xfId="55" applyFont="1" applyFill="1" applyBorder="1" applyAlignment="1">
      <alignment horizontal="center" wrapText="1"/>
    </xf>
    <xf numFmtId="175" fontId="30" fillId="0" borderId="0" xfId="35" applyNumberFormat="1" applyFont="1" applyBorder="1" applyAlignment="1"/>
    <xf numFmtId="175" fontId="5" fillId="0" borderId="0" xfId="35" applyNumberFormat="1" applyFont="1" applyBorder="1"/>
    <xf numFmtId="175" fontId="47" fillId="0" borderId="0" xfId="35" applyNumberFormat="1" applyFont="1" applyBorder="1" applyAlignment="1"/>
    <xf numFmtId="0" fontId="48" fillId="0" borderId="0" xfId="55" applyFont="1" applyBorder="1"/>
    <xf numFmtId="0" fontId="47" fillId="0" borderId="0" xfId="55" applyFont="1" applyBorder="1" applyAlignment="1"/>
    <xf numFmtId="0" fontId="5" fillId="0" borderId="4" xfId="55" applyNumberFormat="1" applyFont="1" applyFill="1" applyBorder="1" applyAlignment="1">
      <alignment horizontal="center"/>
    </xf>
    <xf numFmtId="0" fontId="5" fillId="0" borderId="13" xfId="55" applyNumberFormat="1" applyFont="1" applyFill="1" applyBorder="1" applyAlignment="1">
      <alignment horizontal="center"/>
    </xf>
    <xf numFmtId="0" fontId="5" fillId="0" borderId="9" xfId="55" applyFont="1" applyFill="1" applyBorder="1" applyAlignment="1">
      <alignment horizontal="center"/>
    </xf>
    <xf numFmtId="0" fontId="5" fillId="0" borderId="0" xfId="55" applyFont="1" applyFill="1" applyBorder="1" applyAlignment="1">
      <alignment horizontal="left"/>
    </xf>
    <xf numFmtId="175" fontId="5" fillId="0" borderId="0" xfId="35" applyNumberFormat="1" applyFont="1" applyFill="1" applyBorder="1" applyAlignment="1">
      <alignment horizontal="left"/>
    </xf>
    <xf numFmtId="0" fontId="48" fillId="0" borderId="0" xfId="55" applyFont="1" applyFill="1" applyBorder="1"/>
    <xf numFmtId="0" fontId="48" fillId="0" borderId="0" xfId="55" applyFont="1" applyFill="1" applyBorder="1" applyAlignment="1"/>
    <xf numFmtId="164" fontId="5" fillId="0" borderId="0" xfId="65" applyNumberFormat="1" applyFont="1" applyFill="1" applyBorder="1" applyAlignment="1"/>
    <xf numFmtId="0" fontId="5" fillId="0" borderId="9" xfId="55" applyFont="1" applyFill="1" applyBorder="1" applyAlignment="1"/>
    <xf numFmtId="0" fontId="30" fillId="0" borderId="0" xfId="55" applyNumberFormat="1" applyFont="1" applyFill="1" applyBorder="1" applyAlignment="1">
      <alignment horizontal="center"/>
    </xf>
    <xf numFmtId="3" fontId="5" fillId="0" borderId="0" xfId="55" applyNumberFormat="1" applyFont="1" applyFill="1" applyBorder="1" applyAlignment="1"/>
    <xf numFmtId="3" fontId="53" fillId="0" borderId="0" xfId="55" applyNumberFormat="1" applyFont="1" applyFill="1" applyBorder="1" applyAlignment="1">
      <alignment horizontal="center"/>
    </xf>
    <xf numFmtId="0" fontId="30" fillId="0" borderId="0" xfId="55" applyFont="1" applyFill="1" applyBorder="1" applyAlignment="1"/>
    <xf numFmtId="0" fontId="30" fillId="0" borderId="0" xfId="55" applyNumberFormat="1" applyFont="1" applyFill="1" applyBorder="1" applyAlignment="1">
      <alignment horizontal="left"/>
    </xf>
    <xf numFmtId="0" fontId="5" fillId="7" borderId="15" xfId="55" applyFont="1" applyFill="1" applyBorder="1"/>
    <xf numFmtId="0" fontId="51" fillId="7" borderId="16" xfId="55" applyFont="1" applyFill="1" applyBorder="1" applyAlignment="1">
      <alignment horizontal="left"/>
    </xf>
    <xf numFmtId="0" fontId="48" fillId="0" borderId="4" xfId="55" applyFont="1" applyBorder="1"/>
    <xf numFmtId="0" fontId="48" fillId="0" borderId="0" xfId="55" applyFont="1" applyBorder="1" applyAlignment="1"/>
    <xf numFmtId="0" fontId="5" fillId="0" borderId="0" xfId="55" applyFont="1" applyFill="1" applyAlignment="1">
      <alignment horizontal="center"/>
    </xf>
    <xf numFmtId="0" fontId="30" fillId="0" borderId="0" xfId="55" applyFont="1" applyBorder="1" applyAlignment="1">
      <alignment horizontal="left"/>
    </xf>
    <xf numFmtId="0" fontId="54" fillId="0" borderId="0" xfId="55" applyFont="1" applyFill="1" applyBorder="1" applyAlignment="1">
      <alignment horizontal="center" wrapText="1"/>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5" fillId="0" borderId="13" xfId="55" applyFont="1" applyBorder="1"/>
    <xf numFmtId="0" fontId="30" fillId="0" borderId="0" xfId="55" applyFont="1" applyFill="1" applyBorder="1" applyAlignment="1">
      <alignment horizontal="center"/>
    </xf>
    <xf numFmtId="0" fontId="5" fillId="0" borderId="10" xfId="55" applyFont="1" applyBorder="1"/>
    <xf numFmtId="3" fontId="30" fillId="0" borderId="0" xfId="55" applyNumberFormat="1" applyFont="1" applyBorder="1" applyAlignment="1"/>
    <xf numFmtId="3" fontId="30" fillId="0" borderId="0" xfId="55" applyNumberFormat="1" applyFont="1" applyBorder="1" applyAlignment="1">
      <alignment horizontal="center"/>
    </xf>
    <xf numFmtId="0" fontId="30" fillId="0" borderId="0" xfId="55" applyNumberFormat="1" applyFont="1" applyFill="1" applyBorder="1" applyAlignment="1"/>
    <xf numFmtId="0" fontId="30" fillId="0" borderId="0" xfId="55" applyNumberFormat="1" applyFont="1" applyBorder="1" applyAlignment="1">
      <alignment horizontal="left"/>
    </xf>
    <xf numFmtId="0" fontId="30" fillId="0" borderId="10" xfId="55" applyNumberFormat="1" applyFont="1" applyBorder="1" applyAlignment="1">
      <alignment horizontal="center"/>
    </xf>
    <xf numFmtId="0" fontId="53" fillId="0" borderId="4" xfId="55" applyNumberFormat="1" applyFont="1" applyBorder="1" applyAlignment="1">
      <alignment horizontal="center"/>
    </xf>
    <xf numFmtId="42" fontId="5" fillId="0" borderId="0" xfId="55" applyNumberFormat="1" applyFont="1"/>
    <xf numFmtId="171" fontId="5" fillId="0" borderId="12" xfId="63" applyNumberFormat="1" applyFont="1" applyFill="1" applyBorder="1" applyAlignment="1">
      <alignment horizontal="center"/>
    </xf>
    <xf numFmtId="0" fontId="5" fillId="0" borderId="12" xfId="55" applyNumberFormat="1" applyFont="1" applyBorder="1" applyAlignment="1">
      <alignment horizontal="left"/>
    </xf>
    <xf numFmtId="174" fontId="5" fillId="0" borderId="4" xfId="55" applyNumberFormat="1" applyFont="1" applyBorder="1" applyAlignment="1"/>
    <xf numFmtId="0" fontId="5" fillId="0" borderId="4" xfId="55" applyNumberFormat="1" applyFont="1" applyBorder="1" applyAlignment="1">
      <alignment horizontal="center"/>
    </xf>
    <xf numFmtId="0" fontId="30" fillId="0" borderId="9" xfId="55" applyFont="1" applyFill="1" applyBorder="1" applyAlignment="1">
      <alignment horizontal="center"/>
    </xf>
    <xf numFmtId="3" fontId="5" fillId="0" borderId="9" xfId="55" applyNumberFormat="1" applyFont="1" applyBorder="1" applyAlignment="1"/>
    <xf numFmtId="164" fontId="30" fillId="0" borderId="0" xfId="55" applyNumberFormat="1" applyFont="1" applyBorder="1" applyAlignment="1">
      <alignment horizontal="left"/>
    </xf>
    <xf numFmtId="0" fontId="5" fillId="0" borderId="10" xfId="55" applyNumberFormat="1" applyFont="1" applyBorder="1" applyAlignment="1">
      <alignment horizontal="center"/>
    </xf>
    <xf numFmtId="0" fontId="5" fillId="0" borderId="0" xfId="55" applyFont="1" applyAlignment="1">
      <alignment horizontal="left" indent="1"/>
    </xf>
    <xf numFmtId="0" fontId="5" fillId="0" borderId="4" xfId="55" applyNumberFormat="1" applyFont="1" applyFill="1" applyBorder="1" applyAlignment="1">
      <alignment horizontal="left"/>
    </xf>
    <xf numFmtId="3" fontId="53" fillId="0" borderId="0" xfId="55" applyNumberFormat="1" applyFont="1" applyBorder="1" applyAlignment="1">
      <alignment horizontal="center"/>
    </xf>
    <xf numFmtId="3" fontId="5" fillId="0" borderId="0" xfId="55" applyNumberFormat="1" applyFont="1" applyFill="1" applyBorder="1" applyAlignment="1">
      <alignment horizontal="center"/>
    </xf>
    <xf numFmtId="0" fontId="53" fillId="0" borderId="0" xfId="55" applyFont="1" applyFill="1" applyBorder="1" applyAlignment="1"/>
    <xf numFmtId="175" fontId="30" fillId="0" borderId="4" xfId="35" applyNumberFormat="1" applyFont="1" applyFill="1" applyBorder="1"/>
    <xf numFmtId="0" fontId="51" fillId="0" borderId="0" xfId="55" applyFont="1" applyFill="1" applyBorder="1" applyAlignment="1">
      <alignment horizontal="center" wrapText="1"/>
    </xf>
    <xf numFmtId="175" fontId="30" fillId="0" borderId="0" xfId="35" applyNumberFormat="1" applyFont="1" applyFill="1" applyBorder="1"/>
    <xf numFmtId="0" fontId="5" fillId="0" borderId="0" xfId="55" applyFont="1" applyFill="1" applyBorder="1" applyAlignment="1">
      <alignment horizontal="left" wrapText="1"/>
    </xf>
    <xf numFmtId="0" fontId="51" fillId="0" borderId="0" xfId="55" applyFont="1" applyFill="1" applyBorder="1" applyAlignment="1">
      <alignment horizontal="center"/>
    </xf>
    <xf numFmtId="175" fontId="5" fillId="0" borderId="4" xfId="35" applyNumberFormat="1" applyFont="1" applyFill="1" applyBorder="1" applyAlignment="1">
      <alignment horizontal="center"/>
    </xf>
    <xf numFmtId="3" fontId="5" fillId="0" borderId="0" xfId="60" applyNumberFormat="1" applyFont="1" applyBorder="1" applyAlignment="1">
      <alignment horizontal="right"/>
    </xf>
    <xf numFmtId="3" fontId="5" fillId="0" borderId="0" xfId="60" applyNumberFormat="1" applyFont="1" applyBorder="1" applyAlignment="1"/>
    <xf numFmtId="165" fontId="5" fillId="0" borderId="0" xfId="60" applyNumberFormat="1" applyFont="1" applyBorder="1" applyAlignment="1"/>
    <xf numFmtId="3" fontId="5" fillId="0" borderId="10" xfId="60" applyNumberFormat="1" applyFont="1" applyFill="1" applyBorder="1" applyAlignment="1"/>
    <xf numFmtId="3" fontId="5" fillId="0" borderId="0" xfId="60" applyNumberFormat="1" applyFont="1" applyFill="1" applyBorder="1" applyAlignment="1"/>
    <xf numFmtId="0" fontId="5" fillId="0" borderId="0" xfId="60" applyFont="1" applyFill="1" applyBorder="1" applyAlignment="1"/>
    <xf numFmtId="0" fontId="5" fillId="0" borderId="0" xfId="60" applyFont="1" applyBorder="1" applyAlignment="1"/>
    <xf numFmtId="0" fontId="5" fillId="0" borderId="10" xfId="60" applyNumberFormat="1" applyFont="1" applyBorder="1" applyAlignment="1" applyProtection="1">
      <alignment horizontal="center"/>
      <protection locked="0"/>
    </xf>
    <xf numFmtId="165" fontId="5" fillId="0" borderId="0" xfId="60" applyNumberFormat="1" applyFont="1" applyFill="1" applyBorder="1" applyAlignment="1"/>
    <xf numFmtId="0" fontId="51" fillId="0" borderId="15" xfId="55" applyFont="1" applyFill="1" applyBorder="1" applyAlignment="1">
      <alignment horizontal="center" wrapText="1"/>
    </xf>
    <xf numFmtId="175" fontId="30" fillId="0" borderId="15" xfId="35" applyNumberFormat="1" applyFont="1" applyFill="1" applyBorder="1"/>
    <xf numFmtId="175" fontId="5" fillId="0" borderId="15" xfId="35" applyNumberFormat="1" applyFont="1" applyFill="1" applyBorder="1" applyAlignment="1">
      <alignment horizontal="center"/>
    </xf>
    <xf numFmtId="175" fontId="5" fillId="0" borderId="16" xfId="35" applyNumberFormat="1" applyFont="1" applyFill="1" applyBorder="1"/>
    <xf numFmtId="0" fontId="5" fillId="0" borderId="15" xfId="55" applyFont="1" applyBorder="1" applyAlignment="1">
      <alignment horizontal="center"/>
    </xf>
    <xf numFmtId="0" fontId="5" fillId="0" borderId="15" xfId="55" applyNumberFormat="1" applyFont="1" applyFill="1" applyBorder="1" applyAlignment="1">
      <alignment horizontal="center"/>
    </xf>
    <xf numFmtId="0" fontId="53" fillId="0" borderId="15" xfId="55" applyFont="1" applyFill="1" applyBorder="1" applyAlignment="1"/>
    <xf numFmtId="0" fontId="30" fillId="0" borderId="15" xfId="55" applyNumberFormat="1" applyFont="1" applyFill="1" applyBorder="1" applyAlignment="1">
      <alignment horizontal="left"/>
    </xf>
    <xf numFmtId="0" fontId="51" fillId="7" borderId="17" xfId="55" applyFont="1" applyFill="1" applyBorder="1" applyAlignment="1">
      <alignment horizontal="center" wrapText="1"/>
    </xf>
    <xf numFmtId="0" fontId="5" fillId="0" borderId="0" xfId="55" applyNumberFormat="1" applyFont="1" applyBorder="1" applyAlignment="1">
      <alignment horizontal="center"/>
    </xf>
    <xf numFmtId="3" fontId="5" fillId="0" borderId="0" xfId="55" applyNumberFormat="1" applyFont="1" applyBorder="1" applyAlignment="1">
      <alignment horizontal="right"/>
    </xf>
    <xf numFmtId="175" fontId="5" fillId="0" borderId="0" xfId="35" applyNumberFormat="1" applyFont="1" applyBorder="1" applyAlignment="1"/>
    <xf numFmtId="0" fontId="12" fillId="6" borderId="0" xfId="60" quotePrefix="1" applyNumberFormat="1" applyFont="1" applyFill="1" applyAlignment="1" applyProtection="1">
      <alignment horizontal="right"/>
      <protection locked="0"/>
    </xf>
    <xf numFmtId="0" fontId="12" fillId="6" borderId="0" xfId="60" applyNumberFormat="1" applyFont="1" applyFill="1"/>
    <xf numFmtId="0" fontId="25" fillId="6" borderId="0" xfId="60" applyFill="1" applyAlignment="1"/>
    <xf numFmtId="174" fontId="7" fillId="0" borderId="0" xfId="0" applyFont="1" applyAlignment="1">
      <alignment horizontal="center"/>
    </xf>
    <xf numFmtId="0" fontId="25" fillId="0" borderId="0" xfId="60" applyFont="1" applyAlignment="1">
      <alignment horizontal="right"/>
    </xf>
    <xf numFmtId="174" fontId="61" fillId="0" borderId="0" xfId="0" applyFont="1"/>
    <xf numFmtId="174" fontId="0" fillId="0" borderId="0" xfId="0"/>
    <xf numFmtId="175" fontId="61" fillId="0" borderId="0" xfId="0" applyNumberFormat="1" applyFont="1" applyProtection="1">
      <protection locked="0"/>
    </xf>
    <xf numFmtId="175" fontId="0" fillId="0" borderId="0" xfId="0" applyNumberFormat="1"/>
    <xf numFmtId="174" fontId="63" fillId="0" borderId="0" xfId="0" applyFont="1" applyProtection="1">
      <protection locked="0"/>
    </xf>
    <xf numFmtId="180" fontId="0" fillId="0" borderId="0" xfId="0" applyNumberFormat="1"/>
    <xf numFmtId="176" fontId="0" fillId="0" borderId="0" xfId="41" applyNumberFormat="1" applyFont="1"/>
    <xf numFmtId="176" fontId="0" fillId="0" borderId="0" xfId="0" applyNumberFormat="1"/>
    <xf numFmtId="0" fontId="50" fillId="0" borderId="0" xfId="55" applyFont="1" applyBorder="1" applyAlignment="1"/>
    <xf numFmtId="0" fontId="46" fillId="0" borderId="0" xfId="55" applyFont="1" applyBorder="1"/>
    <xf numFmtId="174" fontId="12" fillId="0" borderId="0" xfId="0" applyFont="1"/>
    <xf numFmtId="174" fontId="7" fillId="0" borderId="0" xfId="0" applyFont="1" applyFill="1" applyAlignment="1" applyProtection="1">
      <alignment horizontal="center"/>
      <protection locked="0"/>
    </xf>
    <xf numFmtId="174" fontId="12" fillId="0" borderId="0" xfId="0" applyFont="1" applyFill="1" applyProtection="1">
      <protection locked="0"/>
    </xf>
    <xf numFmtId="174" fontId="0" fillId="0" borderId="0" xfId="0" applyFill="1" applyBorder="1" applyProtection="1">
      <protection locked="0"/>
    </xf>
    <xf numFmtId="174" fontId="65" fillId="0" borderId="0" xfId="0" applyFont="1" applyFill="1" applyBorder="1" applyProtection="1">
      <protection locked="0"/>
    </xf>
    <xf numFmtId="174" fontId="48" fillId="0" borderId="0" xfId="0" applyFont="1" applyFill="1" applyBorder="1" applyProtection="1">
      <protection locked="0"/>
    </xf>
    <xf numFmtId="174" fontId="48" fillId="0" borderId="0" xfId="0" applyFont="1" applyFill="1" applyAlignment="1" applyProtection="1">
      <alignment horizontal="center"/>
      <protection locked="0"/>
    </xf>
    <xf numFmtId="175" fontId="48" fillId="0" borderId="0" xfId="0" applyNumberFormat="1" applyFont="1" applyFill="1" applyProtection="1">
      <protection locked="0"/>
    </xf>
    <xf numFmtId="174" fontId="47" fillId="0" borderId="0" xfId="0" applyFont="1" applyFill="1" applyAlignment="1" applyProtection="1">
      <alignment horizontal="center"/>
      <protection locked="0"/>
    </xf>
    <xf numFmtId="175" fontId="48" fillId="0" borderId="4" xfId="0" applyNumberFormat="1" applyFont="1" applyFill="1" applyBorder="1" applyProtection="1">
      <protection locked="0"/>
    </xf>
    <xf numFmtId="174" fontId="48" fillId="0" borderId="4" xfId="0" applyFont="1" applyFill="1" applyBorder="1" applyAlignment="1" applyProtection="1">
      <alignment horizontal="center"/>
      <protection locked="0"/>
    </xf>
    <xf numFmtId="174" fontId="12" fillId="0" borderId="4" xfId="0" applyFont="1" applyFill="1" applyBorder="1" applyProtection="1">
      <protection locked="0"/>
    </xf>
    <xf numFmtId="0" fontId="47" fillId="0" borderId="0" xfId="0" applyNumberFormat="1" applyFont="1" applyFill="1" applyAlignment="1" applyProtection="1">
      <alignment horizontal="left"/>
      <protection locked="0"/>
    </xf>
    <xf numFmtId="174" fontId="47" fillId="0" borderId="0" xfId="0" applyFont="1" applyFill="1" applyAlignment="1" applyProtection="1">
      <alignment horizontal="center" wrapText="1"/>
      <protection locked="0"/>
    </xf>
    <xf numFmtId="175" fontId="47" fillId="0" borderId="0" xfId="0" applyNumberFormat="1" applyFont="1" applyFill="1" applyAlignment="1" applyProtection="1">
      <alignment horizontal="center" wrapText="1"/>
      <protection locked="0"/>
    </xf>
    <xf numFmtId="175" fontId="47" fillId="0" borderId="0" xfId="0" applyNumberFormat="1" applyFont="1" applyFill="1" applyAlignment="1" applyProtection="1">
      <alignment horizontal="center"/>
      <protection locked="0"/>
    </xf>
    <xf numFmtId="180" fontId="48" fillId="0" borderId="0" xfId="63" applyNumberFormat="1" applyFont="1" applyFill="1" applyProtection="1">
      <protection locked="0"/>
    </xf>
    <xf numFmtId="175" fontId="48" fillId="0" borderId="0" xfId="0" applyNumberFormat="1" applyFont="1" applyFill="1" applyAlignment="1" applyProtection="1">
      <alignment horizontal="center"/>
      <protection locked="0"/>
    </xf>
    <xf numFmtId="175" fontId="48" fillId="0" borderId="6" xfId="32" applyNumberFormat="1" applyFont="1" applyFill="1" applyBorder="1" applyProtection="1">
      <protection locked="0"/>
    </xf>
    <xf numFmtId="175" fontId="48" fillId="0" borderId="0" xfId="32" applyNumberFormat="1" applyFont="1" applyFill="1" applyBorder="1" applyProtection="1">
      <protection locked="0"/>
    </xf>
    <xf numFmtId="174" fontId="0" fillId="0" borderId="0" xfId="0" applyFill="1"/>
    <xf numFmtId="174" fontId="66" fillId="0" borderId="18" xfId="0" applyFont="1" applyFill="1" applyBorder="1" applyAlignment="1" applyProtection="1">
      <alignment horizontal="left"/>
      <protection locked="0"/>
    </xf>
    <xf numFmtId="174" fontId="55" fillId="0" borderId="2" xfId="0" applyFont="1" applyFill="1" applyBorder="1" applyAlignment="1" applyProtection="1">
      <alignment horizontal="center"/>
      <protection locked="0"/>
    </xf>
    <xf numFmtId="174" fontId="48" fillId="0" borderId="2" xfId="0" applyFont="1" applyFill="1" applyBorder="1" applyAlignment="1" applyProtection="1">
      <alignment horizontal="center"/>
      <protection locked="0"/>
    </xf>
    <xf numFmtId="174" fontId="12" fillId="0" borderId="2" xfId="0" applyFont="1" applyFill="1" applyBorder="1" applyProtection="1">
      <protection locked="0"/>
    </xf>
    <xf numFmtId="174" fontId="47" fillId="0" borderId="2" xfId="0" applyFont="1" applyFill="1" applyBorder="1" applyAlignment="1" applyProtection="1">
      <alignment horizontal="center"/>
      <protection locked="0"/>
    </xf>
    <xf numFmtId="174" fontId="48" fillId="0" borderId="19" xfId="0" applyFont="1" applyFill="1" applyBorder="1" applyAlignment="1" applyProtection="1">
      <alignment horizontal="center"/>
      <protection locked="0"/>
    </xf>
    <xf numFmtId="0" fontId="47" fillId="0" borderId="20" xfId="0" applyNumberFormat="1" applyFont="1" applyFill="1" applyBorder="1" applyAlignment="1" applyProtection="1">
      <alignment horizontal="left"/>
      <protection locked="0"/>
    </xf>
    <xf numFmtId="174" fontId="55" fillId="0" borderId="0" xfId="0" applyFont="1" applyFill="1" applyBorder="1" applyAlignment="1" applyProtection="1">
      <alignment horizontal="center"/>
      <protection locked="0"/>
    </xf>
    <xf numFmtId="174" fontId="48" fillId="0" borderId="0" xfId="0" applyFont="1" applyFill="1" applyBorder="1" applyAlignment="1" applyProtection="1">
      <alignment horizontal="center"/>
      <protection locked="0"/>
    </xf>
    <xf numFmtId="174" fontId="12" fillId="0" borderId="0" xfId="0" applyFont="1" applyFill="1" applyBorder="1" applyProtection="1">
      <protection locked="0"/>
    </xf>
    <xf numFmtId="174" fontId="47" fillId="0" borderId="0" xfId="0" applyFont="1" applyFill="1" applyBorder="1" applyAlignment="1" applyProtection="1">
      <alignment horizontal="center"/>
      <protection locked="0"/>
    </xf>
    <xf numFmtId="174" fontId="48" fillId="0" borderId="21" xfId="0" applyFont="1" applyFill="1" applyBorder="1" applyAlignment="1" applyProtection="1">
      <alignment horizontal="center"/>
      <protection locked="0"/>
    </xf>
    <xf numFmtId="174" fontId="66" fillId="0" borderId="20" xfId="0" applyFont="1" applyFill="1" applyBorder="1" applyAlignment="1" applyProtection="1">
      <alignment horizontal="left"/>
      <protection locked="0"/>
    </xf>
    <xf numFmtId="174" fontId="48" fillId="0" borderId="20" xfId="0" applyFont="1" applyFill="1" applyBorder="1" applyProtection="1">
      <protection locked="0"/>
    </xf>
    <xf numFmtId="180" fontId="48" fillId="0" borderId="0" xfId="0" applyNumberFormat="1" applyFont="1" applyFill="1" applyBorder="1" applyProtection="1">
      <protection locked="0"/>
    </xf>
    <xf numFmtId="175" fontId="48" fillId="0" borderId="21" xfId="32" applyNumberFormat="1" applyFont="1" applyFill="1" applyBorder="1" applyProtection="1">
      <protection locked="0"/>
    </xf>
    <xf numFmtId="174" fontId="48" fillId="0" borderId="0" xfId="0" applyFont="1" applyFill="1" applyBorder="1"/>
    <xf numFmtId="175" fontId="47" fillId="0" borderId="21" xfId="32" applyNumberFormat="1" applyFont="1" applyFill="1" applyBorder="1" applyProtection="1">
      <protection locked="0"/>
    </xf>
    <xf numFmtId="175" fontId="47" fillId="0" borderId="0" xfId="32" applyNumberFormat="1" applyFont="1" applyFill="1" applyBorder="1" applyAlignment="1" applyProtection="1">
      <alignment horizontal="center"/>
      <protection locked="0"/>
    </xf>
    <xf numFmtId="175" fontId="48" fillId="0" borderId="0" xfId="0" applyNumberFormat="1" applyFont="1" applyFill="1" applyBorder="1" applyProtection="1">
      <protection locked="0"/>
    </xf>
    <xf numFmtId="174" fontId="55" fillId="0" borderId="20" xfId="0" applyFont="1" applyFill="1" applyBorder="1" applyProtection="1">
      <protection locked="0"/>
    </xf>
    <xf numFmtId="174" fontId="55" fillId="0" borderId="0" xfId="0" applyFont="1" applyFill="1" applyBorder="1" applyProtection="1">
      <protection locked="0"/>
    </xf>
    <xf numFmtId="175" fontId="47" fillId="0" borderId="0" xfId="0" applyNumberFormat="1" applyFont="1" applyFill="1" applyBorder="1" applyProtection="1">
      <protection locked="0"/>
    </xf>
    <xf numFmtId="174" fontId="12" fillId="0" borderId="20" xfId="0" applyFont="1" applyFill="1" applyBorder="1"/>
    <xf numFmtId="174" fontId="12" fillId="0" borderId="0" xfId="0" applyFont="1" applyFill="1" applyBorder="1"/>
    <xf numFmtId="174" fontId="12" fillId="0" borderId="21" xfId="0" applyFont="1" applyFill="1" applyBorder="1"/>
    <xf numFmtId="176" fontId="12" fillId="0" borderId="0" xfId="41" applyNumberFormat="1" applyFont="1" applyFill="1" applyBorder="1"/>
    <xf numFmtId="174" fontId="48" fillId="0" borderId="22" xfId="0" applyFont="1" applyFill="1" applyBorder="1" applyProtection="1">
      <protection locked="0"/>
    </xf>
    <xf numFmtId="174" fontId="48" fillId="0" borderId="6" xfId="0" applyFont="1" applyFill="1" applyBorder="1" applyProtection="1">
      <protection locked="0"/>
    </xf>
    <xf numFmtId="174" fontId="12" fillId="0" borderId="6" xfId="0" applyFont="1" applyFill="1" applyBorder="1"/>
    <xf numFmtId="176" fontId="12" fillId="0" borderId="6" xfId="41" applyNumberFormat="1" applyFont="1" applyFill="1" applyBorder="1"/>
    <xf numFmtId="174" fontId="12" fillId="0" borderId="23" xfId="0" applyFont="1" applyFill="1" applyBorder="1"/>
    <xf numFmtId="174" fontId="0" fillId="0" borderId="9" xfId="0" applyFill="1" applyBorder="1" applyProtection="1">
      <protection locked="0"/>
    </xf>
    <xf numFmtId="174" fontId="65" fillId="0" borderId="0" xfId="0" applyFont="1" applyFill="1" applyBorder="1" applyAlignment="1" applyProtection="1">
      <alignment horizontal="center"/>
      <protection locked="0"/>
    </xf>
    <xf numFmtId="174" fontId="65" fillId="0" borderId="0" xfId="0" applyFont="1" applyFill="1" applyBorder="1" applyAlignment="1" applyProtection="1">
      <alignment horizontal="center" wrapText="1"/>
      <protection locked="0"/>
    </xf>
    <xf numFmtId="174" fontId="0" fillId="0" borderId="0" xfId="0" applyBorder="1"/>
    <xf numFmtId="164" fontId="0" fillId="0" borderId="0" xfId="0" applyNumberFormat="1" applyFill="1" applyBorder="1" applyProtection="1">
      <protection locked="0"/>
    </xf>
    <xf numFmtId="174" fontId="48" fillId="0" borderId="10" xfId="0" applyFont="1" applyFill="1" applyBorder="1" applyAlignment="1" applyProtection="1">
      <alignment horizontal="left"/>
      <protection locked="0"/>
    </xf>
    <xf numFmtId="174" fontId="48" fillId="0" borderId="0" xfId="0" applyFont="1" applyFill="1" applyBorder="1" applyAlignment="1" applyProtection="1">
      <alignment horizontal="left"/>
      <protection locked="0"/>
    </xf>
    <xf numFmtId="174" fontId="48" fillId="0" borderId="9" xfId="0" applyFont="1" applyFill="1" applyBorder="1" applyProtection="1">
      <protection locked="0"/>
    </xf>
    <xf numFmtId="175" fontId="48" fillId="0" borderId="10" xfId="0" applyNumberFormat="1" applyFont="1" applyFill="1" applyBorder="1" applyProtection="1">
      <protection locked="0"/>
    </xf>
    <xf numFmtId="174" fontId="12" fillId="0" borderId="9" xfId="0" applyFont="1" applyFill="1" applyBorder="1" applyProtection="1">
      <protection locked="0"/>
    </xf>
    <xf numFmtId="175" fontId="48" fillId="0" borderId="13" xfId="0" applyNumberFormat="1" applyFont="1" applyFill="1" applyBorder="1" applyProtection="1">
      <protection locked="0"/>
    </xf>
    <xf numFmtId="174" fontId="12" fillId="0" borderId="12" xfId="0" applyFont="1" applyFill="1" applyBorder="1" applyProtection="1">
      <protection locked="0"/>
    </xf>
    <xf numFmtId="174" fontId="10" fillId="0" borderId="0" xfId="0" applyFont="1" applyFill="1" applyAlignment="1" applyProtection="1">
      <alignment horizontal="left"/>
      <protection locked="0"/>
    </xf>
    <xf numFmtId="174" fontId="68" fillId="0" borderId="10" xfId="0" applyFont="1" applyFill="1" applyBorder="1" applyProtection="1">
      <protection locked="0"/>
    </xf>
    <xf numFmtId="174" fontId="68" fillId="0" borderId="10" xfId="0" applyFont="1" applyBorder="1"/>
    <xf numFmtId="43" fontId="5" fillId="0" borderId="0" xfId="32" applyFill="1"/>
    <xf numFmtId="0" fontId="30" fillId="0" borderId="0" xfId="55" applyFont="1" applyFill="1" applyBorder="1" applyAlignment="1">
      <alignment horizontal="center" wrapText="1"/>
    </xf>
    <xf numFmtId="174" fontId="12" fillId="0" borderId="0" xfId="0" applyFont="1" applyFill="1"/>
    <xf numFmtId="175" fontId="12" fillId="0" borderId="0" xfId="0" applyNumberFormat="1" applyFont="1" applyFill="1" applyProtection="1">
      <protection locked="0"/>
    </xf>
    <xf numFmtId="174" fontId="61" fillId="0" borderId="0" xfId="0" applyFont="1" applyFill="1" applyProtection="1">
      <protection locked="0"/>
    </xf>
    <xf numFmtId="174" fontId="0" fillId="0" borderId="0" xfId="0" applyFill="1" applyProtection="1">
      <protection locked="0"/>
    </xf>
    <xf numFmtId="174" fontId="48" fillId="0" borderId="0" xfId="0" applyFont="1" applyFill="1" applyProtection="1">
      <protection locked="0"/>
    </xf>
    <xf numFmtId="174" fontId="48" fillId="0" borderId="24" xfId="0" applyFont="1" applyFill="1" applyBorder="1" applyAlignment="1" applyProtection="1">
      <alignment horizontal="center" wrapText="1"/>
      <protection locked="0"/>
    </xf>
    <xf numFmtId="174" fontId="48" fillId="0" borderId="25" xfId="0" applyFont="1" applyFill="1" applyBorder="1" applyAlignment="1" applyProtection="1">
      <alignment horizontal="center" wrapText="1"/>
      <protection locked="0"/>
    </xf>
    <xf numFmtId="174"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5" fontId="48" fillId="0" borderId="0" xfId="0" applyNumberFormat="1" applyFont="1" applyFill="1" applyAlignment="1" applyProtection="1">
      <alignment horizontal="left"/>
      <protection locked="0"/>
    </xf>
    <xf numFmtId="174" fontId="55" fillId="0" borderId="0" xfId="0" applyFont="1" applyFill="1" applyAlignment="1" applyProtection="1">
      <alignment horizontal="center"/>
      <protection locked="0"/>
    </xf>
    <xf numFmtId="175" fontId="48" fillId="0" borderId="0" xfId="32" applyNumberFormat="1" applyFont="1" applyFill="1" applyProtection="1">
      <protection locked="0"/>
    </xf>
    <xf numFmtId="180" fontId="48" fillId="0" borderId="0" xfId="0" applyNumberFormat="1" applyFont="1" applyFill="1" applyProtection="1">
      <protection locked="0"/>
    </xf>
    <xf numFmtId="175" fontId="47" fillId="0" borderId="0" xfId="32" applyNumberFormat="1" applyFont="1" applyFill="1" applyProtection="1">
      <protection locked="0"/>
    </xf>
    <xf numFmtId="174" fontId="61" fillId="0" borderId="0" xfId="0" applyFont="1" applyFill="1"/>
    <xf numFmtId="175" fontId="47" fillId="0" borderId="0" xfId="32" applyNumberFormat="1" applyFont="1" applyFill="1" applyAlignment="1" applyProtection="1">
      <alignment horizontal="center"/>
      <protection locked="0"/>
    </xf>
    <xf numFmtId="174" fontId="55" fillId="0" borderId="0" xfId="0" applyFont="1" applyFill="1" applyProtection="1">
      <protection locked="0"/>
    </xf>
    <xf numFmtId="175" fontId="47" fillId="0" borderId="0" xfId="0" applyNumberFormat="1" applyFont="1" applyFill="1" applyProtection="1">
      <protection locked="0"/>
    </xf>
    <xf numFmtId="176" fontId="61" fillId="0" borderId="0" xfId="41" applyNumberFormat="1" applyFont="1" applyFill="1"/>
    <xf numFmtId="0" fontId="7" fillId="0" borderId="0" xfId="55" applyFont="1" applyFill="1"/>
    <xf numFmtId="0" fontId="29" fillId="0" borderId="0" xfId="55" applyFont="1" applyFill="1" applyBorder="1"/>
    <xf numFmtId="43" fontId="13" fillId="0" borderId="0" xfId="55" applyNumberFormat="1" applyFont="1" applyFill="1" applyBorder="1"/>
    <xf numFmtId="0" fontId="8" fillId="0" borderId="16" xfId="55" applyFont="1" applyFill="1" applyBorder="1"/>
    <xf numFmtId="0" fontId="34" fillId="0" borderId="15" xfId="55" applyFont="1" applyFill="1" applyBorder="1"/>
    <xf numFmtId="0" fontId="34" fillId="0" borderId="14" xfId="55" applyFont="1" applyFill="1" applyBorder="1"/>
    <xf numFmtId="0" fontId="8" fillId="0" borderId="13" xfId="55" applyFont="1" applyFill="1" applyBorder="1"/>
    <xf numFmtId="0" fontId="34" fillId="0" borderId="4" xfId="55" applyFont="1" applyFill="1" applyBorder="1"/>
    <xf numFmtId="0" fontId="34" fillId="0" borderId="0" xfId="55" applyFont="1" applyFill="1"/>
    <xf numFmtId="0" fontId="34" fillId="0" borderId="0" xfId="55" applyFont="1" applyFill="1" applyBorder="1"/>
    <xf numFmtId="176" fontId="8" fillId="0" borderId="0" xfId="43" applyNumberFormat="1" applyFont="1" applyFill="1" applyBorder="1"/>
    <xf numFmtId="164" fontId="13" fillId="0" borderId="0" xfId="55" applyNumberFormat="1" applyFont="1" applyFill="1" applyBorder="1"/>
    <xf numFmtId="180" fontId="60" fillId="0" borderId="0" xfId="63" applyNumberFormat="1" applyFont="1" applyFill="1" applyBorder="1"/>
    <xf numFmtId="0" fontId="8" fillId="0" borderId="10" xfId="55" applyFont="1" applyFill="1" applyBorder="1"/>
    <xf numFmtId="9" fontId="8" fillId="0" borderId="9" xfId="63" applyFont="1" applyFill="1" applyBorder="1"/>
    <xf numFmtId="0" fontId="29" fillId="0" borderId="10" xfId="55" applyFont="1" applyFill="1" applyBorder="1"/>
    <xf numFmtId="0" fontId="5" fillId="0" borderId="0" xfId="55" applyFill="1" applyBorder="1"/>
    <xf numFmtId="10" fontId="29" fillId="0" borderId="9" xfId="65" applyNumberFormat="1" applyFont="1" applyFill="1" applyBorder="1"/>
    <xf numFmtId="0" fontId="21" fillId="0" borderId="10" xfId="55" applyFont="1" applyFill="1" applyBorder="1"/>
    <xf numFmtId="0" fontId="5" fillId="0" borderId="0" xfId="55" applyFill="1" applyBorder="1" applyAlignment="1">
      <alignment horizontal="center"/>
    </xf>
    <xf numFmtId="0" fontId="57" fillId="0" borderId="0" xfId="55" applyFont="1" applyFill="1" applyBorder="1"/>
    <xf numFmtId="176" fontId="13" fillId="0" borderId="0" xfId="41" applyNumberFormat="1" applyFont="1" applyFill="1" applyBorder="1"/>
    <xf numFmtId="0" fontId="58" fillId="0" borderId="0" xfId="55" applyFont="1" applyFill="1" applyBorder="1" applyAlignment="1">
      <alignment horizontal="center"/>
    </xf>
    <xf numFmtId="0" fontId="29" fillId="0" borderId="13" xfId="55" applyFont="1" applyFill="1" applyBorder="1"/>
    <xf numFmtId="0" fontId="5" fillId="0" borderId="4" xfId="55" applyFill="1" applyBorder="1" applyAlignment="1">
      <alignment horizontal="center"/>
    </xf>
    <xf numFmtId="0" fontId="13" fillId="0" borderId="4" xfId="55" applyFont="1" applyFill="1" applyBorder="1"/>
    <xf numFmtId="10" fontId="29" fillId="0" borderId="12" xfId="65" applyNumberFormat="1" applyFont="1" applyFill="1" applyBorder="1"/>
    <xf numFmtId="10" fontId="29" fillId="0" borderId="0" xfId="65" applyNumberFormat="1" applyFont="1" applyFill="1" applyBorder="1"/>
    <xf numFmtId="176" fontId="13" fillId="0" borderId="0" xfId="43" applyNumberFormat="1" applyFont="1" applyFill="1" applyBorder="1"/>
    <xf numFmtId="0" fontId="13" fillId="0" borderId="16" xfId="55" applyFont="1" applyFill="1" applyBorder="1"/>
    <xf numFmtId="0" fontId="5" fillId="0" borderId="15" xfId="55" applyFill="1" applyBorder="1"/>
    <xf numFmtId="0" fontId="13" fillId="0" borderId="15" xfId="55" applyFont="1" applyFill="1" applyBorder="1"/>
    <xf numFmtId="176" fontId="13" fillId="0" borderId="14" xfId="43" applyNumberFormat="1" applyFont="1" applyFill="1" applyBorder="1"/>
    <xf numFmtId="176" fontId="13" fillId="0" borderId="9" xfId="43" applyNumberFormat="1" applyFont="1" applyFill="1" applyBorder="1"/>
    <xf numFmtId="0" fontId="13" fillId="0" borderId="10" xfId="55" applyFont="1" applyFill="1" applyBorder="1"/>
    <xf numFmtId="175" fontId="13" fillId="0" borderId="0" xfId="35" applyNumberFormat="1" applyFont="1" applyFill="1" applyBorder="1"/>
    <xf numFmtId="175" fontId="29" fillId="0" borderId="27" xfId="35" applyNumberFormat="1" applyFont="1" applyFill="1" applyBorder="1"/>
    <xf numFmtId="0" fontId="13" fillId="0" borderId="28" xfId="55" applyFont="1" applyFill="1" applyBorder="1"/>
    <xf numFmtId="175" fontId="13" fillId="0" borderId="6" xfId="35" applyNumberFormat="1" applyFont="1" applyFill="1" applyBorder="1"/>
    <xf numFmtId="0" fontId="13" fillId="0" borderId="6" xfId="55" applyFont="1" applyFill="1" applyBorder="1"/>
    <xf numFmtId="175" fontId="13" fillId="0" borderId="11" xfId="35" applyNumberFormat="1" applyFont="1" applyFill="1" applyBorder="1"/>
    <xf numFmtId="175" fontId="13" fillId="0" borderId="15" xfId="35" applyNumberFormat="1" applyFont="1" applyFill="1" applyBorder="1"/>
    <xf numFmtId="175" fontId="13" fillId="0" borderId="14" xfId="35" applyNumberFormat="1" applyFont="1" applyFill="1" applyBorder="1"/>
    <xf numFmtId="164" fontId="13" fillId="0" borderId="0" xfId="63" applyNumberFormat="1" applyFont="1" applyFill="1" applyBorder="1"/>
    <xf numFmtId="175" fontId="13" fillId="0" borderId="4" xfId="35" applyNumberFormat="1" applyFont="1" applyFill="1" applyBorder="1"/>
    <xf numFmtId="182" fontId="13" fillId="0" borderId="0" xfId="55" applyNumberFormat="1" applyFont="1" applyFill="1" applyBorder="1"/>
    <xf numFmtId="0" fontId="5" fillId="0" borderId="29" xfId="55" applyFill="1" applyBorder="1"/>
    <xf numFmtId="0" fontId="30" fillId="0" borderId="3" xfId="55" applyFont="1" applyFill="1" applyBorder="1"/>
    <xf numFmtId="0" fontId="5" fillId="0" borderId="13" xfId="55" applyFill="1" applyBorder="1"/>
    <xf numFmtId="0" fontId="30" fillId="0" borderId="13" xfId="55" applyFont="1" applyFill="1" applyBorder="1"/>
    <xf numFmtId="10" fontId="5" fillId="0" borderId="26" xfId="55" applyNumberFormat="1" applyFill="1" applyBorder="1"/>
    <xf numFmtId="0" fontId="5" fillId="0" borderId="16" xfId="55" applyFill="1" applyBorder="1" applyAlignment="1">
      <alignment horizontal="center"/>
    </xf>
    <xf numFmtId="0" fontId="5" fillId="0" borderId="15" xfId="55" applyFill="1" applyBorder="1" applyAlignment="1">
      <alignment horizontal="center"/>
    </xf>
    <xf numFmtId="0" fontId="5" fillId="0" borderId="14" xfId="55" applyFill="1" applyBorder="1" applyAlignment="1">
      <alignment horizontal="center"/>
    </xf>
    <xf numFmtId="0" fontId="30" fillId="0" borderId="9" xfId="55" applyFont="1" applyFill="1" applyBorder="1" applyAlignment="1">
      <alignment horizontal="center" wrapText="1"/>
    </xf>
    <xf numFmtId="0" fontId="30" fillId="0" borderId="13" xfId="55" applyFont="1" applyFill="1" applyBorder="1" applyAlignment="1">
      <alignment horizontal="center"/>
    </xf>
    <xf numFmtId="0" fontId="5" fillId="0" borderId="14" xfId="55" applyFill="1" applyBorder="1"/>
    <xf numFmtId="175" fontId="0" fillId="0" borderId="0" xfId="35" applyNumberFormat="1" applyFont="1" applyFill="1" applyBorder="1"/>
    <xf numFmtId="175" fontId="0" fillId="0" borderId="0" xfId="32" applyNumberFormat="1" applyFont="1" applyFill="1" applyBorder="1"/>
    <xf numFmtId="175" fontId="0" fillId="0" borderId="9" xfId="35" applyNumberFormat="1" applyFont="1" applyFill="1" applyBorder="1"/>
    <xf numFmtId="175" fontId="0" fillId="0" borderId="4" xfId="35" applyNumberFormat="1" applyFont="1" applyFill="1" applyBorder="1"/>
    <xf numFmtId="175" fontId="0" fillId="0" borderId="4" xfId="32" applyNumberFormat="1" applyFont="1" applyFill="1" applyBorder="1"/>
    <xf numFmtId="175" fontId="0" fillId="0" borderId="12" xfId="35" applyNumberFormat="1" applyFont="1" applyFill="1" applyBorder="1"/>
    <xf numFmtId="0" fontId="5" fillId="0" borderId="0" xfId="60" applyNumberFormat="1" applyFont="1" applyFill="1" applyBorder="1" applyAlignment="1"/>
    <xf numFmtId="174" fontId="0" fillId="0" borderId="0" xfId="0" applyFill="1" applyBorder="1" applyAlignment="1"/>
    <xf numFmtId="174" fontId="15" fillId="0" borderId="0" xfId="0" applyFont="1" applyFill="1" applyBorder="1" applyAlignment="1"/>
    <xf numFmtId="0" fontId="15" fillId="0" borderId="0" xfId="55" applyFont="1" applyFill="1" applyBorder="1" applyAlignment="1"/>
    <xf numFmtId="3" fontId="15" fillId="0" borderId="0" xfId="55" applyNumberFormat="1" applyFont="1" applyFill="1" applyBorder="1" applyAlignment="1">
      <alignment horizontal="center"/>
    </xf>
    <xf numFmtId="174" fontId="15" fillId="0" borderId="9" xfId="0" applyFont="1" applyFill="1" applyBorder="1" applyAlignment="1"/>
    <xf numFmtId="0" fontId="59" fillId="0" borderId="10" xfId="55" applyNumberFormat="1" applyFont="1" applyFill="1" applyBorder="1" applyAlignment="1">
      <alignment horizontal="center"/>
    </xf>
    <xf numFmtId="0" fontId="59" fillId="0" borderId="0" xfId="55" applyFont="1" applyFill="1" applyBorder="1"/>
    <xf numFmtId="0" fontId="59" fillId="0" borderId="0" xfId="55" applyFont="1" applyFill="1" applyBorder="1" applyAlignment="1"/>
    <xf numFmtId="3" fontId="59" fillId="0" borderId="0" xfId="55" applyNumberFormat="1" applyFont="1" applyFill="1" applyBorder="1" applyAlignment="1">
      <alignment horizontal="center"/>
    </xf>
    <xf numFmtId="0" fontId="59" fillId="0" borderId="10" xfId="55" applyFont="1" applyFill="1" applyBorder="1"/>
    <xf numFmtId="0" fontId="59" fillId="0" borderId="9" xfId="55" applyFont="1" applyFill="1" applyBorder="1"/>
    <xf numFmtId="0" fontId="59" fillId="0" borderId="0" xfId="55" applyFont="1" applyFill="1"/>
    <xf numFmtId="175" fontId="25" fillId="0" borderId="0" xfId="32" applyNumberFormat="1" applyFont="1" applyFill="1" applyAlignment="1"/>
    <xf numFmtId="0" fontId="12" fillId="0" borderId="0" xfId="60" quotePrefix="1" applyNumberFormat="1" applyFont="1" applyFill="1" applyAlignment="1">
      <alignment horizontal="left"/>
    </xf>
    <xf numFmtId="0" fontId="15" fillId="0" borderId="0" xfId="55" applyNumberFormat="1" applyFont="1" applyFill="1" applyBorder="1" applyAlignment="1">
      <alignment horizontal="left"/>
    </xf>
    <xf numFmtId="0" fontId="12" fillId="0" borderId="6" xfId="60" applyNumberFormat="1" applyFont="1" applyBorder="1" applyAlignment="1"/>
    <xf numFmtId="3" fontId="12" fillId="0" borderId="6" xfId="60" applyNumberFormat="1" applyFont="1" applyFill="1" applyBorder="1" applyAlignment="1"/>
    <xf numFmtId="175" fontId="12" fillId="0" borderId="6" xfId="32" applyNumberFormat="1" applyFont="1" applyFill="1" applyBorder="1" applyAlignment="1"/>
    <xf numFmtId="3" fontId="12" fillId="0" borderId="6" xfId="60" applyNumberFormat="1" applyFont="1" applyBorder="1" applyAlignment="1"/>
    <xf numFmtId="175" fontId="12" fillId="0" borderId="6" xfId="32" applyNumberFormat="1" applyFont="1" applyBorder="1" applyAlignment="1"/>
    <xf numFmtId="0" fontId="0" fillId="0" borderId="6" xfId="60" applyFont="1" applyBorder="1" applyAlignment="1"/>
    <xf numFmtId="0" fontId="12" fillId="0" borderId="6" xfId="60" applyNumberFormat="1" applyFont="1" applyFill="1" applyBorder="1" applyAlignment="1"/>
    <xf numFmtId="175" fontId="25" fillId="0" borderId="6" xfId="32" applyNumberFormat="1" applyFont="1" applyBorder="1" applyAlignment="1"/>
    <xf numFmtId="0" fontId="25" fillId="0" borderId="6" xfId="60" applyBorder="1" applyAlignment="1"/>
    <xf numFmtId="10" fontId="12" fillId="0" borderId="6" xfId="60" applyNumberFormat="1" applyFont="1" applyBorder="1" applyAlignment="1">
      <alignment horizontal="left"/>
    </xf>
    <xf numFmtId="0" fontId="12" fillId="6" borderId="0" xfId="60" applyNumberFormat="1" applyFont="1" applyFill="1" applyAlignment="1">
      <alignment horizontal="left"/>
    </xf>
    <xf numFmtId="3" fontId="0" fillId="0" borderId="0" xfId="60" applyNumberFormat="1" applyFont="1" applyAlignment="1">
      <alignment horizontal="right"/>
    </xf>
    <xf numFmtId="43" fontId="15" fillId="0" borderId="0" xfId="55" applyNumberFormat="1" applyFont="1" applyFill="1" applyBorder="1" applyAlignment="1">
      <alignment horizontal="center"/>
    </xf>
    <xf numFmtId="175" fontId="12" fillId="0" borderId="0" xfId="32" applyNumberFormat="1" applyFont="1" applyFill="1"/>
    <xf numFmtId="0" fontId="5" fillId="6" borderId="0" xfId="55" applyFont="1" applyFill="1" applyBorder="1" applyAlignment="1">
      <alignment horizontal="center"/>
    </xf>
    <xf numFmtId="0" fontId="48" fillId="0" borderId="0" xfId="55" applyFont="1" applyFill="1" applyAlignment="1">
      <alignment vertical="top"/>
    </xf>
    <xf numFmtId="181" fontId="12" fillId="0" borderId="0" xfId="32" applyNumberFormat="1" applyFont="1" applyFill="1" applyAlignment="1">
      <alignment horizontal="right"/>
    </xf>
    <xf numFmtId="10" fontId="12" fillId="0" borderId="0" xfId="63" applyNumberFormat="1" applyFont="1" applyBorder="1" applyAlignment="1"/>
    <xf numFmtId="174"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70" fontId="48" fillId="6" borderId="26" xfId="0" applyNumberFormat="1" applyFont="1" applyFill="1" applyBorder="1" applyAlignment="1" applyProtection="1">
      <alignment horizontal="center"/>
      <protection locked="0"/>
    </xf>
    <xf numFmtId="175" fontId="48" fillId="0" borderId="0" xfId="32" applyNumberFormat="1" applyFont="1" applyFill="1"/>
    <xf numFmtId="180" fontId="48" fillId="6" borderId="0" xfId="63" applyNumberFormat="1" applyFont="1" applyFill="1" applyProtection="1">
      <protection locked="0"/>
    </xf>
    <xf numFmtId="0" fontId="0" fillId="0" borderId="0" xfId="0" applyNumberFormat="1" applyFill="1" applyAlignment="1">
      <alignment horizontal="center"/>
    </xf>
    <xf numFmtId="0" fontId="60" fillId="0" borderId="0" xfId="55" applyFont="1" applyFill="1" applyBorder="1"/>
    <xf numFmtId="0" fontId="30" fillId="0" borderId="29" xfId="55" applyFont="1" applyFill="1" applyBorder="1"/>
    <xf numFmtId="175" fontId="60" fillId="0" borderId="0" xfId="55" applyNumberFormat="1" applyFont="1" applyFill="1" applyBorder="1"/>
    <xf numFmtId="0" fontId="5" fillId="0" borderId="0" xfId="55" applyNumberFormat="1" applyFont="1" applyBorder="1" applyAlignment="1">
      <alignment horizontal="left"/>
    </xf>
    <xf numFmtId="164" fontId="5" fillId="6" borderId="0" xfId="65" applyNumberFormat="1" applyFont="1" applyFill="1" applyBorder="1" applyAlignment="1">
      <alignment horizontal="center"/>
    </xf>
    <xf numFmtId="9" fontId="5" fillId="6" borderId="0" xfId="65" applyFont="1" applyFill="1" applyBorder="1" applyAlignment="1">
      <alignment horizontal="center"/>
    </xf>
    <xf numFmtId="0" fontId="5" fillId="0" borderId="0" xfId="0" applyNumberFormat="1" applyFont="1" applyBorder="1"/>
    <xf numFmtId="0" fontId="5" fillId="0" borderId="0" xfId="0" applyNumberFormat="1" applyFont="1" applyBorder="1" applyAlignment="1">
      <alignment horizontal="center"/>
    </xf>
    <xf numFmtId="174" fontId="7" fillId="0" borderId="0" xfId="0" applyFont="1" applyFill="1" applyAlignment="1" applyProtection="1">
      <protection locked="0"/>
    </xf>
    <xf numFmtId="174" fontId="5" fillId="0" borderId="0" xfId="0" applyFont="1"/>
    <xf numFmtId="174" fontId="5" fillId="0" borderId="0" xfId="0" applyFont="1" applyBorder="1" applyAlignment="1">
      <alignment horizontal="centerContinuous"/>
    </xf>
    <xf numFmtId="0" fontId="72" fillId="0" borderId="0" xfId="53" applyFont="1"/>
    <xf numFmtId="0" fontId="12" fillId="0" borderId="0" xfId="53" applyFont="1"/>
    <xf numFmtId="0" fontId="12" fillId="0" borderId="0" xfId="53" applyFont="1" applyFill="1"/>
    <xf numFmtId="0" fontId="12" fillId="0" borderId="0" xfId="53" applyFont="1" applyFill="1" applyAlignment="1"/>
    <xf numFmtId="0" fontId="12" fillId="0" borderId="0" xfId="53" applyFont="1" applyFill="1" applyAlignment="1">
      <alignment horizontal="center"/>
    </xf>
    <xf numFmtId="0" fontId="12" fillId="0" borderId="0" xfId="53" applyFont="1" applyBorder="1"/>
    <xf numFmtId="0" fontId="12" fillId="0" borderId="0" xfId="53" applyFont="1" applyBorder="1" applyAlignment="1"/>
    <xf numFmtId="0" fontId="12" fillId="0" borderId="0" xfId="53" applyFont="1" applyFill="1" applyBorder="1"/>
    <xf numFmtId="41" fontId="7" fillId="0" borderId="0" xfId="53" applyNumberFormat="1" applyFont="1" applyBorder="1" applyAlignment="1">
      <alignment horizontal="center"/>
    </xf>
    <xf numFmtId="0" fontId="12" fillId="0" borderId="0" xfId="53" applyFont="1" applyFill="1" applyBorder="1" applyAlignment="1">
      <alignment horizontal="left"/>
    </xf>
    <xf numFmtId="0" fontId="12"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1" xfId="53" applyFont="1" applyFill="1" applyBorder="1"/>
    <xf numFmtId="41" fontId="48" fillId="6" borderId="7" xfId="53" applyNumberFormat="1" applyFont="1" applyFill="1" applyBorder="1"/>
    <xf numFmtId="41" fontId="48" fillId="6" borderId="7" xfId="33" applyFont="1" applyFill="1" applyBorder="1"/>
    <xf numFmtId="0" fontId="48" fillId="6" borderId="32" xfId="53" applyFont="1" applyFill="1" applyBorder="1" applyAlignment="1">
      <alignment wrapText="1"/>
    </xf>
    <xf numFmtId="0" fontId="48" fillId="6" borderId="31" xfId="53" applyFont="1" applyFill="1" applyBorder="1" applyAlignment="1">
      <alignment wrapText="1"/>
    </xf>
    <xf numFmtId="0" fontId="48" fillId="6" borderId="7" xfId="53" applyFont="1" applyFill="1" applyBorder="1"/>
    <xf numFmtId="37" fontId="48" fillId="0" borderId="32" xfId="53" applyNumberFormat="1" applyFont="1" applyFill="1" applyBorder="1" applyAlignment="1">
      <alignment wrapText="1"/>
    </xf>
    <xf numFmtId="175" fontId="48" fillId="6" borderId="7" xfId="32" applyNumberFormat="1" applyFont="1" applyFill="1" applyBorder="1"/>
    <xf numFmtId="175" fontId="48" fillId="6" borderId="7" xfId="32" applyNumberFormat="1" applyFont="1" applyFill="1" applyBorder="1" applyAlignment="1">
      <alignment horizontal="right"/>
    </xf>
    <xf numFmtId="175" fontId="48" fillId="6" borderId="7" xfId="32" applyNumberFormat="1" applyFont="1" applyFill="1" applyBorder="1" applyAlignment="1">
      <alignment horizontal="center"/>
    </xf>
    <xf numFmtId="175" fontId="48" fillId="6" borderId="33" xfId="32" applyNumberFormat="1" applyFont="1" applyFill="1" applyBorder="1"/>
    <xf numFmtId="0" fontId="48" fillId="6" borderId="34"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5" xfId="53" applyNumberFormat="1" applyFont="1" applyFill="1" applyBorder="1" applyAlignment="1">
      <alignment horizontal="center"/>
    </xf>
    <xf numFmtId="37" fontId="48" fillId="6" borderId="7" xfId="53" applyNumberFormat="1" applyFont="1" applyFill="1" applyBorder="1"/>
    <xf numFmtId="0" fontId="48" fillId="6" borderId="35" xfId="53" applyFont="1" applyFill="1" applyBorder="1" applyAlignment="1">
      <alignment horizontal="center"/>
    </xf>
    <xf numFmtId="175"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0" fontId="48" fillId="6" borderId="31" xfId="61" applyFont="1" applyFill="1" applyBorder="1"/>
    <xf numFmtId="175" fontId="48" fillId="6" borderId="33" xfId="32" applyNumberFormat="1" applyFont="1" applyFill="1" applyBorder="1" applyAlignment="1">
      <alignment horizontal="right"/>
    </xf>
    <xf numFmtId="175"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74" fillId="0" borderId="0" xfId="53" applyFont="1" applyFill="1" applyAlignment="1">
      <alignment horizontal="center"/>
    </xf>
    <xf numFmtId="0" fontId="48" fillId="0" borderId="0" xfId="53" applyFont="1" applyFill="1" applyAlignment="1">
      <alignment horizontal="center"/>
    </xf>
    <xf numFmtId="0" fontId="48" fillId="0" borderId="35" xfId="53" applyFont="1" applyBorder="1"/>
    <xf numFmtId="175" fontId="48" fillId="0" borderId="7" xfId="32" applyNumberFormat="1" applyFont="1" applyBorder="1"/>
    <xf numFmtId="0" fontId="48" fillId="0" borderId="36" xfId="53" applyFont="1" applyFill="1" applyBorder="1"/>
    <xf numFmtId="0" fontId="48" fillId="0" borderId="37" xfId="53" applyFont="1" applyFill="1" applyBorder="1"/>
    <xf numFmtId="0" fontId="48" fillId="0" borderId="38" xfId="53" applyFont="1" applyFill="1" applyBorder="1"/>
    <xf numFmtId="175" fontId="48" fillId="0" borderId="39" xfId="32" applyNumberFormat="1" applyFont="1" applyFill="1" applyBorder="1"/>
    <xf numFmtId="0" fontId="48" fillId="0" borderId="40" xfId="53" applyFont="1" applyFill="1" applyBorder="1" applyAlignment="1">
      <alignment wrapText="1"/>
    </xf>
    <xf numFmtId="37" fontId="48" fillId="0" borderId="0" xfId="53" applyNumberFormat="1" applyFont="1" applyFill="1" applyBorder="1" applyAlignment="1">
      <alignment wrapText="1"/>
    </xf>
    <xf numFmtId="0" fontId="48" fillId="0" borderId="31" xfId="53" applyFont="1" applyFill="1" applyBorder="1" applyAlignment="1"/>
    <xf numFmtId="0" fontId="48" fillId="0" borderId="31" xfId="53" applyFont="1" applyFill="1" applyBorder="1"/>
    <xf numFmtId="0" fontId="48" fillId="0" borderId="41" xfId="53" applyFont="1" applyFill="1" applyBorder="1"/>
    <xf numFmtId="0" fontId="48" fillId="0" borderId="35" xfId="53" applyFont="1" applyFill="1" applyBorder="1" applyAlignment="1"/>
    <xf numFmtId="0" fontId="48" fillId="0" borderId="35" xfId="53" applyFont="1" applyFill="1" applyBorder="1"/>
    <xf numFmtId="0" fontId="48" fillId="0" borderId="42" xfId="53" applyFont="1" applyFill="1" applyBorder="1"/>
    <xf numFmtId="175" fontId="48" fillId="0" borderId="39"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74" fillId="0" borderId="0" xfId="53" applyFont="1" applyFill="1" applyAlignment="1">
      <alignment horizontal="left"/>
    </xf>
    <xf numFmtId="0" fontId="74" fillId="0" borderId="0" xfId="53" applyFont="1" applyFill="1"/>
    <xf numFmtId="175" fontId="74" fillId="0" borderId="0" xfId="32" applyNumberFormat="1" applyFont="1" applyFill="1"/>
    <xf numFmtId="37" fontId="74" fillId="0" borderId="0" xfId="53" applyNumberFormat="1" applyFont="1" applyFill="1"/>
    <xf numFmtId="37" fontId="74" fillId="0" borderId="0" xfId="53" applyNumberFormat="1" applyFont="1" applyFill="1" applyAlignment="1">
      <alignment horizontal="left"/>
    </xf>
    <xf numFmtId="43" fontId="74" fillId="0" borderId="0" xfId="53" applyNumberFormat="1" applyFont="1" applyFill="1"/>
    <xf numFmtId="0" fontId="74" fillId="6" borderId="31" xfId="53" applyFont="1" applyFill="1" applyBorder="1"/>
    <xf numFmtId="41" fontId="74" fillId="6" borderId="7" xfId="53" applyNumberFormat="1" applyFont="1" applyFill="1" applyBorder="1"/>
    <xf numFmtId="41" fontId="74" fillId="6" borderId="7" xfId="33" applyFont="1" applyFill="1" applyBorder="1"/>
    <xf numFmtId="0" fontId="74" fillId="6" borderId="32" xfId="53" applyFont="1" applyFill="1" applyBorder="1" applyAlignment="1">
      <alignment wrapText="1"/>
    </xf>
    <xf numFmtId="0" fontId="74" fillId="6" borderId="31" xfId="53" applyFont="1" applyFill="1" applyBorder="1" applyAlignment="1">
      <alignment wrapText="1"/>
    </xf>
    <xf numFmtId="0" fontId="74" fillId="6" borderId="7" xfId="53" applyFont="1" applyFill="1" applyBorder="1"/>
    <xf numFmtId="37" fontId="74" fillId="0" borderId="32" xfId="53" applyNumberFormat="1" applyFont="1" applyFill="1" applyBorder="1" applyAlignment="1">
      <alignment wrapText="1"/>
    </xf>
    <xf numFmtId="175" fontId="74" fillId="6" borderId="7" xfId="32" applyNumberFormat="1" applyFont="1" applyFill="1" applyBorder="1"/>
    <xf numFmtId="175" fontId="74" fillId="6" borderId="7" xfId="32" applyNumberFormat="1" applyFont="1" applyFill="1" applyBorder="1" applyAlignment="1">
      <alignment horizontal="right"/>
    </xf>
    <xf numFmtId="175" fontId="74" fillId="6" borderId="7" xfId="32" applyNumberFormat="1" applyFont="1" applyFill="1" applyBorder="1" applyAlignment="1">
      <alignment horizontal="center"/>
    </xf>
    <xf numFmtId="175" fontId="74" fillId="6" borderId="33" xfId="32" applyNumberFormat="1" applyFont="1" applyFill="1" applyBorder="1"/>
    <xf numFmtId="0" fontId="74" fillId="6" borderId="34" xfId="53" applyFont="1" applyFill="1" applyBorder="1" applyAlignment="1">
      <alignment wrapText="1"/>
    </xf>
    <xf numFmtId="0" fontId="74" fillId="0" borderId="0" xfId="53" applyFont="1" applyBorder="1"/>
    <xf numFmtId="0" fontId="74" fillId="0" borderId="0" xfId="53" applyFont="1" applyFill="1" applyBorder="1" applyAlignment="1">
      <alignment wrapText="1"/>
    </xf>
    <xf numFmtId="0" fontId="74" fillId="0" borderId="0" xfId="53" applyFont="1" applyBorder="1" applyAlignment="1">
      <alignment horizontal="left"/>
    </xf>
    <xf numFmtId="37" fontId="74" fillId="6" borderId="35" xfId="53" applyNumberFormat="1" applyFont="1" applyFill="1" applyBorder="1" applyAlignment="1">
      <alignment horizontal="center"/>
    </xf>
    <xf numFmtId="37" fontId="74" fillId="6" borderId="7" xfId="53" applyNumberFormat="1" applyFont="1" applyFill="1" applyBorder="1"/>
    <xf numFmtId="0" fontId="74" fillId="6" borderId="35" xfId="53" applyFont="1" applyFill="1" applyBorder="1" applyAlignment="1">
      <alignment horizontal="center"/>
    </xf>
    <xf numFmtId="175" fontId="74" fillId="0" borderId="7" xfId="32" applyNumberFormat="1" applyFont="1" applyFill="1" applyBorder="1"/>
    <xf numFmtId="0" fontId="74" fillId="0" borderId="0" xfId="53" applyFont="1" applyFill="1" applyBorder="1"/>
    <xf numFmtId="37" fontId="74" fillId="0" borderId="0" xfId="53" applyNumberFormat="1" applyFont="1" applyFill="1" applyBorder="1"/>
    <xf numFmtId="0" fontId="74" fillId="0" borderId="0" xfId="53" applyFont="1" applyFill="1" applyBorder="1" applyAlignment="1">
      <alignment horizontal="center"/>
    </xf>
    <xf numFmtId="37" fontId="74" fillId="0" borderId="0" xfId="53" applyNumberFormat="1" applyFont="1" applyFill="1" applyBorder="1" applyAlignment="1">
      <alignment horizontal="center"/>
    </xf>
    <xf numFmtId="0" fontId="74" fillId="6" borderId="31" xfId="61" applyFont="1" applyFill="1" applyBorder="1"/>
    <xf numFmtId="175" fontId="74" fillId="6" borderId="33" xfId="32" applyNumberFormat="1" applyFont="1" applyFill="1" applyBorder="1" applyAlignment="1">
      <alignment horizontal="right"/>
    </xf>
    <xf numFmtId="175" fontId="74" fillId="0" borderId="0" xfId="53" applyNumberFormat="1" applyFont="1" applyFill="1" applyBorder="1" applyAlignment="1">
      <alignment wrapText="1"/>
    </xf>
    <xf numFmtId="0" fontId="74" fillId="0" borderId="0" xfId="53" applyFont="1" applyBorder="1" applyAlignment="1">
      <alignment wrapText="1"/>
    </xf>
    <xf numFmtId="0" fontId="74" fillId="0" borderId="0" xfId="53" applyFont="1" applyFill="1" applyBorder="1" applyAlignment="1">
      <alignment horizontal="centerContinuous"/>
    </xf>
    <xf numFmtId="0" fontId="74" fillId="0" borderId="0" xfId="53" applyFont="1" applyFill="1" applyBorder="1" applyAlignment="1">
      <alignment horizontal="left"/>
    </xf>
    <xf numFmtId="175" fontId="74" fillId="0" borderId="0" xfId="32" applyNumberFormat="1" applyFont="1" applyFill="1" applyBorder="1"/>
    <xf numFmtId="0" fontId="74" fillId="0" borderId="35" xfId="53" applyFont="1" applyBorder="1"/>
    <xf numFmtId="175" fontId="74" fillId="0" borderId="7" xfId="32" applyNumberFormat="1" applyFont="1" applyBorder="1"/>
    <xf numFmtId="0" fontId="74" fillId="0" borderId="36" xfId="53" applyFont="1" applyFill="1" applyBorder="1"/>
    <xf numFmtId="0" fontId="74" fillId="0" borderId="37" xfId="53" applyFont="1" applyFill="1" applyBorder="1"/>
    <xf numFmtId="0" fontId="74" fillId="0" borderId="38" xfId="53" applyFont="1" applyFill="1" applyBorder="1"/>
    <xf numFmtId="175" fontId="74" fillId="0" borderId="39" xfId="32" applyNumberFormat="1" applyFont="1" applyFill="1" applyBorder="1"/>
    <xf numFmtId="0" fontId="74" fillId="0" borderId="40" xfId="53" applyFont="1" applyFill="1" applyBorder="1" applyAlignment="1">
      <alignment wrapText="1"/>
    </xf>
    <xf numFmtId="37" fontId="74" fillId="0" borderId="0" xfId="53" applyNumberFormat="1" applyFont="1" applyFill="1" applyBorder="1" applyAlignment="1">
      <alignment wrapText="1"/>
    </xf>
    <xf numFmtId="0" fontId="74" fillId="0" borderId="31" xfId="53" applyFont="1" applyFill="1" applyBorder="1" applyAlignment="1"/>
    <xf numFmtId="0" fontId="74" fillId="0" borderId="31" xfId="53" applyFont="1" applyFill="1" applyBorder="1"/>
    <xf numFmtId="0" fontId="74" fillId="0" borderId="41" xfId="53" applyFont="1" applyFill="1" applyBorder="1"/>
    <xf numFmtId="0" fontId="74" fillId="0" borderId="35" xfId="53" applyFont="1" applyFill="1" applyBorder="1" applyAlignment="1"/>
    <xf numFmtId="0" fontId="74" fillId="0" borderId="35" xfId="53" applyFont="1" applyFill="1" applyBorder="1"/>
    <xf numFmtId="0" fontId="74" fillId="0" borderId="42" xfId="53" applyFont="1" applyFill="1" applyBorder="1"/>
    <xf numFmtId="175" fontId="74" fillId="0" borderId="39" xfId="32" applyNumberFormat="1" applyFont="1" applyFill="1" applyBorder="1" applyAlignment="1">
      <alignment horizontal="right"/>
    </xf>
    <xf numFmtId="41" fontId="74" fillId="0" borderId="0" xfId="53" applyNumberFormat="1" applyFont="1" applyFill="1" applyBorder="1" applyAlignment="1">
      <alignment horizontal="center"/>
    </xf>
    <xf numFmtId="0" fontId="74" fillId="0" borderId="0" xfId="53" applyFont="1" applyFill="1" applyAlignment="1">
      <alignment horizontal="right"/>
    </xf>
    <xf numFmtId="0" fontId="74" fillId="0" borderId="0" xfId="60" applyNumberFormat="1" applyFont="1" applyFill="1" applyProtection="1">
      <protection locked="0"/>
    </xf>
    <xf numFmtId="0" fontId="74" fillId="0" borderId="0" xfId="60" applyFont="1" applyFill="1" applyAlignment="1"/>
    <xf numFmtId="0" fontId="7"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2" fillId="0" borderId="0" xfId="0" applyNumberFormat="1" applyFont="1" applyBorder="1" applyAlignment="1">
      <alignment horizontal="left"/>
    </xf>
    <xf numFmtId="0" fontId="12" fillId="0" borderId="0" xfId="0" applyNumberFormat="1" applyFont="1" applyBorder="1"/>
    <xf numFmtId="0" fontId="12" fillId="0" borderId="0" xfId="0" applyNumberFormat="1" applyFont="1" applyFill="1" applyBorder="1"/>
    <xf numFmtId="0" fontId="75" fillId="0" borderId="0" xfId="0" applyNumberFormat="1" applyFont="1"/>
    <xf numFmtId="175" fontId="5" fillId="0" borderId="10" xfId="32" applyNumberFormat="1" applyFont="1" applyFill="1" applyBorder="1" applyAlignment="1"/>
    <xf numFmtId="175" fontId="12" fillId="0" borderId="10" xfId="32" applyNumberFormat="1" applyFont="1" applyFill="1" applyBorder="1" applyAlignment="1"/>
    <xf numFmtId="0" fontId="74" fillId="9" borderId="0" xfId="60" applyNumberFormat="1" applyFont="1" applyFill="1" applyProtection="1">
      <protection locked="0"/>
    </xf>
    <xf numFmtId="3" fontId="48" fillId="0" borderId="0" xfId="55" applyNumberFormat="1" applyFont="1" applyFill="1" applyBorder="1" applyAlignment="1"/>
    <xf numFmtId="0" fontId="48" fillId="0" borderId="0" xfId="55" applyFont="1" applyAlignment="1">
      <alignment horizontal="center"/>
    </xf>
    <xf numFmtId="0" fontId="49" fillId="0" borderId="0" xfId="55" applyFont="1" applyFill="1" applyBorder="1" applyAlignment="1">
      <alignment horizontal="left"/>
    </xf>
    <xf numFmtId="0" fontId="48" fillId="0" borderId="10" xfId="55" applyFont="1" applyBorder="1" applyAlignment="1">
      <alignment horizontal="center"/>
    </xf>
    <xf numFmtId="0" fontId="48" fillId="0" borderId="0" xfId="55" applyNumberFormat="1" applyFont="1" applyFill="1" applyBorder="1" applyAlignment="1"/>
    <xf numFmtId="0" fontId="55" fillId="0" borderId="0" xfId="55" applyFont="1" applyBorder="1" applyAlignment="1">
      <alignment horizontal="left"/>
    </xf>
    <xf numFmtId="0" fontId="48" fillId="0" borderId="0" xfId="55" applyFont="1" applyBorder="1" applyAlignment="1">
      <alignment horizontal="center"/>
    </xf>
    <xf numFmtId="0" fontId="48" fillId="0" borderId="0" xfId="55" applyFont="1" applyBorder="1" applyAlignment="1">
      <alignment horizontal="righ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 fontId="77" fillId="0" borderId="0" xfId="55" applyNumberFormat="1" applyFont="1" applyFill="1" applyBorder="1" applyAlignment="1">
      <alignment horizontal="center"/>
    </xf>
    <xf numFmtId="174" fontId="48" fillId="0" borderId="0" xfId="0" applyFont="1" applyBorder="1" applyAlignment="1"/>
    <xf numFmtId="173" fontId="48" fillId="0" borderId="0" xfId="0" applyNumberFormat="1" applyFont="1" applyFill="1" applyBorder="1" applyAlignment="1"/>
    <xf numFmtId="175" fontId="48" fillId="6" borderId="0" xfId="32" applyNumberFormat="1" applyFont="1" applyFill="1" applyBorder="1" applyAlignment="1">
      <alignment horizontal="right"/>
    </xf>
    <xf numFmtId="174" fontId="48" fillId="0" borderId="0" xfId="0" applyFont="1" applyFill="1" applyBorder="1" applyAlignment="1"/>
    <xf numFmtId="174" fontId="47" fillId="0" borderId="0" xfId="0" applyFont="1" applyBorder="1" applyAlignment="1"/>
    <xf numFmtId="0" fontId="48" fillId="0" borderId="12" xfId="55" applyFont="1" applyBorder="1"/>
    <xf numFmtId="180" fontId="0" fillId="0" borderId="0" xfId="0" applyNumberFormat="1" applyFill="1"/>
    <xf numFmtId="176" fontId="25" fillId="0" borderId="0" xfId="41" applyNumberFormat="1" applyFont="1" applyFill="1"/>
    <xf numFmtId="3" fontId="12" fillId="0" borderId="0" xfId="60" applyNumberFormat="1" applyFont="1" applyFill="1" applyBorder="1" applyAlignment="1">
      <alignment horizontal="center" wrapText="1"/>
    </xf>
    <xf numFmtId="0" fontId="12" fillId="0" borderId="0" xfId="60" applyNumberFormat="1" applyFont="1" applyFill="1" applyBorder="1" applyAlignment="1">
      <alignment horizontal="center"/>
    </xf>
    <xf numFmtId="0" fontId="25" fillId="0" borderId="0" xfId="60" applyFill="1" applyBorder="1" applyAlignment="1">
      <alignment horizontal="center"/>
    </xf>
    <xf numFmtId="164" fontId="78" fillId="0" borderId="14" xfId="63" applyNumberFormat="1" applyFont="1" applyBorder="1" applyAlignment="1"/>
    <xf numFmtId="175" fontId="53" fillId="6" borderId="0" xfId="32" applyNumberFormat="1" applyFont="1" applyFill="1" applyBorder="1" applyAlignment="1">
      <alignment horizontal="center"/>
    </xf>
    <xf numFmtId="175" fontId="53" fillId="6" borderId="6" xfId="32" applyNumberFormat="1" applyFont="1" applyFill="1" applyBorder="1" applyAlignment="1">
      <alignment horizontal="center"/>
    </xf>
    <xf numFmtId="175" fontId="53" fillId="0" borderId="0" xfId="32" applyNumberFormat="1" applyFont="1" applyFill="1" applyBorder="1" applyAlignment="1">
      <alignment horizontal="center"/>
    </xf>
    <xf numFmtId="43" fontId="48" fillId="6" borderId="0" xfId="32" applyFont="1" applyFill="1" applyBorder="1" applyAlignment="1">
      <alignment horizontal="right"/>
    </xf>
    <xf numFmtId="43" fontId="48" fillId="0" borderId="0" xfId="32" applyFont="1" applyBorder="1" applyAlignment="1"/>
    <xf numFmtId="43" fontId="48" fillId="0" borderId="4" xfId="32" applyFont="1" applyBorder="1"/>
    <xf numFmtId="0" fontId="30" fillId="0" borderId="0" xfId="0" applyNumberFormat="1" applyFont="1" applyFill="1" applyBorder="1" applyAlignment="1">
      <alignment horizontal="center"/>
    </xf>
    <xf numFmtId="0" fontId="5" fillId="0" borderId="0" xfId="0" applyNumberFormat="1" applyFont="1" applyFill="1" applyAlignment="1">
      <alignment horizontal="center"/>
    </xf>
    <xf numFmtId="2" fontId="0" fillId="0" borderId="0" xfId="0" applyNumberFormat="1" applyFill="1" applyBorder="1" applyAlignment="1">
      <alignment horizontal="center" wrapText="1"/>
    </xf>
    <xf numFmtId="0" fontId="0" fillId="0" borderId="0" xfId="0" applyNumberFormat="1" applyFill="1"/>
    <xf numFmtId="0" fontId="7" fillId="0" borderId="0" xfId="0" applyNumberFormat="1" applyFont="1" applyFill="1" applyBorder="1" applyAlignment="1">
      <alignment horizontal="left"/>
    </xf>
    <xf numFmtId="0" fontId="0" fillId="0" borderId="0" xfId="0" applyNumberFormat="1" applyFill="1" applyAlignment="1">
      <alignment horizontal="left"/>
    </xf>
    <xf numFmtId="37" fontId="0" fillId="0" borderId="0" xfId="0" applyNumberFormat="1" applyFill="1"/>
    <xf numFmtId="0" fontId="12" fillId="0" borderId="0" xfId="0" applyNumberFormat="1" applyFont="1" applyFill="1" applyBorder="1" applyAlignment="1">
      <alignment horizontal="left"/>
    </xf>
    <xf numFmtId="0" fontId="0" fillId="0" borderId="0" xfId="0" applyNumberFormat="1" applyFill="1" applyBorder="1"/>
    <xf numFmtId="0" fontId="51" fillId="7" borderId="0" xfId="55" applyFont="1" applyFill="1" applyBorder="1" applyAlignment="1">
      <alignment horizontal="center" wrapText="1"/>
    </xf>
    <xf numFmtId="43" fontId="5" fillId="0" borderId="0" xfId="55" applyNumberFormat="1" applyFont="1" applyFill="1" applyBorder="1" applyAlignment="1">
      <alignment horizontal="center"/>
    </xf>
    <xf numFmtId="0" fontId="80" fillId="0" borderId="0" xfId="55" applyFont="1" applyFill="1"/>
    <xf numFmtId="0" fontId="51" fillId="0" borderId="16" xfId="55" applyFont="1" applyFill="1" applyBorder="1" applyAlignment="1">
      <alignment horizontal="left"/>
    </xf>
    <xf numFmtId="0" fontId="5" fillId="0" borderId="15" xfId="55" applyFont="1" applyBorder="1"/>
    <xf numFmtId="0" fontId="5" fillId="0" borderId="14" xfId="55" applyFont="1" applyBorder="1"/>
    <xf numFmtId="0" fontId="5" fillId="11" borderId="0" xfId="55" applyFont="1" applyFill="1"/>
    <xf numFmtId="0" fontId="51" fillId="0" borderId="16" xfId="55" applyFont="1" applyFill="1" applyBorder="1" applyAlignment="1">
      <alignment horizontal="center" wrapText="1"/>
    </xf>
    <xf numFmtId="3" fontId="30" fillId="0" borderId="0" xfId="55" applyNumberFormat="1" applyFont="1" applyFill="1" applyBorder="1" applyAlignment="1">
      <alignment horizontal="center"/>
    </xf>
    <xf numFmtId="0" fontId="51" fillId="12" borderId="0" xfId="55" applyFont="1" applyFill="1" applyBorder="1" applyAlignment="1">
      <alignment horizontal="left"/>
    </xf>
    <xf numFmtId="0" fontId="5" fillId="12" borderId="0" xfId="55" applyFont="1" applyFill="1"/>
    <xf numFmtId="174" fontId="80" fillId="0" borderId="0" xfId="0" applyFont="1" applyFill="1" applyBorder="1" applyAlignment="1"/>
    <xf numFmtId="0" fontId="80" fillId="0" borderId="4" xfId="55" applyFont="1" applyFill="1" applyBorder="1"/>
    <xf numFmtId="0" fontId="74" fillId="0" borderId="0" xfId="0" applyNumberFormat="1" applyFont="1" applyFill="1" applyBorder="1" applyAlignment="1"/>
    <xf numFmtId="0" fontId="81" fillId="0" borderId="0" xfId="55" applyFont="1" applyFill="1" applyBorder="1" applyAlignment="1">
      <alignment horizontal="left"/>
    </xf>
    <xf numFmtId="43" fontId="15" fillId="13" borderId="0" xfId="55" applyNumberFormat="1" applyFont="1" applyFill="1" applyBorder="1" applyAlignment="1">
      <alignment horizontal="center"/>
    </xf>
    <xf numFmtId="174" fontId="82" fillId="0" borderId="0" xfId="0" applyFont="1" applyBorder="1" applyAlignment="1"/>
    <xf numFmtId="0" fontId="5" fillId="0" borderId="0" xfId="55" applyNumberFormat="1" applyFont="1" applyFill="1" applyBorder="1" applyAlignment="1">
      <alignment horizontal="right"/>
    </xf>
    <xf numFmtId="0" fontId="53" fillId="0" borderId="0" xfId="55" applyFont="1" applyFill="1" applyBorder="1" applyAlignment="1">
      <alignment horizontal="center"/>
    </xf>
    <xf numFmtId="175" fontId="5" fillId="13" borderId="0" xfId="35" applyNumberFormat="1" applyFont="1" applyFill="1" applyBorder="1" applyAlignment="1">
      <alignment horizontal="right"/>
    </xf>
    <xf numFmtId="175" fontId="5" fillId="13" borderId="10" xfId="35" applyNumberFormat="1" applyFont="1" applyFill="1" applyBorder="1" applyAlignment="1">
      <alignment horizontal="right"/>
    </xf>
    <xf numFmtId="43" fontId="12" fillId="0" borderId="0" xfId="32" applyFont="1" applyAlignment="1"/>
    <xf numFmtId="179" fontId="12" fillId="0" borderId="0" xfId="32" applyNumberFormat="1" applyFont="1" applyAlignment="1"/>
    <xf numFmtId="181" fontId="12" fillId="0" borderId="0" xfId="32" applyNumberFormat="1" applyFont="1" applyAlignment="1"/>
    <xf numFmtId="181" fontId="12" fillId="0" borderId="6" xfId="32" applyNumberFormat="1" applyFont="1" applyBorder="1" applyAlignment="1"/>
    <xf numFmtId="43" fontId="12" fillId="0" borderId="0" xfId="32" applyFont="1" applyFill="1" applyAlignment="1"/>
    <xf numFmtId="181" fontId="12" fillId="0" borderId="0" xfId="32" applyNumberFormat="1" applyFont="1" applyFill="1" applyAlignment="1"/>
    <xf numFmtId="181" fontId="12" fillId="0" borderId="6" xfId="32" applyNumberFormat="1" applyFont="1" applyFill="1" applyBorder="1" applyAlignment="1"/>
    <xf numFmtId="43" fontId="12" fillId="6" borderId="0" xfId="32" applyFont="1" applyFill="1" applyAlignment="1"/>
    <xf numFmtId="43" fontId="12" fillId="6" borderId="0" xfId="32" applyNumberFormat="1" applyFont="1" applyFill="1" applyAlignment="1"/>
    <xf numFmtId="43" fontId="12" fillId="6" borderId="4" xfId="32" applyFont="1" applyFill="1" applyBorder="1" applyAlignment="1"/>
    <xf numFmtId="43" fontId="12" fillId="0" borderId="4" xfId="32" applyFont="1" applyBorder="1" applyAlignment="1"/>
    <xf numFmtId="43" fontId="12" fillId="0" borderId="0" xfId="32" quotePrefix="1" applyFont="1" applyFill="1" applyAlignment="1">
      <alignment horizontal="right"/>
    </xf>
    <xf numFmtId="43" fontId="12" fillId="0" borderId="4" xfId="32" quotePrefix="1" applyFont="1" applyBorder="1" applyAlignment="1">
      <alignment horizontal="right"/>
    </xf>
    <xf numFmtId="179" fontId="12" fillId="0" borderId="4" xfId="32" applyNumberFormat="1" applyFont="1" applyBorder="1" applyAlignment="1"/>
    <xf numFmtId="43" fontId="74" fillId="6" borderId="0" xfId="32" applyFont="1" applyFill="1" applyProtection="1">
      <protection locked="0"/>
    </xf>
    <xf numFmtId="181" fontId="12" fillId="0" borderId="0" xfId="32" applyNumberFormat="1" applyFont="1" applyFill="1" applyAlignment="1">
      <alignment horizontal="center"/>
    </xf>
    <xf numFmtId="181" fontId="12" fillId="0" borderId="0" xfId="32" applyNumberFormat="1" applyFont="1" applyAlignment="1">
      <alignment horizontal="center"/>
    </xf>
    <xf numFmtId="181" fontId="25" fillId="0" borderId="0" xfId="32" applyNumberFormat="1" applyFont="1" applyFill="1" applyAlignment="1"/>
    <xf numFmtId="181" fontId="12" fillId="0" borderId="0" xfId="32" applyNumberFormat="1" applyFont="1" applyFill="1" applyBorder="1" applyAlignment="1"/>
    <xf numFmtId="43" fontId="12" fillId="0" borderId="0" xfId="32" applyFont="1" applyFill="1" applyBorder="1"/>
    <xf numFmtId="43" fontId="25" fillId="0" borderId="0" xfId="32" applyFont="1" applyFill="1" applyBorder="1" applyAlignment="1"/>
    <xf numFmtId="43" fontId="12" fillId="0" borderId="10" xfId="32" applyFont="1" applyFill="1" applyBorder="1" applyAlignment="1"/>
    <xf numFmtId="43" fontId="48" fillId="0" borderId="0" xfId="32" applyFont="1" applyFill="1"/>
    <xf numFmtId="174" fontId="74" fillId="0" borderId="0" xfId="0" applyFont="1" applyFill="1" applyAlignment="1"/>
    <xf numFmtId="10" fontId="74" fillId="0" borderId="0" xfId="60" applyNumberFormat="1" applyFont="1" applyFill="1" applyProtection="1">
      <protection locked="0"/>
    </xf>
    <xf numFmtId="0" fontId="74" fillId="0" borderId="0" xfId="0" applyNumberFormat="1" applyFont="1" applyFill="1" applyBorder="1" applyAlignment="1">
      <alignment horizontal="left"/>
    </xf>
    <xf numFmtId="0" fontId="74" fillId="0" borderId="0" xfId="60" applyNumberFormat="1" applyFont="1" applyFill="1"/>
    <xf numFmtId="0" fontId="0" fillId="0" borderId="0" xfId="60" applyFont="1" applyFill="1" applyAlignment="1"/>
    <xf numFmtId="3" fontId="25" fillId="0" borderId="0" xfId="60" applyNumberFormat="1" applyFont="1" applyFill="1" applyBorder="1" applyAlignment="1"/>
    <xf numFmtId="175" fontId="25" fillId="0" borderId="0" xfId="60" applyNumberFormat="1" applyFill="1" applyAlignment="1"/>
    <xf numFmtId="0" fontId="0" fillId="0" borderId="0" xfId="60" applyFont="1" applyFill="1" applyBorder="1" applyAlignment="1">
      <alignment horizontal="left"/>
    </xf>
    <xf numFmtId="0" fontId="12" fillId="0" borderId="0" xfId="60" applyNumberFormat="1" applyFont="1" applyFill="1" applyAlignment="1">
      <alignment horizontal="center"/>
    </xf>
    <xf numFmtId="49" fontId="12" fillId="0" borderId="0" xfId="60" applyNumberFormat="1" applyFont="1" applyFill="1" applyAlignment="1">
      <alignment horizontal="left"/>
    </xf>
    <xf numFmtId="175" fontId="12" fillId="0" borderId="0" xfId="32" applyNumberFormat="1" applyFont="1" applyFill="1" applyAlignment="1">
      <alignment horizontal="center"/>
    </xf>
    <xf numFmtId="49" fontId="12" fillId="0" borderId="0" xfId="32" applyNumberFormat="1" applyFont="1" applyFill="1" applyAlignment="1">
      <alignment horizontal="center"/>
    </xf>
    <xf numFmtId="0" fontId="34" fillId="0" borderId="0" xfId="60" applyNumberFormat="1" applyFont="1" applyFill="1" applyAlignment="1"/>
    <xf numFmtId="0" fontId="36" fillId="0" borderId="0" xfId="60" applyNumberFormat="1" applyFont="1" applyFill="1" applyAlignment="1">
      <alignment horizontal="left"/>
    </xf>
    <xf numFmtId="3" fontId="12" fillId="0" borderId="0" xfId="60" applyNumberFormat="1" applyFont="1" applyFill="1" applyBorder="1" applyAlignment="1">
      <alignment horizontal="right"/>
    </xf>
    <xf numFmtId="0" fontId="0" fillId="0" borderId="0" xfId="60" applyFont="1" applyFill="1" applyBorder="1" applyAlignment="1">
      <alignment horizontal="center"/>
    </xf>
    <xf numFmtId="175" fontId="5" fillId="0" borderId="0" xfId="55" applyNumberFormat="1" applyFont="1" applyFill="1" applyBorder="1"/>
    <xf numFmtId="174" fontId="42" fillId="0" borderId="0" xfId="0" applyFont="1" applyFill="1" applyBorder="1" applyAlignment="1"/>
    <xf numFmtId="0" fontId="72" fillId="0" borderId="0" xfId="53" applyFont="1" applyFill="1"/>
    <xf numFmtId="0" fontId="72" fillId="0" borderId="0" xfId="53" applyFont="1" applyFill="1" applyBorder="1"/>
    <xf numFmtId="0" fontId="74" fillId="0" borderId="0" xfId="53" applyFont="1" applyFill="1" applyBorder="1" applyAlignment="1"/>
    <xf numFmtId="0" fontId="48" fillId="0" borderId="0" xfId="53" applyFont="1" applyFill="1" applyBorder="1" applyAlignment="1"/>
    <xf numFmtId="175" fontId="0" fillId="0" borderId="0" xfId="32" applyNumberFormat="1" applyFont="1" applyAlignment="1"/>
    <xf numFmtId="0" fontId="12" fillId="0" borderId="0" xfId="59" applyNumberFormat="1" applyFont="1" applyFill="1" applyBorder="1" applyAlignment="1" applyProtection="1">
      <protection locked="0"/>
    </xf>
    <xf numFmtId="0" fontId="12" fillId="0" borderId="0" xfId="59" applyNumberFormat="1" applyFont="1" applyFill="1" applyBorder="1" applyAlignment="1" applyProtection="1">
      <alignment horizontal="center"/>
      <protection locked="0"/>
    </xf>
    <xf numFmtId="0" fontId="42" fillId="6" borderId="0" xfId="59" applyNumberFormat="1" applyFont="1" applyFill="1" applyAlignment="1">
      <alignment horizontal="right"/>
    </xf>
    <xf numFmtId="3" fontId="12" fillId="0" borderId="0" xfId="59" applyNumberFormat="1" applyFont="1" applyFill="1" applyBorder="1" applyAlignment="1"/>
    <xf numFmtId="3" fontId="12" fillId="0" borderId="0" xfId="59" applyNumberFormat="1" applyFont="1" applyFill="1" applyBorder="1" applyAlignment="1">
      <alignment horizontal="center"/>
    </xf>
    <xf numFmtId="0" fontId="12" fillId="0" borderId="0" xfId="59" applyNumberFormat="1" applyFont="1" applyFill="1" applyBorder="1" applyProtection="1">
      <protection locked="0"/>
    </xf>
    <xf numFmtId="0" fontId="12" fillId="0" borderId="0" xfId="59" applyNumberFormat="1" applyFont="1" applyFill="1" applyBorder="1"/>
    <xf numFmtId="0" fontId="42" fillId="0" borderId="0" xfId="62" applyNumberFormat="1" applyFont="1" applyFill="1" applyAlignment="1">
      <alignment horizontal="center"/>
    </xf>
    <xf numFmtId="174" fontId="42" fillId="0" borderId="0" xfId="0" applyFont="1" applyAlignment="1"/>
    <xf numFmtId="170" fontId="42" fillId="0" borderId="0" xfId="0" applyNumberFormat="1" applyFont="1" applyAlignment="1"/>
    <xf numFmtId="43" fontId="42" fillId="0" borderId="0" xfId="32" applyFont="1" applyAlignment="1"/>
    <xf numFmtId="0" fontId="42" fillId="0" borderId="0" xfId="62" applyNumberFormat="1" applyFont="1" applyAlignment="1" applyProtection="1">
      <protection locked="0"/>
    </xf>
    <xf numFmtId="3" fontId="42" fillId="0" borderId="0" xfId="62" applyNumberFormat="1" applyFont="1" applyAlignment="1"/>
    <xf numFmtId="0" fontId="42" fillId="0" borderId="0" xfId="62" applyNumberFormat="1" applyFont="1" applyAlignment="1"/>
    <xf numFmtId="3" fontId="42" fillId="0" borderId="0" xfId="62" applyNumberFormat="1" applyFont="1" applyAlignment="1">
      <alignment horizontal="center"/>
    </xf>
    <xf numFmtId="0" fontId="42" fillId="0" borderId="4" xfId="62" applyNumberFormat="1" applyFont="1" applyBorder="1" applyAlignment="1" applyProtection="1">
      <alignment horizontal="center"/>
      <protection locked="0"/>
    </xf>
    <xf numFmtId="174" fontId="42" fillId="0" borderId="0" xfId="62" applyFont="1" applyFill="1" applyAlignment="1"/>
    <xf numFmtId="169" fontId="42" fillId="0" borderId="0" xfId="62" applyNumberFormat="1" applyFont="1" applyAlignment="1"/>
    <xf numFmtId="174" fontId="42" fillId="0" borderId="0" xfId="62" applyFont="1" applyAlignment="1"/>
    <xf numFmtId="43" fontId="42" fillId="0" borderId="4" xfId="32" applyFont="1" applyBorder="1" applyAlignment="1">
      <alignment horizontal="center"/>
    </xf>
    <xf numFmtId="43" fontId="42" fillId="0" borderId="0" xfId="32" applyFont="1" applyFill="1" applyAlignment="1">
      <alignment horizontal="center"/>
    </xf>
    <xf numFmtId="3" fontId="42" fillId="0" borderId="0" xfId="62" applyNumberFormat="1" applyFont="1" applyFill="1" applyAlignment="1"/>
    <xf numFmtId="166" fontId="42" fillId="0" borderId="0" xfId="62" applyNumberFormat="1" applyFont="1" applyAlignment="1">
      <alignment horizontal="center"/>
    </xf>
    <xf numFmtId="175" fontId="42" fillId="0" borderId="0" xfId="32" applyNumberFormat="1" applyFont="1" applyBorder="1" applyAlignment="1"/>
    <xf numFmtId="10" fontId="42" fillId="0" borderId="0" xfId="62" applyNumberFormat="1" applyFont="1" applyFill="1" applyAlignment="1">
      <alignment horizontal="left"/>
    </xf>
    <xf numFmtId="3" fontId="42" fillId="0" borderId="0" xfId="56" applyNumberFormat="1" applyFont="1" applyAlignment="1"/>
    <xf numFmtId="166" fontId="42" fillId="0" borderId="0" xfId="56" applyNumberFormat="1" applyFont="1" applyAlignment="1"/>
    <xf numFmtId="43" fontId="42" fillId="0" borderId="0" xfId="32" applyFont="1" applyBorder="1" applyAlignment="1"/>
    <xf numFmtId="0" fontId="42" fillId="0" borderId="0" xfId="56" applyFont="1" applyAlignment="1"/>
    <xf numFmtId="10" fontId="12" fillId="0" borderId="0" xfId="0" applyNumberFormat="1" applyFont="1" applyBorder="1" applyAlignment="1">
      <alignment horizontal="center"/>
    </xf>
    <xf numFmtId="174" fontId="12" fillId="0" borderId="0" xfId="0" applyFont="1" applyBorder="1"/>
    <xf numFmtId="44" fontId="12" fillId="0" borderId="0" xfId="0" applyNumberFormat="1" applyFont="1" applyBorder="1"/>
    <xf numFmtId="164" fontId="12" fillId="0" borderId="0" xfId="0" applyNumberFormat="1" applyFont="1" applyFill="1" applyBorder="1" applyProtection="1">
      <protection locked="0"/>
    </xf>
    <xf numFmtId="44" fontId="12" fillId="0" borderId="9" xfId="41" applyFont="1" applyFill="1" applyBorder="1" applyProtection="1">
      <protection locked="0"/>
    </xf>
    <xf numFmtId="0" fontId="12" fillId="0" borderId="10" xfId="0" applyNumberFormat="1" applyFont="1" applyFill="1" applyBorder="1" applyAlignment="1" applyProtection="1">
      <alignment horizontal="center"/>
      <protection locked="0"/>
    </xf>
    <xf numFmtId="10" fontId="12" fillId="0" borderId="0" xfId="0" applyNumberFormat="1" applyFont="1" applyFill="1" applyBorder="1" applyAlignment="1" applyProtection="1">
      <alignment horizontal="center"/>
      <protection locked="0"/>
    </xf>
    <xf numFmtId="44" fontId="12" fillId="0" borderId="11" xfId="41" applyFont="1" applyFill="1" applyBorder="1" applyProtection="1">
      <protection locked="0"/>
    </xf>
    <xf numFmtId="174" fontId="83" fillId="0" borderId="10" xfId="0" applyFont="1" applyFill="1" applyBorder="1" applyProtection="1">
      <protection locked="0"/>
    </xf>
    <xf numFmtId="174" fontId="79" fillId="0" borderId="10" xfId="0" applyFont="1" applyFill="1" applyBorder="1" applyProtection="1">
      <protection locked="0"/>
    </xf>
    <xf numFmtId="4" fontId="48" fillId="0" borderId="0" xfId="0" applyNumberFormat="1" applyFont="1" applyFill="1" applyBorder="1" applyAlignment="1" applyProtection="1">
      <alignment horizontal="center"/>
      <protection locked="0"/>
    </xf>
    <xf numFmtId="4" fontId="48" fillId="0" borderId="0" xfId="0" applyNumberFormat="1" applyFont="1" applyFill="1" applyBorder="1" applyAlignment="1">
      <alignment horizontal="center"/>
    </xf>
    <xf numFmtId="174" fontId="48" fillId="0" borderId="0" xfId="0" applyFont="1"/>
    <xf numFmtId="174" fontId="42" fillId="0" borderId="0" xfId="62" applyFont="1" applyFill="1" applyBorder="1" applyAlignment="1"/>
    <xf numFmtId="3" fontId="42" fillId="0" borderId="0" xfId="56" applyNumberFormat="1" applyFont="1" applyBorder="1" applyAlignment="1"/>
    <xf numFmtId="164" fontId="42" fillId="0" borderId="0" xfId="62" applyNumberFormat="1" applyFont="1" applyFill="1" applyBorder="1" applyAlignment="1" applyProtection="1">
      <alignment horizontal="left"/>
      <protection locked="0"/>
    </xf>
    <xf numFmtId="43" fontId="42" fillId="0" borderId="0" xfId="32" applyFont="1" applyFill="1" applyBorder="1" applyAlignment="1">
      <alignment horizontal="right"/>
    </xf>
    <xf numFmtId="166" fontId="42" fillId="0" borderId="0" xfId="56" applyNumberFormat="1" applyFont="1" applyBorder="1" applyAlignment="1"/>
    <xf numFmtId="175" fontId="42" fillId="0" borderId="0" xfId="32" applyNumberFormat="1" applyFont="1" applyAlignment="1"/>
    <xf numFmtId="175" fontId="12" fillId="0" borderId="0" xfId="60" applyNumberFormat="1" applyFont="1" applyFill="1" applyBorder="1"/>
    <xf numFmtId="3" fontId="5" fillId="0" borderId="6" xfId="55" applyNumberFormat="1" applyFont="1" applyFill="1" applyBorder="1" applyAlignment="1"/>
    <xf numFmtId="0" fontId="5" fillId="0" borderId="0" xfId="60" applyNumberFormat="1" applyFont="1" applyBorder="1" applyAlignment="1"/>
    <xf numFmtId="0" fontId="25" fillId="0" borderId="0" xfId="60" applyFill="1" applyAlignment="1">
      <alignment horizontal="center"/>
    </xf>
    <xf numFmtId="0" fontId="12" fillId="13" borderId="0" xfId="60" applyNumberFormat="1" applyFont="1" applyFill="1"/>
    <xf numFmtId="0" fontId="12" fillId="13" borderId="0" xfId="60" applyNumberFormat="1" applyFont="1" applyFill="1" applyAlignment="1">
      <alignment horizontal="right"/>
    </xf>
    <xf numFmtId="0" fontId="12" fillId="13" borderId="0" xfId="60" applyNumberFormat="1" applyFont="1" applyFill="1" applyProtection="1">
      <protection locked="0"/>
    </xf>
    <xf numFmtId="0" fontId="25" fillId="13" borderId="0" xfId="60" applyFill="1" applyAlignment="1"/>
    <xf numFmtId="39" fontId="25" fillId="0" borderId="0" xfId="32" applyNumberFormat="1" applyFont="1" applyFill="1" applyAlignment="1">
      <alignment horizontal="center"/>
    </xf>
    <xf numFmtId="43" fontId="25" fillId="0" borderId="0" xfId="32" applyNumberFormat="1" applyFont="1" applyFill="1" applyAlignment="1">
      <alignment horizontal="center"/>
    </xf>
    <xf numFmtId="2" fontId="0" fillId="0" borderId="0" xfId="0" applyNumberFormat="1" applyFill="1" applyBorder="1" applyAlignment="1">
      <alignment horizontal="center"/>
    </xf>
    <xf numFmtId="181" fontId="5" fillId="13" borderId="0" xfId="32" applyNumberFormat="1" applyFont="1" applyFill="1" applyBorder="1" applyAlignment="1"/>
    <xf numFmtId="175" fontId="25" fillId="13" borderId="0" xfId="35" applyNumberFormat="1" applyFont="1" applyFill="1" applyBorder="1"/>
    <xf numFmtId="176" fontId="8" fillId="13" borderId="12" xfId="43" applyNumberFormat="1" applyFont="1" applyFill="1" applyBorder="1"/>
    <xf numFmtId="175" fontId="13" fillId="13" borderId="9" xfId="35" applyNumberFormat="1" applyFont="1" applyFill="1" applyBorder="1"/>
    <xf numFmtId="175" fontId="13" fillId="13" borderId="9" xfId="32" applyNumberFormat="1" applyFont="1" applyFill="1" applyBorder="1"/>
    <xf numFmtId="164" fontId="13" fillId="13" borderId="12" xfId="65" applyNumberFormat="1" applyFont="1" applyFill="1" applyBorder="1"/>
    <xf numFmtId="10" fontId="5" fillId="13" borderId="26" xfId="63" applyNumberFormat="1" applyFont="1" applyFill="1" applyBorder="1"/>
    <xf numFmtId="14" fontId="5" fillId="13" borderId="10" xfId="55" applyNumberFormat="1" applyFont="1" applyFill="1" applyBorder="1" applyAlignment="1">
      <alignment horizontal="center"/>
    </xf>
    <xf numFmtId="14" fontId="5" fillId="13" borderId="10" xfId="55" applyNumberFormat="1" applyFill="1" applyBorder="1" applyAlignment="1">
      <alignment horizontal="center"/>
    </xf>
    <xf numFmtId="0" fontId="5" fillId="13" borderId="0" xfId="55" applyFill="1" applyBorder="1"/>
    <xf numFmtId="43" fontId="0" fillId="0" borderId="0" xfId="32" applyFont="1" applyFill="1" applyAlignment="1">
      <alignment horizontal="center"/>
    </xf>
    <xf numFmtId="0" fontId="5" fillId="13" borderId="0" xfId="55" applyFont="1" applyFill="1" applyBorder="1" applyAlignment="1">
      <alignment horizontal="center"/>
    </xf>
    <xf numFmtId="175" fontId="48" fillId="0" borderId="0" xfId="32" applyNumberFormat="1" applyFont="1" applyFill="1" applyBorder="1" applyAlignment="1">
      <alignment horizontal="right"/>
    </xf>
    <xf numFmtId="0" fontId="5" fillId="6" borderId="0" xfId="55" applyFill="1" applyBorder="1" applyAlignment="1">
      <alignment horizontal="center"/>
    </xf>
    <xf numFmtId="0" fontId="12" fillId="13" borderId="10" xfId="0" applyNumberFormat="1" applyFont="1" applyFill="1" applyBorder="1" applyAlignment="1">
      <alignment horizontal="center"/>
    </xf>
    <xf numFmtId="0" fontId="12" fillId="13" borderId="0" xfId="0" applyNumberFormat="1" applyFont="1" applyFill="1" applyBorder="1" applyAlignment="1">
      <alignment horizontal="center"/>
    </xf>
    <xf numFmtId="10" fontId="12" fillId="13" borderId="0" xfId="0" applyNumberFormat="1" applyFont="1" applyFill="1" applyBorder="1" applyAlignment="1">
      <alignment horizontal="center"/>
    </xf>
    <xf numFmtId="174" fontId="12" fillId="13" borderId="0" xfId="0" applyFont="1" applyFill="1" applyBorder="1"/>
    <xf numFmtId="174" fontId="12" fillId="13" borderId="0" xfId="0" applyFont="1" applyFill="1" applyBorder="1" applyProtection="1">
      <protection locked="0"/>
    </xf>
    <xf numFmtId="44" fontId="12" fillId="13" borderId="0" xfId="0" applyNumberFormat="1" applyFont="1" applyFill="1" applyBorder="1" applyProtection="1">
      <protection locked="0"/>
    </xf>
    <xf numFmtId="177" fontId="12" fillId="13" borderId="0" xfId="0" applyNumberFormat="1" applyFont="1" applyFill="1" applyBorder="1" applyProtection="1">
      <protection locked="0"/>
    </xf>
    <xf numFmtId="0" fontId="12" fillId="13" borderId="10" xfId="0" applyNumberFormat="1" applyFont="1" applyFill="1" applyBorder="1" applyAlignment="1" applyProtection="1">
      <alignment horizontal="center"/>
      <protection locked="0"/>
    </xf>
    <xf numFmtId="0" fontId="12" fillId="13" borderId="0" xfId="0" applyNumberFormat="1" applyFont="1" applyFill="1" applyBorder="1" applyAlignment="1" applyProtection="1">
      <alignment horizontal="center"/>
      <protection locked="0"/>
    </xf>
    <xf numFmtId="171" fontId="12" fillId="13" borderId="0" xfId="0" applyNumberFormat="1" applyFont="1" applyFill="1" applyBorder="1" applyAlignment="1" applyProtection="1">
      <alignment horizontal="center"/>
      <protection locked="0"/>
    </xf>
    <xf numFmtId="10" fontId="12" fillId="13" borderId="0" xfId="0" applyNumberFormat="1" applyFont="1" applyFill="1" applyBorder="1" applyAlignment="1" applyProtection="1">
      <alignment horizontal="center"/>
      <protection locked="0"/>
    </xf>
    <xf numFmtId="43" fontId="74" fillId="0" borderId="0" xfId="32" applyFont="1" applyFill="1"/>
    <xf numFmtId="174" fontId="0" fillId="0" borderId="0" xfId="60" applyNumberFormat="1" applyFont="1" applyFill="1" applyAlignment="1"/>
    <xf numFmtId="0" fontId="52" fillId="7" borderId="0" xfId="55" applyFont="1" applyFill="1" applyBorder="1" applyAlignment="1">
      <alignment horizontal="center" wrapText="1"/>
    </xf>
    <xf numFmtId="0" fontId="51" fillId="0" borderId="0" xfId="55" applyFont="1" applyFill="1" applyBorder="1" applyAlignment="1"/>
    <xf numFmtId="3" fontId="5" fillId="0" borderId="0" xfId="55" applyNumberFormat="1" applyFont="1" applyFill="1" applyBorder="1" applyAlignment="1">
      <alignment horizontal="right"/>
    </xf>
    <xf numFmtId="0" fontId="5" fillId="0" borderId="0" xfId="55" applyFont="1" applyFill="1" applyBorder="1" applyAlignment="1">
      <alignment horizontal="right"/>
    </xf>
    <xf numFmtId="175" fontId="5" fillId="0" borderId="0" xfId="55" applyNumberFormat="1" applyFont="1" applyFill="1" applyBorder="1" applyAlignment="1"/>
    <xf numFmtId="175" fontId="5" fillId="0" borderId="0" xfId="55" applyNumberFormat="1" applyFont="1" applyFill="1" applyBorder="1" applyAlignment="1">
      <alignment horizontal="right"/>
    </xf>
    <xf numFmtId="0" fontId="4" fillId="0" borderId="0" xfId="55" applyFont="1" applyAlignment="1"/>
    <xf numFmtId="0" fontId="5" fillId="0" borderId="0" xfId="111" applyFont="1" applyFill="1" applyAlignment="1">
      <alignment horizontal="center"/>
    </xf>
    <xf numFmtId="0" fontId="30" fillId="0" borderId="0" xfId="111" applyFont="1" applyFill="1" applyAlignment="1">
      <alignment horizontal="left"/>
    </xf>
    <xf numFmtId="0" fontId="5" fillId="0" borderId="0" xfId="111" applyFont="1" applyFill="1" applyAlignment="1">
      <alignment horizontal="left"/>
    </xf>
    <xf numFmtId="0" fontId="5" fillId="0" borderId="0" xfId="111" applyFont="1" applyAlignment="1">
      <alignment wrapText="1"/>
    </xf>
    <xf numFmtId="0" fontId="5" fillId="0" borderId="0" xfId="111" applyFont="1" applyFill="1" applyBorder="1" applyAlignment="1">
      <alignment wrapText="1"/>
    </xf>
    <xf numFmtId="0" fontId="5" fillId="0" borderId="0" xfId="111" applyFont="1" applyFill="1"/>
    <xf numFmtId="0" fontId="5" fillId="0" borderId="6" xfId="111" applyFont="1" applyFill="1" applyBorder="1"/>
    <xf numFmtId="0" fontId="30" fillId="0" borderId="0" xfId="111" applyFont="1" applyFill="1" applyBorder="1" applyAlignment="1">
      <alignment horizontal="center" wrapText="1"/>
    </xf>
    <xf numFmtId="180" fontId="5" fillId="0" borderId="0" xfId="63" applyNumberFormat="1" applyFont="1" applyFill="1" applyBorder="1" applyAlignment="1">
      <alignment wrapText="1"/>
    </xf>
    <xf numFmtId="180" fontId="5" fillId="0" borderId="0" xfId="111" applyNumberFormat="1" applyFont="1" applyAlignment="1">
      <alignment wrapText="1"/>
    </xf>
    <xf numFmtId="180" fontId="5" fillId="0" borderId="0" xfId="111" applyNumberFormat="1" applyFont="1" applyFill="1" applyBorder="1" applyAlignment="1">
      <alignment wrapText="1"/>
    </xf>
    <xf numFmtId="180" fontId="5" fillId="0" borderId="0" xfId="63" applyNumberFormat="1" applyFont="1" applyAlignment="1">
      <alignment wrapText="1"/>
    </xf>
    <xf numFmtId="0" fontId="30" fillId="0" borderId="0" xfId="111" applyFont="1" applyFill="1" applyAlignment="1">
      <alignment horizontal="center"/>
    </xf>
    <xf numFmtId="174" fontId="84" fillId="0" borderId="0" xfId="0" applyNumberFormat="1" applyFont="1"/>
    <xf numFmtId="43" fontId="5" fillId="0" borderId="0" xfId="32" applyFont="1" applyAlignment="1">
      <alignment wrapText="1"/>
    </xf>
    <xf numFmtId="0" fontId="5" fillId="0" borderId="0" xfId="111" applyFont="1" applyFill="1" applyAlignment="1">
      <alignment horizontal="center" vertical="center"/>
    </xf>
    <xf numFmtId="0" fontId="30" fillId="0" borderId="6" xfId="111" applyFont="1" applyFill="1" applyBorder="1" applyAlignment="1">
      <alignment horizontal="left"/>
    </xf>
    <xf numFmtId="0" fontId="5" fillId="0" borderId="6" xfId="111" applyFont="1" applyFill="1" applyBorder="1" applyAlignment="1">
      <alignment wrapText="1"/>
    </xf>
    <xf numFmtId="0" fontId="5" fillId="0" borderId="0" xfId="111" applyFont="1" applyFill="1" applyAlignment="1">
      <alignment wrapText="1"/>
    </xf>
    <xf numFmtId="0" fontId="5" fillId="0" borderId="0" xfId="111" applyFont="1" applyFill="1" applyAlignment="1">
      <alignment wrapText="1"/>
    </xf>
    <xf numFmtId="175" fontId="12" fillId="0" borderId="0" xfId="32" applyNumberFormat="1" applyFont="1" applyBorder="1" applyAlignment="1"/>
    <xf numFmtId="166" fontId="12" fillId="0" borderId="0" xfId="60" applyNumberFormat="1" applyFont="1" applyBorder="1" applyAlignment="1">
      <alignment horizontal="center"/>
    </xf>
    <xf numFmtId="9" fontId="12" fillId="0" borderId="0" xfId="63" applyFont="1" applyAlignment="1">
      <alignment horizontal="center"/>
    </xf>
    <xf numFmtId="175" fontId="30" fillId="0" borderId="4" xfId="35" applyNumberFormat="1" applyFont="1" applyBorder="1" applyAlignment="1"/>
    <xf numFmtId="0" fontId="53" fillId="0" borderId="4" xfId="55" applyFont="1" applyFill="1" applyBorder="1" applyAlignment="1"/>
    <xf numFmtId="175" fontId="5" fillId="0" borderId="13" xfId="35" applyNumberFormat="1" applyFont="1" applyFill="1" applyBorder="1"/>
    <xf numFmtId="0" fontId="51" fillId="0" borderId="4" xfId="55" applyFont="1" applyFill="1" applyBorder="1" applyAlignment="1">
      <alignment horizontal="center" wrapText="1"/>
    </xf>
    <xf numFmtId="0" fontId="5" fillId="0" borderId="4" xfId="55" applyFont="1" applyBorder="1" applyAlignment="1">
      <alignment horizontal="center" wrapText="1"/>
    </xf>
    <xf numFmtId="0" fontId="5" fillId="0" borderId="12" xfId="55" applyFont="1" applyBorder="1" applyAlignment="1">
      <alignment horizontal="center" wrapText="1"/>
    </xf>
    <xf numFmtId="175" fontId="12" fillId="6" borderId="0" xfId="35" applyNumberFormat="1" applyFont="1" applyFill="1" applyBorder="1" applyAlignment="1"/>
    <xf numFmtId="167" fontId="12" fillId="0" borderId="0" xfId="60" applyNumberFormat="1" applyFont="1" applyBorder="1" applyAlignment="1"/>
    <xf numFmtId="174" fontId="74" fillId="0" borderId="0" xfId="0" applyFont="1" applyFill="1" applyAlignment="1">
      <alignment wrapText="1"/>
    </xf>
    <xf numFmtId="174" fontId="74" fillId="0" borderId="0" xfId="0" applyFont="1" applyAlignment="1">
      <alignment vertical="center"/>
    </xf>
    <xf numFmtId="0" fontId="5" fillId="0" borderId="0" xfId="55" applyFont="1" applyFill="1" applyBorder="1" applyAlignment="1">
      <alignment horizontal="center" wrapText="1"/>
    </xf>
    <xf numFmtId="0" fontId="5"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5" fillId="0" borderId="4" xfId="55" applyFont="1" applyFill="1" applyBorder="1" applyAlignment="1">
      <alignment horizontal="center" wrapText="1"/>
    </xf>
    <xf numFmtId="0" fontId="5" fillId="0" borderId="12" xfId="55" applyFont="1" applyFill="1" applyBorder="1" applyAlignment="1">
      <alignment horizontal="center" wrapText="1"/>
    </xf>
    <xf numFmtId="175" fontId="12" fillId="0" borderId="0" xfId="35" applyNumberFormat="1" applyFont="1" applyFill="1" applyBorder="1" applyAlignment="1"/>
    <xf numFmtId="175" fontId="53" fillId="13" borderId="0" xfId="32" applyNumberFormat="1" applyFont="1" applyFill="1" applyBorder="1" applyAlignment="1">
      <alignment horizontal="center"/>
    </xf>
    <xf numFmtId="175" fontId="12" fillId="13" borderId="0" xfId="35" applyNumberFormat="1" applyFont="1" applyFill="1" applyBorder="1" applyAlignment="1"/>
    <xf numFmtId="175" fontId="48" fillId="0" borderId="4" xfId="55" applyNumberFormat="1" applyFont="1" applyBorder="1"/>
    <xf numFmtId="175" fontId="5"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0" fontId="0" fillId="0" borderId="0" xfId="60" applyFont="1" applyFill="1" applyAlignment="1">
      <alignment horizontal="center"/>
    </xf>
    <xf numFmtId="43" fontId="5" fillId="0" borderId="0" xfId="32" applyFont="1" applyFill="1" applyBorder="1" applyAlignment="1">
      <alignment horizontal="center"/>
    </xf>
    <xf numFmtId="43" fontId="12" fillId="0" borderId="0" xfId="32" applyFont="1" applyBorder="1" applyAlignment="1"/>
    <xf numFmtId="174" fontId="65" fillId="0" borderId="10" xfId="0" applyFont="1" applyFill="1" applyBorder="1"/>
    <xf numFmtId="174" fontId="65" fillId="0" borderId="0" xfId="0" applyFont="1" applyFill="1" applyBorder="1"/>
    <xf numFmtId="174" fontId="65" fillId="0" borderId="31" xfId="0" applyFont="1" applyFill="1" applyBorder="1" applyAlignment="1" applyProtection="1">
      <alignment horizontal="center"/>
      <protection locked="0"/>
    </xf>
    <xf numFmtId="174" fontId="65" fillId="0" borderId="7" xfId="0" applyFont="1" applyFill="1" applyBorder="1" applyAlignment="1" applyProtection="1">
      <alignment horizontal="center" wrapText="1"/>
      <protection locked="0"/>
    </xf>
    <xf numFmtId="174" fontId="47" fillId="0" borderId="7" xfId="0" applyFont="1" applyFill="1" applyBorder="1" applyAlignment="1" applyProtection="1">
      <alignment horizontal="center" wrapText="1"/>
      <protection locked="0"/>
    </xf>
    <xf numFmtId="174" fontId="0" fillId="0" borderId="0" xfId="0" applyFill="1" applyBorder="1"/>
    <xf numFmtId="174" fontId="47" fillId="0" borderId="32" xfId="0" applyFont="1" applyFill="1" applyBorder="1" applyAlignment="1" applyProtection="1">
      <alignment horizontal="center" wrapText="1"/>
      <protection locked="0"/>
    </xf>
    <xf numFmtId="0" fontId="86" fillId="0" borderId="0" xfId="60" applyNumberFormat="1" applyFont="1" applyFill="1" applyProtection="1">
      <protection locked="0"/>
    </xf>
    <xf numFmtId="174" fontId="42" fillId="0" borderId="0" xfId="0" applyFont="1" applyFill="1" applyAlignment="1"/>
    <xf numFmtId="0" fontId="42" fillId="0" borderId="0" xfId="62" applyNumberFormat="1" applyFont="1" applyFill="1" applyAlignment="1" applyProtection="1">
      <protection locked="0"/>
    </xf>
    <xf numFmtId="0" fontId="42" fillId="0" borderId="0" xfId="62" applyNumberFormat="1" applyFont="1" applyFill="1" applyAlignment="1"/>
    <xf numFmtId="164" fontId="12" fillId="0" borderId="0" xfId="60" applyNumberFormat="1" applyFont="1" applyFill="1" applyAlignment="1">
      <alignment horizontal="left"/>
    </xf>
    <xf numFmtId="179" fontId="74" fillId="6" borderId="0" xfId="32" applyNumberFormat="1" applyFont="1" applyFill="1" applyProtection="1">
      <protection locked="0"/>
    </xf>
    <xf numFmtId="174" fontId="0" fillId="0" borderId="0" xfId="0" applyFont="1"/>
    <xf numFmtId="43" fontId="0" fillId="0" borderId="0" xfId="32" applyFont="1"/>
    <xf numFmtId="43" fontId="0" fillId="12" borderId="0" xfId="32" applyFont="1" applyFill="1"/>
    <xf numFmtId="43" fontId="0" fillId="0" borderId="0" xfId="0" applyNumberFormat="1"/>
    <xf numFmtId="43" fontId="80" fillId="0" borderId="0" xfId="32" applyFont="1" applyFill="1" applyBorder="1" applyAlignment="1" applyProtection="1"/>
    <xf numFmtId="0" fontId="80" fillId="0" borderId="0" xfId="0" applyNumberFormat="1" applyFont="1" applyFill="1" applyBorder="1" applyAlignment="1" applyProtection="1"/>
    <xf numFmtId="43" fontId="0" fillId="0" borderId="0" xfId="32" applyFont="1" applyFill="1"/>
    <xf numFmtId="43" fontId="0" fillId="67" borderId="0" xfId="32" applyFont="1" applyFill="1"/>
    <xf numFmtId="43" fontId="0" fillId="66" borderId="0" xfId="32" applyFont="1" applyFill="1"/>
    <xf numFmtId="43" fontId="80" fillId="66" borderId="0" xfId="32" applyFont="1" applyFill="1" applyBorder="1" applyAlignment="1" applyProtection="1"/>
    <xf numFmtId="43" fontId="80" fillId="12" borderId="0" xfId="32" applyFont="1" applyFill="1" applyBorder="1" applyAlignment="1" applyProtection="1"/>
    <xf numFmtId="175" fontId="0" fillId="0" borderId="0" xfId="32" applyNumberFormat="1" applyFont="1"/>
    <xf numFmtId="175" fontId="0" fillId="12" borderId="0" xfId="32" applyNumberFormat="1" applyFont="1" applyFill="1"/>
    <xf numFmtId="175" fontId="166" fillId="0" borderId="0" xfId="32" applyNumberFormat="1" applyFont="1"/>
    <xf numFmtId="174" fontId="0" fillId="12" borderId="0" xfId="0" applyFont="1" applyFill="1"/>
    <xf numFmtId="43" fontId="80" fillId="0" borderId="0" xfId="32" applyFont="1"/>
    <xf numFmtId="181" fontId="0" fillId="0" borderId="0" xfId="32" applyNumberFormat="1" applyFont="1"/>
    <xf numFmtId="0" fontId="55" fillId="0" borderId="0" xfId="55" applyFont="1" applyFill="1" applyBorder="1"/>
    <xf numFmtId="0" fontId="48" fillId="0" borderId="10" xfId="55" applyFont="1" applyFill="1" applyBorder="1" applyAlignment="1">
      <alignment horizontal="center"/>
    </xf>
    <xf numFmtId="175" fontId="42" fillId="0" borderId="0" xfId="32" applyNumberFormat="1" applyFont="1" applyFill="1" applyBorder="1" applyAlignment="1"/>
    <xf numFmtId="43" fontId="42" fillId="0" borderId="0" xfId="32" applyFont="1" applyFill="1" applyBorder="1" applyAlignment="1"/>
    <xf numFmtId="3" fontId="42" fillId="0" borderId="0" xfId="62" applyNumberFormat="1" applyFont="1" applyFill="1" applyBorder="1" applyAlignment="1"/>
    <xf numFmtId="175" fontId="25" fillId="0" borderId="0" xfId="60" applyNumberFormat="1" applyAlignment="1"/>
    <xf numFmtId="181" fontId="42" fillId="0" borderId="0" xfId="32" applyNumberFormat="1" applyFont="1" applyAlignment="1"/>
    <xf numFmtId="175" fontId="42" fillId="0" borderId="0" xfId="32" applyNumberFormat="1" applyFont="1" applyFill="1" applyBorder="1" applyAlignment="1" applyProtection="1">
      <alignment horizontal="left"/>
      <protection locked="0"/>
    </xf>
    <xf numFmtId="175" fontId="0" fillId="13" borderId="0" xfId="32" applyNumberFormat="1" applyFont="1" applyFill="1" applyBorder="1" applyAlignment="1"/>
    <xf numFmtId="174" fontId="0" fillId="13" borderId="0" xfId="0" applyFill="1" applyBorder="1" applyAlignment="1"/>
    <xf numFmtId="43" fontId="42" fillId="13" borderId="0" xfId="32" applyFont="1" applyFill="1" applyBorder="1" applyAlignment="1">
      <alignment horizontal="center"/>
    </xf>
    <xf numFmtId="3" fontId="42" fillId="13" borderId="0" xfId="62" applyNumberFormat="1" applyFont="1" applyFill="1" applyBorder="1" applyAlignment="1"/>
    <xf numFmtId="3" fontId="12" fillId="13" borderId="0" xfId="60" applyNumberFormat="1" applyFont="1" applyFill="1" applyBorder="1" applyAlignment="1"/>
    <xf numFmtId="181" fontId="12" fillId="13" borderId="0" xfId="32" applyNumberFormat="1" applyFont="1" applyFill="1" applyBorder="1" applyAlignment="1">
      <alignment horizontal="right"/>
    </xf>
    <xf numFmtId="175" fontId="12" fillId="13" borderId="0" xfId="32" applyNumberFormat="1" applyFont="1" applyFill="1" applyBorder="1" applyAlignment="1"/>
    <xf numFmtId="175" fontId="42" fillId="13" borderId="0" xfId="32" applyNumberFormat="1" applyFont="1" applyFill="1" applyBorder="1" applyAlignment="1"/>
    <xf numFmtId="175" fontId="12" fillId="0" borderId="0" xfId="60" applyNumberFormat="1" applyFont="1" applyBorder="1" applyAlignment="1"/>
    <xf numFmtId="175" fontId="12" fillId="0" borderId="0" xfId="60" applyNumberFormat="1" applyFont="1" applyBorder="1" applyAlignment="1">
      <alignment horizontal="center"/>
    </xf>
    <xf numFmtId="0" fontId="5" fillId="0" borderId="0" xfId="55" applyFont="1" applyBorder="1" applyAlignment="1">
      <alignment horizontal="center" wrapText="1"/>
    </xf>
    <xf numFmtId="0" fontId="76" fillId="7" borderId="15" xfId="55" applyFont="1" applyFill="1" applyBorder="1" applyAlignment="1">
      <alignment horizontal="center" wrapText="1"/>
    </xf>
    <xf numFmtId="0" fontId="48" fillId="0" borderId="13" xfId="55" applyFont="1" applyBorder="1" applyAlignment="1">
      <alignment horizontal="center"/>
    </xf>
    <xf numFmtId="0" fontId="30" fillId="0" borderId="0" xfId="55" applyFont="1" applyFill="1"/>
    <xf numFmtId="175" fontId="47" fillId="0" borderId="0" xfId="0" applyNumberFormat="1" applyFont="1" applyFill="1" applyAlignment="1" applyProtection="1">
      <protection locked="0"/>
    </xf>
    <xf numFmtId="174" fontId="167" fillId="0" borderId="0" xfId="0" applyFont="1" applyAlignment="1"/>
    <xf numFmtId="0" fontId="13" fillId="0" borderId="0" xfId="55" applyFont="1" applyFill="1" applyBorder="1" applyAlignment="1">
      <alignment horizontal="center"/>
    </xf>
    <xf numFmtId="176" fontId="48" fillId="0" borderId="0" xfId="41" applyNumberFormat="1" applyFont="1" applyFill="1" applyBorder="1" applyAlignment="1">
      <alignment horizontal="right"/>
    </xf>
    <xf numFmtId="255" fontId="48" fillId="0" borderId="0" xfId="41" applyNumberFormat="1" applyFont="1" applyFill="1" applyBorder="1" applyAlignment="1"/>
    <xf numFmtId="174" fontId="74" fillId="0" borderId="0" xfId="0" applyFont="1" applyAlignment="1"/>
    <xf numFmtId="0" fontId="74" fillId="0" borderId="0" xfId="60" applyFont="1" applyAlignment="1"/>
    <xf numFmtId="0" fontId="5" fillId="0" borderId="0" xfId="55" applyFill="1" applyAlignment="1">
      <alignment horizontal="center"/>
    </xf>
    <xf numFmtId="174" fontId="0" fillId="0" borderId="0" xfId="0" applyAlignment="1">
      <alignment wrapText="1"/>
    </xf>
    <xf numFmtId="0" fontId="29" fillId="0" borderId="0" xfId="55" applyFont="1" applyFill="1" applyBorder="1" applyAlignment="1">
      <alignment horizontal="center"/>
    </xf>
    <xf numFmtId="0" fontId="5" fillId="13" borderId="0" xfId="55" applyFill="1" applyBorder="1" applyAlignment="1">
      <alignment horizontal="center"/>
    </xf>
    <xf numFmtId="175" fontId="0" fillId="13" borderId="0" xfId="35" applyNumberFormat="1" applyFont="1" applyFill="1" applyBorder="1"/>
    <xf numFmtId="0" fontId="71" fillId="0" borderId="4" xfId="55" applyFont="1" applyFill="1" applyBorder="1" applyAlignment="1">
      <alignment horizontal="center" wrapText="1"/>
    </xf>
    <xf numFmtId="0" fontId="71" fillId="0" borderId="12" xfId="55" applyFont="1" applyFill="1" applyBorder="1" applyAlignment="1">
      <alignment horizontal="center" wrapText="1"/>
    </xf>
    <xf numFmtId="175" fontId="25" fillId="0" borderId="9" xfId="35" applyNumberFormat="1" applyFont="1" applyFill="1" applyBorder="1"/>
    <xf numFmtId="175" fontId="25" fillId="0" borderId="0" xfId="35" applyNumberFormat="1" applyFont="1" applyFill="1" applyBorder="1"/>
    <xf numFmtId="43" fontId="25" fillId="0" borderId="0" xfId="35" applyNumberFormat="1" applyFont="1" applyFill="1" applyBorder="1"/>
    <xf numFmtId="175" fontId="25" fillId="0" borderId="0" xfId="32" applyNumberFormat="1" applyFont="1" applyFill="1" applyBorder="1"/>
    <xf numFmtId="174" fontId="169" fillId="0" borderId="0" xfId="0" applyFont="1" applyAlignment="1">
      <alignment horizontal="left" vertical="center"/>
    </xf>
    <xf numFmtId="174" fontId="0" fillId="0" borderId="0" xfId="0" applyAlignment="1">
      <alignment horizontal="left" vertical="center"/>
    </xf>
    <xf numFmtId="174" fontId="168" fillId="0" borderId="0" xfId="520" applyAlignment="1">
      <alignment horizontal="left" vertical="center"/>
    </xf>
    <xf numFmtId="0" fontId="170" fillId="0" borderId="0" xfId="55" applyFont="1" applyAlignment="1">
      <alignment horizontal="center"/>
    </xf>
    <xf numFmtId="0" fontId="170" fillId="0" borderId="0" xfId="55" applyFont="1" applyFill="1"/>
    <xf numFmtId="10" fontId="42" fillId="0" borderId="0" xfId="32" applyNumberFormat="1" applyFont="1" applyFill="1" applyAlignment="1"/>
    <xf numFmtId="0" fontId="0" fillId="0" borderId="0" xfId="60" applyNumberFormat="1" applyFont="1" applyAlignment="1" applyProtection="1">
      <alignment horizontal="center"/>
      <protection locked="0"/>
    </xf>
    <xf numFmtId="175" fontId="12" fillId="13" borderId="0" xfId="32" applyNumberFormat="1" applyFont="1" applyFill="1" applyAlignment="1"/>
    <xf numFmtId="10" fontId="42" fillId="0" borderId="0" xfId="63" applyNumberFormat="1" applyFont="1" applyFill="1" applyBorder="1" applyAlignment="1">
      <alignment horizontal="right"/>
    </xf>
    <xf numFmtId="0" fontId="171" fillId="0" borderId="0" xfId="60" applyNumberFormat="1" applyFont="1" applyAlignment="1">
      <alignment horizontal="left"/>
    </xf>
    <xf numFmtId="3" fontId="172" fillId="0" borderId="0" xfId="60" applyNumberFormat="1" applyFont="1" applyAlignment="1"/>
    <xf numFmtId="0" fontId="174" fillId="0" borderId="0" xfId="55" applyFont="1" applyAlignment="1"/>
    <xf numFmtId="0" fontId="175" fillId="0" borderId="0" xfId="55" applyFont="1"/>
    <xf numFmtId="0" fontId="175" fillId="7" borderId="0" xfId="55" applyFont="1" applyFill="1" applyBorder="1" applyAlignment="1">
      <alignment horizontal="center" wrapText="1"/>
    </xf>
    <xf numFmtId="0" fontId="175" fillId="0" borderId="0" xfId="55" applyFont="1" applyBorder="1" applyAlignment="1"/>
    <xf numFmtId="0" fontId="175" fillId="0" borderId="0" xfId="55" applyFont="1" applyBorder="1" applyAlignment="1">
      <alignment horizontal="center"/>
    </xf>
    <xf numFmtId="0" fontId="175" fillId="0" borderId="0" xfId="55" applyFont="1" applyBorder="1"/>
    <xf numFmtId="175" fontId="175" fillId="0" borderId="0" xfId="55" applyNumberFormat="1" applyFont="1" applyBorder="1" applyAlignment="1"/>
    <xf numFmtId="175" fontId="175" fillId="0" borderId="0" xfId="35" applyNumberFormat="1" applyFont="1" applyBorder="1" applyAlignment="1"/>
    <xf numFmtId="0" fontId="176" fillId="0" borderId="0" xfId="55" applyFont="1" applyBorder="1" applyAlignment="1"/>
    <xf numFmtId="10" fontId="177" fillId="0" borderId="0" xfId="32" applyNumberFormat="1" applyFont="1" applyFill="1" applyAlignment="1"/>
    <xf numFmtId="0" fontId="172" fillId="0" borderId="0" xfId="55" applyFont="1" applyFill="1" applyBorder="1"/>
    <xf numFmtId="0" fontId="178" fillId="0" borderId="0" xfId="55" applyFont="1" applyFill="1" applyBorder="1"/>
    <xf numFmtId="174" fontId="0" fillId="0" borderId="0" xfId="0" applyFont="1" applyAlignment="1"/>
    <xf numFmtId="174" fontId="71" fillId="0" borderId="0" xfId="0" applyFont="1" applyAlignment="1">
      <alignment horizontal="center"/>
    </xf>
    <xf numFmtId="174" fontId="71" fillId="0" borderId="0" xfId="0" applyFont="1" applyFill="1" applyAlignment="1">
      <alignment horizontal="center"/>
    </xf>
    <xf numFmtId="0" fontId="71" fillId="0" borderId="0" xfId="55" applyFont="1" applyFill="1" applyBorder="1" applyAlignment="1">
      <alignment horizontal="center"/>
    </xf>
    <xf numFmtId="3" fontId="71" fillId="0" borderId="0" xfId="55" applyNumberFormat="1" applyFont="1" applyFill="1" applyBorder="1" applyAlignment="1">
      <alignment horizontal="center" wrapText="1"/>
    </xf>
    <xf numFmtId="0" fontId="71" fillId="0" borderId="0" xfId="55" applyFont="1" applyFill="1" applyBorder="1" applyAlignment="1">
      <alignment horizontal="center" wrapText="1"/>
    </xf>
    <xf numFmtId="0" fontId="71" fillId="13" borderId="0" xfId="55" applyFont="1" applyFill="1" applyBorder="1" applyAlignment="1"/>
    <xf numFmtId="175" fontId="71" fillId="13" borderId="0" xfId="32" applyNumberFormat="1" applyFont="1" applyFill="1" applyBorder="1" applyAlignment="1">
      <alignment horizontal="center"/>
    </xf>
    <xf numFmtId="175" fontId="71" fillId="0" borderId="0" xfId="32" applyNumberFormat="1" applyFont="1" applyFill="1" applyBorder="1" applyAlignment="1">
      <alignment horizontal="center" wrapText="1"/>
    </xf>
    <xf numFmtId="175" fontId="71" fillId="13" borderId="0" xfId="32" applyNumberFormat="1" applyFont="1" applyFill="1" applyBorder="1"/>
    <xf numFmtId="0" fontId="71" fillId="13" borderId="6" xfId="55" applyFont="1" applyFill="1" applyBorder="1" applyAlignment="1"/>
    <xf numFmtId="175" fontId="71" fillId="13" borderId="6" xfId="32" applyNumberFormat="1" applyFont="1" applyFill="1" applyBorder="1"/>
    <xf numFmtId="175" fontId="71" fillId="0" borderId="6" xfId="32" applyNumberFormat="1" applyFont="1" applyFill="1" applyBorder="1" applyAlignment="1">
      <alignment horizontal="center" wrapText="1"/>
    </xf>
    <xf numFmtId="0" fontId="71" fillId="0" borderId="0" xfId="55" applyFont="1" applyFill="1" applyBorder="1" applyAlignment="1"/>
    <xf numFmtId="175" fontId="71" fillId="0" borderId="0" xfId="32" applyNumberFormat="1" applyFont="1" applyFill="1" applyBorder="1"/>
    <xf numFmtId="175" fontId="71" fillId="0" borderId="0" xfId="32" applyNumberFormat="1" applyFont="1" applyFill="1" applyBorder="1" applyAlignment="1">
      <alignment horizontal="center"/>
    </xf>
    <xf numFmtId="174" fontId="179" fillId="0" borderId="0" xfId="0" applyFont="1" applyAlignment="1"/>
    <xf numFmtId="0" fontId="46" fillId="0" borderId="0" xfId="525" applyFont="1"/>
    <xf numFmtId="174" fontId="48" fillId="0" borderId="0" xfId="0" applyFont="1" applyAlignment="1"/>
    <xf numFmtId="0" fontId="46" fillId="0" borderId="33" xfId="32" applyNumberFormat="1" applyFont="1" applyBorder="1" applyAlignment="1">
      <alignment horizontal="center"/>
    </xf>
    <xf numFmtId="174" fontId="46" fillId="0" borderId="2" xfId="524" applyFont="1" applyBorder="1"/>
    <xf numFmtId="1" fontId="46" fillId="0" borderId="2" xfId="524" applyNumberFormat="1" applyFont="1" applyBorder="1" applyAlignment="1">
      <alignment horizontal="center"/>
    </xf>
    <xf numFmtId="174" fontId="46" fillId="0" borderId="19" xfId="524" applyFont="1" applyBorder="1" applyAlignment="1">
      <alignment horizontal="center"/>
    </xf>
    <xf numFmtId="0" fontId="46" fillId="0" borderId="43" xfId="32" applyNumberFormat="1" applyFont="1" applyBorder="1" applyAlignment="1">
      <alignment horizontal="center"/>
    </xf>
    <xf numFmtId="174" fontId="46" fillId="0" borderId="6" xfId="524" applyFont="1" applyBorder="1"/>
    <xf numFmtId="174" fontId="46" fillId="0" borderId="6" xfId="524" applyFont="1" applyBorder="1" applyAlignment="1">
      <alignment horizontal="center" wrapText="1"/>
    </xf>
    <xf numFmtId="174" fontId="46" fillId="0" borderId="23" xfId="524" applyFont="1" applyBorder="1" applyAlignment="1">
      <alignment horizontal="center" wrapText="1"/>
    </xf>
    <xf numFmtId="174" fontId="46" fillId="13" borderId="2" xfId="524" applyFont="1" applyFill="1" applyBorder="1"/>
    <xf numFmtId="175" fontId="46" fillId="13" borderId="2" xfId="32" applyNumberFormat="1" applyFont="1" applyFill="1" applyBorder="1" applyAlignment="1">
      <alignment wrapText="1"/>
    </xf>
    <xf numFmtId="175" fontId="46" fillId="0" borderId="19" xfId="32" applyNumberFormat="1" applyFont="1" applyBorder="1" applyAlignment="1">
      <alignment wrapText="1"/>
    </xf>
    <xf numFmtId="174" fontId="46" fillId="13" borderId="0" xfId="524" applyFont="1" applyFill="1" applyBorder="1"/>
    <xf numFmtId="175" fontId="46" fillId="13" borderId="0" xfId="32" applyNumberFormat="1" applyFont="1" applyFill="1" applyBorder="1"/>
    <xf numFmtId="175" fontId="46" fillId="0" borderId="21" xfId="32" applyNumberFormat="1" applyFont="1" applyBorder="1" applyAlignment="1">
      <alignment wrapText="1"/>
    </xf>
    <xf numFmtId="174" fontId="46" fillId="13" borderId="6" xfId="524" applyFont="1" applyFill="1" applyBorder="1"/>
    <xf numFmtId="175" fontId="46" fillId="13" borderId="6" xfId="32" applyNumberFormat="1" applyFont="1" applyFill="1" applyBorder="1"/>
    <xf numFmtId="175" fontId="46" fillId="0" borderId="23" xfId="32" applyNumberFormat="1" applyFont="1" applyBorder="1" applyAlignment="1">
      <alignment wrapText="1"/>
    </xf>
    <xf numFmtId="0" fontId="46" fillId="0" borderId="0" xfId="32" applyNumberFormat="1" applyFont="1" applyAlignment="1">
      <alignment horizontal="center"/>
    </xf>
    <xf numFmtId="175" fontId="46" fillId="0" borderId="0" xfId="32" applyNumberFormat="1" applyFont="1"/>
    <xf numFmtId="174" fontId="46" fillId="0" borderId="0" xfId="0" applyFont="1" applyAlignment="1"/>
    <xf numFmtId="0" fontId="46" fillId="0" borderId="0" xfId="112" applyFont="1" applyFill="1"/>
    <xf numFmtId="0" fontId="46" fillId="0" borderId="0" xfId="112" applyFont="1"/>
    <xf numFmtId="0" fontId="50" fillId="0" borderId="0" xfId="112" applyFont="1" applyFill="1"/>
    <xf numFmtId="0" fontId="46" fillId="0" borderId="0" xfId="112" applyFont="1" applyAlignment="1">
      <alignment horizontal="center"/>
    </xf>
    <xf numFmtId="0" fontId="46" fillId="0" borderId="0" xfId="112" quotePrefix="1" applyFont="1" applyAlignment="1">
      <alignment horizontal="center"/>
    </xf>
    <xf numFmtId="0" fontId="46" fillId="0" borderId="7" xfId="112" applyFont="1" applyBorder="1" applyAlignment="1">
      <alignment horizontal="center" wrapText="1"/>
    </xf>
    <xf numFmtId="0" fontId="46" fillId="0" borderId="5" xfId="112" applyFont="1" applyBorder="1"/>
    <xf numFmtId="0" fontId="46" fillId="13" borderId="18" xfId="112" applyFont="1" applyFill="1" applyBorder="1"/>
    <xf numFmtId="0" fontId="46" fillId="13" borderId="2" xfId="112" applyFont="1" applyFill="1" applyBorder="1"/>
    <xf numFmtId="0" fontId="46" fillId="0" borderId="2" xfId="112" applyFont="1" applyBorder="1"/>
    <xf numFmtId="0" fontId="46" fillId="13" borderId="2" xfId="112" applyFont="1" applyFill="1" applyBorder="1" applyAlignment="1">
      <alignment horizontal="center"/>
    </xf>
    <xf numFmtId="0" fontId="46" fillId="13" borderId="19" xfId="112" applyFont="1" applyFill="1" applyBorder="1"/>
    <xf numFmtId="0" fontId="46" fillId="13" borderId="20" xfId="112" applyFont="1" applyFill="1" applyBorder="1"/>
    <xf numFmtId="0" fontId="46" fillId="13" borderId="0" xfId="112" applyFont="1" applyFill="1" applyBorder="1"/>
    <xf numFmtId="0" fontId="46" fillId="0" borderId="0" xfId="112" applyFont="1" applyBorder="1"/>
    <xf numFmtId="0" fontId="46" fillId="0" borderId="0" xfId="112" applyFont="1" applyBorder="1" applyAlignment="1">
      <alignment horizontal="center"/>
    </xf>
    <xf numFmtId="0" fontId="46" fillId="13" borderId="0" xfId="112" applyFont="1" applyFill="1" applyBorder="1" applyAlignment="1">
      <alignment horizontal="center"/>
    </xf>
    <xf numFmtId="0" fontId="46" fillId="13" borderId="21" xfId="112" applyFont="1" applyFill="1" applyBorder="1"/>
    <xf numFmtId="0" fontId="46" fillId="0" borderId="43" xfId="112" applyFont="1" applyBorder="1" applyAlignment="1">
      <alignment horizontal="left"/>
    </xf>
    <xf numFmtId="0" fontId="46" fillId="13" borderId="22" xfId="112" applyFont="1" applyFill="1" applyBorder="1"/>
    <xf numFmtId="0" fontId="46" fillId="13" borderId="6" xfId="112" applyFont="1" applyFill="1" applyBorder="1"/>
    <xf numFmtId="0" fontId="46" fillId="13" borderId="6" xfId="112" applyFont="1" applyFill="1" applyBorder="1" applyAlignment="1">
      <alignment horizontal="center"/>
    </xf>
    <xf numFmtId="0" fontId="46" fillId="13" borderId="23" xfId="112" applyFont="1" applyFill="1" applyBorder="1" applyAlignment="1">
      <alignment horizontal="center"/>
    </xf>
    <xf numFmtId="0" fontId="46" fillId="0" borderId="2" xfId="112" applyFont="1" applyBorder="1" applyAlignment="1">
      <alignment horizontal="left"/>
    </xf>
    <xf numFmtId="174" fontId="46" fillId="0" borderId="0" xfId="524" applyFont="1"/>
    <xf numFmtId="1" fontId="46" fillId="0" borderId="0" xfId="524" applyNumberFormat="1" applyFont="1" applyFill="1" applyAlignment="1">
      <alignment horizontal="center"/>
    </xf>
    <xf numFmtId="174" fontId="46" fillId="0" borderId="0" xfId="524" applyFont="1" applyFill="1" applyBorder="1" applyAlignment="1"/>
    <xf numFmtId="49" fontId="46" fillId="0" borderId="0" xfId="521" applyNumberFormat="1" applyFont="1" applyBorder="1" applyAlignment="1">
      <alignment horizontal="center" wrapText="1"/>
    </xf>
    <xf numFmtId="49" fontId="46" fillId="0" borderId="0" xfId="522" applyNumberFormat="1" applyFont="1" applyBorder="1" applyAlignment="1">
      <alignment horizontal="center" wrapText="1"/>
    </xf>
    <xf numFmtId="0" fontId="46" fillId="0" borderId="0" xfId="521" applyFont="1" applyAlignment="1"/>
    <xf numFmtId="49" fontId="46" fillId="0" borderId="0" xfId="521" applyNumberFormat="1" applyFont="1"/>
    <xf numFmtId="175" fontId="46" fillId="0" borderId="0" xfId="522" applyNumberFormat="1" applyFont="1"/>
    <xf numFmtId="0" fontId="46" fillId="0" borderId="0" xfId="521" applyFont="1" applyAlignment="1">
      <alignment horizontal="center"/>
    </xf>
    <xf numFmtId="49" fontId="46" fillId="0" borderId="0" xfId="521" applyNumberFormat="1" applyFont="1" applyAlignment="1">
      <alignment horizontal="center"/>
    </xf>
    <xf numFmtId="175" fontId="46" fillId="0" borderId="0" xfId="522" applyNumberFormat="1" applyFont="1" applyAlignment="1">
      <alignment horizontal="center"/>
    </xf>
    <xf numFmtId="10" fontId="46" fillId="0" borderId="0" xfId="114" applyNumberFormat="1" applyFont="1" applyAlignment="1">
      <alignment horizontal="center"/>
    </xf>
    <xf numFmtId="49" fontId="46" fillId="0" borderId="2" xfId="521" applyNumberFormat="1" applyFont="1" applyBorder="1" applyAlignment="1">
      <alignment horizontal="center" wrapText="1"/>
    </xf>
    <xf numFmtId="49" fontId="46" fillId="0" borderId="2" xfId="522" applyNumberFormat="1" applyFont="1" applyBorder="1" applyAlignment="1">
      <alignment horizontal="center" wrapText="1"/>
    </xf>
    <xf numFmtId="49" fontId="46" fillId="13" borderId="6" xfId="521" applyNumberFormat="1" applyFont="1" applyFill="1" applyBorder="1" applyAlignment="1">
      <alignment horizontal="center" wrapText="1"/>
    </xf>
    <xf numFmtId="49" fontId="46" fillId="13" borderId="6" xfId="522" applyNumberFormat="1" applyFont="1" applyFill="1" applyBorder="1" applyAlignment="1">
      <alignment horizontal="center" wrapText="1"/>
    </xf>
    <xf numFmtId="175" fontId="46" fillId="13" borderId="0" xfId="522" applyNumberFormat="1" applyFont="1" applyFill="1" applyBorder="1"/>
    <xf numFmtId="175" fontId="46" fillId="13" borderId="6" xfId="522" applyNumberFormat="1" applyFont="1" applyFill="1" applyBorder="1"/>
    <xf numFmtId="175" fontId="46" fillId="0" borderId="0" xfId="522" applyNumberFormat="1" applyFont="1" applyBorder="1" applyAlignment="1">
      <alignment horizontal="right"/>
    </xf>
    <xf numFmtId="175" fontId="46" fillId="0" borderId="0" xfId="522" applyNumberFormat="1" applyFont="1" applyBorder="1" applyAlignment="1"/>
    <xf numFmtId="0" fontId="46" fillId="0" borderId="0" xfId="521" applyFont="1"/>
    <xf numFmtId="0" fontId="46" fillId="0" borderId="33" xfId="112" applyFont="1" applyBorder="1"/>
    <xf numFmtId="0" fontId="46" fillId="0" borderId="43" xfId="112" applyFont="1" applyBorder="1" applyAlignment="1">
      <alignment horizontal="center" wrapText="1"/>
    </xf>
    <xf numFmtId="174" fontId="46" fillId="0" borderId="0" xfId="0" applyFont="1" applyFill="1" applyAlignment="1"/>
    <xf numFmtId="174" fontId="50" fillId="0" borderId="0" xfId="0" applyFont="1" applyFill="1" applyAlignment="1"/>
    <xf numFmtId="1" fontId="46" fillId="0" borderId="0" xfId="524" applyNumberFormat="1" applyFont="1" applyFill="1" applyBorder="1" applyAlignment="1">
      <alignment horizontal="center"/>
    </xf>
    <xf numFmtId="174" fontId="46" fillId="0" borderId="0" xfId="524" applyFont="1" applyFill="1" applyBorder="1" applyAlignment="1">
      <alignment horizontal="center"/>
    </xf>
    <xf numFmtId="174" fontId="46" fillId="0" borderId="0" xfId="524" applyFont="1" applyFill="1" applyBorder="1" applyAlignment="1">
      <alignment horizontal="center" wrapText="1"/>
    </xf>
    <xf numFmtId="175" fontId="46" fillId="0" borderId="0" xfId="32" applyNumberFormat="1" applyFont="1" applyFill="1" applyBorder="1" applyAlignment="1">
      <alignment wrapText="1"/>
    </xf>
    <xf numFmtId="175" fontId="46" fillId="0" borderId="0" xfId="32" applyNumberFormat="1" applyFont="1" applyFill="1" applyBorder="1"/>
    <xf numFmtId="174" fontId="0" fillId="0" borderId="0" xfId="0" applyFont="1" applyFill="1" applyBorder="1" applyAlignment="1"/>
    <xf numFmtId="0" fontId="46" fillId="0" borderId="0" xfId="521" applyFont="1" applyAlignment="1">
      <alignment horizontal="left"/>
    </xf>
    <xf numFmtId="0" fontId="46" fillId="0" borderId="33" xfId="32" applyNumberFormat="1" applyFont="1" applyBorder="1" applyAlignment="1">
      <alignment horizontal="left"/>
    </xf>
    <xf numFmtId="0" fontId="46" fillId="0" borderId="5" xfId="32" applyNumberFormat="1" applyFont="1" applyBorder="1" applyAlignment="1">
      <alignment horizontal="left"/>
    </xf>
    <xf numFmtId="0" fontId="46" fillId="0" borderId="43" xfId="32" applyNumberFormat="1" applyFont="1" applyBorder="1" applyAlignment="1">
      <alignment horizontal="left"/>
    </xf>
    <xf numFmtId="0" fontId="46" fillId="0" borderId="0" xfId="32" applyNumberFormat="1" applyFont="1" applyAlignment="1">
      <alignment horizontal="left"/>
    </xf>
    <xf numFmtId="49" fontId="46" fillId="0" borderId="0" xfId="521" applyNumberFormat="1" applyFont="1" applyAlignment="1">
      <alignment horizontal="left"/>
    </xf>
    <xf numFmtId="0" fontId="46" fillId="0" borderId="0" xfId="32" applyNumberFormat="1" applyFont="1" applyBorder="1" applyAlignment="1">
      <alignment horizontal="center"/>
    </xf>
    <xf numFmtId="174" fontId="46" fillId="0" borderId="0" xfId="524" applyFont="1" applyBorder="1"/>
    <xf numFmtId="174" fontId="0" fillId="0" borderId="0" xfId="0" applyFont="1" applyAlignment="1">
      <alignment horizontal="left"/>
    </xf>
    <xf numFmtId="174" fontId="46" fillId="0" borderId="30" xfId="524" applyFont="1" applyFill="1" applyBorder="1" applyAlignment="1">
      <alignment horizontal="center" wrapText="1"/>
    </xf>
    <xf numFmtId="174" fontId="46" fillId="0" borderId="63" xfId="524" applyFont="1" applyFill="1" applyBorder="1" applyAlignment="1">
      <alignment horizontal="center" wrapText="1"/>
    </xf>
    <xf numFmtId="0" fontId="46" fillId="0" borderId="7" xfId="32" applyNumberFormat="1" applyFont="1" applyBorder="1" applyAlignment="1">
      <alignment horizontal="center"/>
    </xf>
    <xf numFmtId="174" fontId="46" fillId="13" borderId="18" xfId="524" applyFont="1" applyFill="1" applyBorder="1"/>
    <xf numFmtId="175" fontId="46" fillId="13" borderId="19" xfId="32" applyNumberFormat="1" applyFont="1" applyFill="1" applyBorder="1" applyAlignment="1">
      <alignment wrapText="1"/>
    </xf>
    <xf numFmtId="174" fontId="46" fillId="13" borderId="20" xfId="524" applyFont="1" applyFill="1" applyBorder="1"/>
    <xf numFmtId="175" fontId="46" fillId="13" borderId="21" xfId="32" applyNumberFormat="1" applyFont="1" applyFill="1" applyBorder="1"/>
    <xf numFmtId="174" fontId="46" fillId="13" borderId="22" xfId="524" applyFont="1" applyFill="1" applyBorder="1"/>
    <xf numFmtId="175" fontId="46" fillId="13" borderId="23" xfId="32" applyNumberFormat="1" applyFont="1" applyFill="1" applyBorder="1"/>
    <xf numFmtId="10" fontId="12" fillId="0" borderId="0" xfId="63" applyNumberFormat="1" applyFont="1" applyFill="1" applyAlignment="1"/>
    <xf numFmtId="14" fontId="5" fillId="13" borderId="13" xfId="55" applyNumberFormat="1" applyFill="1" applyBorder="1" applyAlignment="1">
      <alignment horizontal="center"/>
    </xf>
    <xf numFmtId="0" fontId="5" fillId="13" borderId="4" xfId="55" applyFill="1" applyBorder="1" applyAlignment="1">
      <alignment horizontal="center"/>
    </xf>
    <xf numFmtId="175" fontId="0" fillId="13" borderId="4" xfId="35" applyNumberFormat="1" applyFont="1" applyFill="1" applyBorder="1"/>
    <xf numFmtId="0" fontId="71" fillId="0" borderId="0" xfId="55" applyFont="1" applyFill="1"/>
    <xf numFmtId="0" fontId="71" fillId="0" borderId="0" xfId="55" applyFont="1" applyFill="1" applyAlignment="1">
      <alignment horizontal="left"/>
    </xf>
    <xf numFmtId="0" fontId="71" fillId="0" borderId="0" xfId="55" applyFont="1" applyFill="1" applyAlignment="1">
      <alignment horizontal="center" wrapText="1"/>
    </xf>
    <xf numFmtId="175" fontId="71" fillId="0" borderId="0" xfId="35" applyNumberFormat="1" applyFont="1" applyFill="1"/>
    <xf numFmtId="0" fontId="71" fillId="0" borderId="0" xfId="55" applyFont="1" applyFill="1" applyAlignment="1">
      <alignment horizontal="right"/>
    </xf>
    <xf numFmtId="0" fontId="183" fillId="0" borderId="0" xfId="55" applyFont="1" applyFill="1"/>
    <xf numFmtId="174" fontId="0" fillId="0" borderId="0" xfId="0" applyFill="1" applyBorder="1" applyAlignment="1">
      <alignment horizontal="center"/>
    </xf>
    <xf numFmtId="170" fontId="0" fillId="0" borderId="0" xfId="0" applyNumberFormat="1" applyAlignment="1"/>
    <xf numFmtId="174" fontId="48" fillId="0" borderId="0" xfId="0" applyFont="1" applyBorder="1" applyAlignment="1">
      <alignment horizontal="center"/>
    </xf>
    <xf numFmtId="175" fontId="48" fillId="0" borderId="0" xfId="32" applyNumberFormat="1" applyFont="1" applyBorder="1" applyAlignment="1">
      <alignment horizontal="center"/>
    </xf>
    <xf numFmtId="175" fontId="48" fillId="0" borderId="9" xfId="32" applyNumberFormat="1" applyFont="1" applyBorder="1" applyAlignment="1">
      <alignment horizontal="center"/>
    </xf>
    <xf numFmtId="0" fontId="48" fillId="0" borderId="10" xfId="32" applyNumberFormat="1" applyFont="1" applyBorder="1" applyAlignment="1">
      <alignment horizontal="center"/>
    </xf>
    <xf numFmtId="174" fontId="48" fillId="0" borderId="0" xfId="0" applyFont="1" applyBorder="1"/>
    <xf numFmtId="175" fontId="48" fillId="0" borderId="0" xfId="32" applyNumberFormat="1" applyFont="1" applyFill="1" applyBorder="1" applyAlignment="1">
      <alignment horizontal="center"/>
    </xf>
    <xf numFmtId="175" fontId="48" fillId="0" borderId="9" xfId="32" applyNumberFormat="1" applyFont="1" applyFill="1" applyBorder="1" applyAlignment="1">
      <alignment horizontal="center"/>
    </xf>
    <xf numFmtId="175" fontId="48" fillId="0" borderId="0" xfId="32" applyNumberFormat="1" applyFont="1" applyBorder="1"/>
    <xf numFmtId="175" fontId="48" fillId="0" borderId="9" xfId="32" applyNumberFormat="1" applyFont="1" applyBorder="1"/>
    <xf numFmtId="174" fontId="48" fillId="0" borderId="0" xfId="0" applyFont="1" applyFill="1" applyBorder="1" applyAlignment="1">
      <alignment horizontal="left" indent="1"/>
    </xf>
    <xf numFmtId="174" fontId="48" fillId="0" borderId="0" xfId="0" applyFont="1" applyFill="1" applyBorder="1" applyAlignment="1">
      <alignment horizontal="center"/>
    </xf>
    <xf numFmtId="174" fontId="48" fillId="0" borderId="0" xfId="0" applyFont="1" applyFill="1" applyBorder="1" applyAlignment="1">
      <alignment horizontal="left" indent="2"/>
    </xf>
    <xf numFmtId="174" fontId="48" fillId="0" borderId="0" xfId="0" applyFont="1" applyFill="1" applyBorder="1" applyAlignment="1">
      <alignment horizontal="left"/>
    </xf>
    <xf numFmtId="175" fontId="48" fillId="6" borderId="64" xfId="32" applyNumberFormat="1" applyFont="1" applyFill="1" applyBorder="1"/>
    <xf numFmtId="175" fontId="48" fillId="6" borderId="68" xfId="32" applyNumberFormat="1" applyFont="1" applyFill="1" applyBorder="1"/>
    <xf numFmtId="175" fontId="48" fillId="6" borderId="67" xfId="32" applyNumberFormat="1" applyFont="1" applyFill="1" applyBorder="1"/>
    <xf numFmtId="175" fontId="48" fillId="0" borderId="3" xfId="32" applyNumberFormat="1" applyFont="1" applyBorder="1"/>
    <xf numFmtId="174" fontId="48" fillId="0" borderId="0" xfId="0" applyFont="1" applyFill="1" applyBorder="1" applyAlignment="1">
      <alignment horizontal="left" wrapText="1" indent="1"/>
    </xf>
    <xf numFmtId="0" fontId="48" fillId="0" borderId="13" xfId="32" applyNumberFormat="1" applyFont="1" applyBorder="1" applyAlignment="1">
      <alignment horizontal="center"/>
    </xf>
    <xf numFmtId="174" fontId="48" fillId="0" borderId="4" xfId="0" applyFont="1" applyBorder="1"/>
    <xf numFmtId="175" fontId="48" fillId="0" borderId="4" xfId="32" applyNumberFormat="1" applyFont="1" applyBorder="1"/>
    <xf numFmtId="175" fontId="48" fillId="0" borderId="12" xfId="32" applyNumberFormat="1" applyFont="1" applyBorder="1"/>
    <xf numFmtId="175" fontId="49" fillId="7" borderId="0" xfId="32" applyNumberFormat="1" applyFont="1" applyFill="1" applyBorder="1" applyAlignment="1">
      <alignment horizontal="center" wrapText="1"/>
    </xf>
    <xf numFmtId="175" fontId="48" fillId="0" borderId="0" xfId="32" applyNumberFormat="1" applyFont="1"/>
    <xf numFmtId="0" fontId="48" fillId="0" borderId="16" xfId="32" applyNumberFormat="1" applyFont="1" applyFill="1" applyBorder="1" applyAlignment="1">
      <alignment horizontal="center"/>
    </xf>
    <xf numFmtId="3" fontId="47" fillId="0" borderId="15" xfId="55" applyNumberFormat="1" applyFont="1" applyFill="1" applyBorder="1" applyAlignment="1">
      <alignment horizontal="left"/>
    </xf>
    <xf numFmtId="0" fontId="48" fillId="0" borderId="15" xfId="55" applyFont="1" applyFill="1" applyBorder="1"/>
    <xf numFmtId="175" fontId="48" fillId="0" borderId="15" xfId="32" applyNumberFormat="1" applyFont="1" applyFill="1" applyBorder="1"/>
    <xf numFmtId="175" fontId="48" fillId="0" borderId="15" xfId="32" applyNumberFormat="1" applyFont="1" applyFill="1" applyBorder="1" applyAlignment="1">
      <alignment horizontal="center"/>
    </xf>
    <xf numFmtId="175" fontId="48" fillId="0" borderId="15" xfId="32" applyNumberFormat="1" applyFont="1" applyBorder="1"/>
    <xf numFmtId="175" fontId="48" fillId="0" borderId="14" xfId="32" applyNumberFormat="1" applyFont="1" applyBorder="1"/>
    <xf numFmtId="0" fontId="47" fillId="0" borderId="10" xfId="32" applyNumberFormat="1" applyFont="1" applyBorder="1" applyAlignment="1">
      <alignment horizontal="center"/>
    </xf>
    <xf numFmtId="174" fontId="47" fillId="0" borderId="0" xfId="0" applyFont="1" applyFill="1" applyBorder="1" applyAlignment="1">
      <alignment horizontal="center"/>
    </xf>
    <xf numFmtId="0" fontId="47" fillId="0" borderId="28" xfId="32" applyNumberFormat="1" applyFont="1" applyBorder="1" applyAlignment="1">
      <alignment horizontal="center"/>
    </xf>
    <xf numFmtId="174" fontId="47" fillId="0" borderId="6" xfId="0" applyFont="1" applyBorder="1" applyAlignment="1">
      <alignment horizontal="center"/>
    </xf>
    <xf numFmtId="174" fontId="47" fillId="0" borderId="6" xfId="0" applyFont="1" applyFill="1" applyBorder="1" applyAlignment="1">
      <alignment horizontal="center"/>
    </xf>
    <xf numFmtId="175" fontId="47" fillId="0" borderId="6" xfId="32" applyNumberFormat="1" applyFont="1" applyFill="1" applyBorder="1" applyAlignment="1">
      <alignment horizontal="center"/>
    </xf>
    <xf numFmtId="175" fontId="47" fillId="0" borderId="11" xfId="32" applyNumberFormat="1" applyFont="1" applyFill="1" applyBorder="1" applyAlignment="1">
      <alignment horizontal="center"/>
    </xf>
    <xf numFmtId="175" fontId="48" fillId="6" borderId="65" xfId="32" applyNumberFormat="1" applyFont="1" applyFill="1" applyBorder="1"/>
    <xf numFmtId="175" fontId="48" fillId="0" borderId="66" xfId="32" applyNumberFormat="1" applyFont="1" applyBorder="1"/>
    <xf numFmtId="175" fontId="48" fillId="0" borderId="9" xfId="32" applyNumberFormat="1" applyFont="1" applyFill="1" applyBorder="1"/>
    <xf numFmtId="175" fontId="47" fillId="0" borderId="0" xfId="32" applyNumberFormat="1" applyFont="1" applyBorder="1"/>
    <xf numFmtId="175" fontId="47" fillId="0" borderId="9" xfId="32" applyNumberFormat="1" applyFont="1" applyBorder="1"/>
    <xf numFmtId="174" fontId="48" fillId="0" borderId="0" xfId="0" applyFont="1" applyFill="1" applyBorder="1" applyAlignment="1">
      <alignment horizontal="left" wrapText="1" indent="2"/>
    </xf>
    <xf numFmtId="175" fontId="48" fillId="6" borderId="69" xfId="32" applyNumberFormat="1" applyFont="1" applyFill="1" applyBorder="1"/>
    <xf numFmtId="174" fontId="48" fillId="0" borderId="0" xfId="0" applyFont="1" applyBorder="1" applyAlignment="1">
      <alignment horizontal="left" indent="1"/>
    </xf>
    <xf numFmtId="174" fontId="184" fillId="0" borderId="0" xfId="0" applyFont="1" applyAlignment="1"/>
    <xf numFmtId="10" fontId="12" fillId="13" borderId="0" xfId="32" applyNumberFormat="1" applyFont="1" applyFill="1" applyAlignment="1"/>
    <xf numFmtId="43" fontId="12" fillId="13" borderId="0" xfId="32" applyFont="1" applyFill="1" applyAlignment="1"/>
    <xf numFmtId="9" fontId="12" fillId="13" borderId="0" xfId="63" applyFont="1" applyFill="1" applyAlignment="1"/>
    <xf numFmtId="43" fontId="48" fillId="0" borderId="0" xfId="32" applyFont="1" applyFill="1" applyBorder="1" applyAlignment="1">
      <alignment horizontal="center"/>
    </xf>
    <xf numFmtId="175" fontId="182" fillId="0" borderId="0" xfId="32" applyNumberFormat="1" applyFont="1" applyFill="1" applyBorder="1"/>
    <xf numFmtId="43" fontId="48" fillId="0" borderId="0" xfId="32" applyFont="1" applyFill="1" applyBorder="1"/>
    <xf numFmtId="181" fontId="48" fillId="0" borderId="0" xfId="32" applyNumberFormat="1" applyFont="1" applyFill="1" applyBorder="1"/>
    <xf numFmtId="174" fontId="48" fillId="0" borderId="0" xfId="0" applyFont="1" applyAlignment="1">
      <alignment vertical="center"/>
    </xf>
    <xf numFmtId="0" fontId="74" fillId="0" borderId="0" xfId="60" applyNumberFormat="1" applyFont="1" applyAlignment="1" applyProtection="1">
      <alignment horizontal="center"/>
      <protection locked="0"/>
    </xf>
    <xf numFmtId="0" fontId="74" fillId="0" borderId="0" xfId="60" applyNumberFormat="1" applyFont="1" applyProtection="1">
      <protection locked="0"/>
    </xf>
    <xf numFmtId="0" fontId="74" fillId="0" borderId="0" xfId="60" applyNumberFormat="1" applyFont="1" applyFill="1" applyAlignment="1" applyProtection="1">
      <alignment horizontal="center"/>
      <protection locked="0"/>
    </xf>
    <xf numFmtId="0" fontId="86" fillId="0" borderId="0" xfId="60" applyNumberFormat="1" applyFont="1" applyFill="1" applyAlignment="1" applyProtection="1">
      <alignment horizontal="center"/>
      <protection locked="0"/>
    </xf>
    <xf numFmtId="0" fontId="74" fillId="0" borderId="0" xfId="60" applyFont="1" applyAlignment="1">
      <alignment horizontal="center"/>
    </xf>
    <xf numFmtId="0" fontId="74" fillId="0" borderId="0" xfId="0" applyNumberFormat="1" applyFont="1" applyFill="1" applyAlignment="1"/>
    <xf numFmtId="0" fontId="74" fillId="0" borderId="0" xfId="0" applyNumberFormat="1" applyFont="1" applyFill="1"/>
    <xf numFmtId="178" fontId="74" fillId="0" borderId="0" xfId="63" applyNumberFormat="1" applyFont="1" applyFill="1"/>
    <xf numFmtId="43" fontId="74" fillId="0" borderId="0" xfId="0" applyNumberFormat="1" applyFont="1" applyFill="1"/>
    <xf numFmtId="174" fontId="72" fillId="0" borderId="0" xfId="60" applyNumberFormat="1" applyFont="1" applyAlignment="1" applyProtection="1">
      <protection locked="0"/>
    </xf>
    <xf numFmtId="3" fontId="72" fillId="0" borderId="0" xfId="60" applyNumberFormat="1" applyFont="1" applyAlignment="1"/>
    <xf numFmtId="0" fontId="72" fillId="0" borderId="0" xfId="60" applyNumberFormat="1" applyFont="1" applyProtection="1">
      <protection locked="0"/>
    </xf>
    <xf numFmtId="170" fontId="41" fillId="0" borderId="0" xfId="60" applyNumberFormat="1" applyFont="1" applyProtection="1">
      <protection locked="0"/>
    </xf>
    <xf numFmtId="0" fontId="41" fillId="0" borderId="0" xfId="60" applyFont="1" applyFill="1" applyAlignment="1" applyProtection="1"/>
    <xf numFmtId="3" fontId="41" fillId="0" borderId="0" xfId="60" applyNumberFormat="1" applyFont="1" applyFill="1" applyAlignment="1" applyProtection="1"/>
    <xf numFmtId="0" fontId="41" fillId="0" borderId="0" xfId="60" applyNumberFormat="1" applyFont="1"/>
    <xf numFmtId="0" fontId="72" fillId="0" borderId="0" xfId="60" applyNumberFormat="1" applyFont="1" applyAlignment="1" applyProtection="1">
      <alignment horizontal="center"/>
      <protection locked="0"/>
    </xf>
    <xf numFmtId="3" fontId="185" fillId="0" borderId="0" xfId="60" applyNumberFormat="1" applyFont="1" applyAlignment="1"/>
    <xf numFmtId="0" fontId="186" fillId="0" borderId="0" xfId="60" applyNumberFormat="1" applyFont="1" applyFill="1" applyAlignment="1" applyProtection="1">
      <alignment horizontal="left"/>
      <protection locked="0"/>
    </xf>
    <xf numFmtId="0" fontId="72" fillId="0" borderId="0" xfId="0" applyNumberFormat="1" applyFont="1" applyFill="1" applyBorder="1" applyAlignment="1"/>
    <xf numFmtId="0" fontId="187" fillId="0" borderId="0" xfId="0" applyNumberFormat="1" applyFont="1" applyFill="1" applyBorder="1" applyAlignment="1"/>
    <xf numFmtId="0" fontId="74" fillId="0" borderId="0" xfId="0" applyNumberFormat="1" applyFont="1" applyFill="1" applyBorder="1" applyAlignment="1">
      <alignment horizontal="center" vertical="top"/>
    </xf>
    <xf numFmtId="0" fontId="74" fillId="0" borderId="0" xfId="0" applyNumberFormat="1" applyFont="1" applyFill="1" applyBorder="1" applyAlignment="1">
      <alignment horizontal="center"/>
    </xf>
    <xf numFmtId="0" fontId="74" fillId="0" borderId="0" xfId="60" applyNumberFormat="1" applyFont="1"/>
    <xf numFmtId="0" fontId="47" fillId="0" borderId="0" xfId="55" applyFont="1" applyFill="1"/>
    <xf numFmtId="175" fontId="48" fillId="0" borderId="0" xfId="35" applyNumberFormat="1" applyFont="1" applyBorder="1" applyAlignment="1"/>
    <xf numFmtId="175" fontId="48" fillId="5" borderId="0" xfId="35" applyNumberFormat="1" applyFont="1" applyFill="1" applyAlignment="1"/>
    <xf numFmtId="175" fontId="48" fillId="0" borderId="0" xfId="55" applyNumberFormat="1" applyFont="1" applyFill="1"/>
    <xf numFmtId="0" fontId="76" fillId="0" borderId="0" xfId="55" applyFont="1"/>
    <xf numFmtId="174" fontId="48" fillId="0" borderId="6" xfId="0" applyFont="1" applyBorder="1"/>
    <xf numFmtId="174" fontId="48" fillId="0" borderId="0" xfId="0" applyFont="1" applyBorder="1" applyAlignment="1">
      <alignment horizontal="centerContinuous"/>
    </xf>
    <xf numFmtId="0" fontId="48" fillId="0" borderId="0" xfId="0" applyNumberFormat="1" applyFont="1" applyAlignment="1">
      <alignment horizontal="center"/>
    </xf>
    <xf numFmtId="174" fontId="188" fillId="0" borderId="0" xfId="0" applyFont="1" applyAlignment="1">
      <alignment horizontal="right"/>
    </xf>
    <xf numFmtId="0" fontId="48" fillId="13" borderId="0" xfId="0" applyNumberFormat="1" applyFont="1" applyFill="1" applyAlignment="1">
      <alignment horizontal="center"/>
    </xf>
    <xf numFmtId="170" fontId="48" fillId="13" borderId="0" xfId="0" applyNumberFormat="1" applyFont="1" applyFill="1"/>
    <xf numFmtId="175" fontId="48" fillId="13" borderId="0" xfId="32" applyNumberFormat="1" applyFont="1" applyFill="1"/>
    <xf numFmtId="170" fontId="48" fillId="0" borderId="0" xfId="0" applyNumberFormat="1" applyFont="1"/>
    <xf numFmtId="175" fontId="48" fillId="0" borderId="30" xfId="32" applyNumberFormat="1" applyFont="1" applyBorder="1"/>
    <xf numFmtId="170" fontId="47" fillId="0" borderId="0" xfId="0" applyNumberFormat="1" applyFont="1"/>
    <xf numFmtId="175" fontId="48" fillId="0" borderId="0" xfId="35" applyNumberFormat="1" applyFont="1" applyFill="1" applyAlignment="1">
      <alignment horizontal="right"/>
    </xf>
    <xf numFmtId="0" fontId="48" fillId="13" borderId="0" xfId="55" applyFont="1" applyFill="1"/>
    <xf numFmtId="175" fontId="48" fillId="6" borderId="0" xfId="35" applyNumberFormat="1" applyFont="1" applyFill="1"/>
    <xf numFmtId="3" fontId="48" fillId="0" borderId="6" xfId="55" applyNumberFormat="1" applyFont="1" applyFill="1" applyBorder="1" applyAlignment="1"/>
    <xf numFmtId="0" fontId="48" fillId="0" borderId="9" xfId="55" applyFont="1" applyBorder="1" applyAlignment="1">
      <alignment horizontal="right"/>
    </xf>
    <xf numFmtId="175" fontId="48" fillId="6" borderId="9" xfId="35" applyNumberFormat="1" applyFont="1" applyFill="1" applyBorder="1" applyAlignment="1">
      <alignment horizontal="right"/>
    </xf>
    <xf numFmtId="0" fontId="48" fillId="0" borderId="0" xfId="55" applyFont="1" applyBorder="1" applyAlignment="1">
      <alignment horizontal="left"/>
    </xf>
    <xf numFmtId="0" fontId="48" fillId="0" borderId="0" xfId="55" applyNumberFormat="1" applyFont="1" applyBorder="1" applyAlignment="1">
      <alignment horizontal="center"/>
    </xf>
    <xf numFmtId="0" fontId="48" fillId="0" borderId="0" xfId="55" applyNumberFormat="1" applyFont="1" applyFill="1" applyBorder="1" applyAlignment="1">
      <alignment horizontal="left"/>
    </xf>
    <xf numFmtId="0" fontId="48" fillId="0" borderId="6" xfId="55" applyNumberFormat="1" applyFont="1" applyFill="1" applyBorder="1" applyAlignment="1">
      <alignment horizontal="left"/>
    </xf>
    <xf numFmtId="175" fontId="48" fillId="6" borderId="11" xfId="35" applyNumberFormat="1" applyFont="1" applyFill="1" applyBorder="1" applyAlignment="1">
      <alignment horizontal="right"/>
    </xf>
    <xf numFmtId="0" fontId="47" fillId="0" borderId="0" xfId="55" applyNumberFormat="1" applyFont="1" applyFill="1" applyBorder="1" applyAlignment="1">
      <alignment horizontal="left"/>
    </xf>
    <xf numFmtId="3" fontId="77" fillId="0" borderId="0" xfId="55" applyNumberFormat="1" applyFont="1" applyFill="1" applyBorder="1" applyAlignment="1">
      <alignment horizontal="center"/>
    </xf>
    <xf numFmtId="175" fontId="48" fillId="0" borderId="9" xfId="35" applyNumberFormat="1" applyFont="1" applyFill="1" applyBorder="1" applyAlignment="1">
      <alignment horizontal="right"/>
    </xf>
    <xf numFmtId="0" fontId="77" fillId="0" borderId="0" xfId="55" applyNumberFormat="1" applyFont="1" applyFill="1" applyBorder="1" applyAlignment="1">
      <alignment horizontal="center"/>
    </xf>
    <xf numFmtId="0" fontId="48" fillId="0" borderId="9" xfId="55" applyNumberFormat="1" applyFont="1" applyFill="1" applyBorder="1" applyAlignment="1">
      <alignment horizontal="left"/>
    </xf>
    <xf numFmtId="0" fontId="48" fillId="0" borderId="9" xfId="55" applyFont="1" applyBorder="1" applyAlignment="1"/>
    <xf numFmtId="175" fontId="77" fillId="0" borderId="0" xfId="32" applyNumberFormat="1" applyFont="1" applyFill="1" applyBorder="1" applyAlignment="1">
      <alignment horizontal="center"/>
    </xf>
    <xf numFmtId="175" fontId="77" fillId="0" borderId="0" xfId="32" applyNumberFormat="1" applyFont="1" applyBorder="1" applyAlignment="1">
      <alignment horizontal="center"/>
    </xf>
    <xf numFmtId="0" fontId="48" fillId="0" borderId="9" xfId="55" applyFont="1" applyBorder="1" applyAlignment="1">
      <alignment horizontal="left"/>
    </xf>
    <xf numFmtId="3" fontId="48" fillId="0" borderId="9" xfId="55" applyNumberFormat="1" applyFont="1" applyBorder="1" applyAlignment="1">
      <alignment horizontal="left"/>
    </xf>
    <xf numFmtId="0" fontId="55" fillId="0" borderId="0" xfId="55" applyNumberFormat="1" applyFont="1" applyFill="1" applyBorder="1" applyAlignment="1">
      <alignment horizontal="left"/>
    </xf>
    <xf numFmtId="3" fontId="77" fillId="0" borderId="0" xfId="55" applyNumberFormat="1" applyFont="1" applyBorder="1" applyAlignment="1">
      <alignment horizontal="center"/>
    </xf>
    <xf numFmtId="175" fontId="48" fillId="0" borderId="9" xfId="35" applyNumberFormat="1" applyFont="1" applyBorder="1" applyAlignment="1">
      <alignment horizontal="right"/>
    </xf>
    <xf numFmtId="0" fontId="48" fillId="0" borderId="13" xfId="55" applyNumberFormat="1" applyFont="1" applyFill="1" applyBorder="1" applyAlignment="1">
      <alignment horizontal="center"/>
    </xf>
    <xf numFmtId="0" fontId="48" fillId="0" borderId="4" xfId="55" applyNumberFormat="1" applyFont="1" applyBorder="1" applyAlignment="1">
      <alignment horizontal="center"/>
    </xf>
    <xf numFmtId="0" fontId="48" fillId="0" borderId="4" xfId="55" applyNumberFormat="1" applyFont="1" applyFill="1" applyBorder="1" applyAlignment="1">
      <alignment horizontal="left"/>
    </xf>
    <xf numFmtId="0" fontId="77" fillId="0" borderId="4" xfId="55" applyNumberFormat="1" applyFont="1" applyFill="1" applyBorder="1" applyAlignment="1">
      <alignment horizontal="center"/>
    </xf>
    <xf numFmtId="0" fontId="48" fillId="0" borderId="12" xfId="55" applyNumberFormat="1" applyFont="1" applyFill="1" applyBorder="1" applyAlignment="1">
      <alignment horizontal="left"/>
    </xf>
    <xf numFmtId="0" fontId="48" fillId="0" borderId="10" xfId="55" applyNumberFormat="1" applyFont="1" applyFill="1" applyBorder="1" applyAlignment="1">
      <alignment horizontal="center"/>
    </xf>
    <xf numFmtId="0" fontId="49" fillId="0" borderId="10" xfId="55" applyFont="1" applyFill="1" applyBorder="1" applyAlignment="1">
      <alignment horizontal="left"/>
    </xf>
    <xf numFmtId="0" fontId="48" fillId="0" borderId="0" xfId="55" applyFont="1" applyFill="1" applyBorder="1" applyAlignment="1">
      <alignment horizontal="left"/>
    </xf>
    <xf numFmtId="0" fontId="48" fillId="0" borderId="0" xfId="55" applyNumberFormat="1" applyFont="1" applyFill="1" applyBorder="1" applyAlignment="1">
      <alignment horizontal="center"/>
    </xf>
    <xf numFmtId="174" fontId="25" fillId="0" borderId="0" xfId="0" applyFont="1" applyFill="1" applyAlignment="1"/>
    <xf numFmtId="174" fontId="25" fillId="0" borderId="0" xfId="0" applyFont="1" applyAlignment="1"/>
    <xf numFmtId="9" fontId="25" fillId="0" borderId="0" xfId="60" applyNumberFormat="1" applyBorder="1" applyAlignment="1"/>
    <xf numFmtId="0" fontId="5" fillId="0" borderId="15" xfId="55" applyFont="1" applyBorder="1" applyAlignment="1">
      <alignment horizontal="center" wrapText="1"/>
    </xf>
    <xf numFmtId="0" fontId="5" fillId="0" borderId="14" xfId="55" applyFont="1" applyBorder="1" applyAlignment="1">
      <alignment horizontal="center" wrapText="1"/>
    </xf>
    <xf numFmtId="0" fontId="48" fillId="0" borderId="0" xfId="53" applyFont="1" applyFill="1" applyBorder="1" applyAlignment="1">
      <alignment horizontal="center"/>
    </xf>
    <xf numFmtId="175" fontId="46" fillId="13" borderId="20" xfId="32" applyNumberFormat="1" applyFont="1" applyFill="1" applyBorder="1"/>
    <xf numFmtId="175" fontId="46" fillId="13" borderId="22" xfId="32" applyNumberFormat="1" applyFont="1" applyFill="1" applyBorder="1"/>
    <xf numFmtId="175" fontId="46" fillId="13" borderId="0" xfId="32" applyNumberFormat="1" applyFont="1" applyFill="1" applyBorder="1" applyAlignment="1">
      <alignment wrapText="1"/>
    </xf>
    <xf numFmtId="175" fontId="46" fillId="13" borderId="21" xfId="32" applyNumberFormat="1" applyFont="1" applyFill="1" applyBorder="1" applyAlignment="1">
      <alignment wrapText="1"/>
    </xf>
    <xf numFmtId="174" fontId="46" fillId="0" borderId="62" xfId="524" applyFont="1" applyBorder="1" applyAlignment="1">
      <alignment wrapText="1"/>
    </xf>
    <xf numFmtId="174" fontId="46" fillId="0" borderId="33" xfId="524" applyFont="1" applyFill="1" applyBorder="1" applyAlignment="1">
      <alignment horizontal="center" wrapText="1"/>
    </xf>
    <xf numFmtId="175" fontId="46" fillId="0" borderId="5" xfId="32" applyNumberFormat="1" applyFont="1" applyBorder="1" applyAlignment="1"/>
    <xf numFmtId="0" fontId="46" fillId="0" borderId="0" xfId="32" applyNumberFormat="1" applyFont="1" applyBorder="1" applyAlignment="1">
      <alignment horizontal="left"/>
    </xf>
    <xf numFmtId="175" fontId="12" fillId="0" borderId="0" xfId="59" applyNumberFormat="1" applyFont="1" applyFill="1" applyBorder="1" applyAlignment="1" applyProtection="1">
      <protection locked="0"/>
    </xf>
    <xf numFmtId="10" fontId="42" fillId="0" borderId="0" xfId="63" applyNumberFormat="1" applyFont="1" applyFill="1" applyAlignment="1"/>
    <xf numFmtId="9" fontId="42" fillId="0" borderId="0" xfId="63" applyFont="1" applyAlignment="1"/>
    <xf numFmtId="10" fontId="42" fillId="0" borderId="0" xfId="63" applyNumberFormat="1" applyFont="1" applyAlignment="1"/>
    <xf numFmtId="10" fontId="42" fillId="0" borderId="4" xfId="63" applyNumberFormat="1" applyFont="1" applyBorder="1" applyAlignment="1"/>
    <xf numFmtId="179" fontId="42" fillId="0" borderId="0" xfId="32" applyNumberFormat="1" applyFont="1" applyAlignment="1"/>
    <xf numFmtId="179" fontId="42" fillId="0" borderId="4" xfId="32" applyNumberFormat="1" applyFont="1" applyBorder="1" applyAlignment="1"/>
    <xf numFmtId="0" fontId="59" fillId="0" borderId="9" xfId="55" applyFont="1" applyFill="1" applyBorder="1" applyAlignment="1"/>
    <xf numFmtId="0" fontId="59" fillId="0" borderId="0" xfId="55" applyNumberFormat="1" applyFont="1" applyFill="1" applyBorder="1" applyAlignment="1">
      <alignment horizontal="right"/>
    </xf>
    <xf numFmtId="0" fontId="59" fillId="0" borderId="0" xfId="55" applyNumberFormat="1" applyFont="1" applyFill="1" applyBorder="1" applyAlignment="1">
      <alignment horizontal="left"/>
    </xf>
    <xf numFmtId="0" fontId="59" fillId="0" borderId="0" xfId="55" applyNumberFormat="1" applyFont="1" applyFill="1" applyBorder="1" applyAlignment="1">
      <alignment horizontal="center"/>
    </xf>
    <xf numFmtId="175" fontId="59" fillId="13" borderId="10" xfId="35" applyNumberFormat="1" applyFont="1" applyFill="1" applyBorder="1" applyAlignment="1">
      <alignment horizontal="right"/>
    </xf>
    <xf numFmtId="175" fontId="59" fillId="13" borderId="0" xfId="35" applyNumberFormat="1" applyFont="1" applyFill="1" applyBorder="1" applyAlignment="1">
      <alignment horizontal="right"/>
    </xf>
    <xf numFmtId="175" fontId="59" fillId="0" borderId="0" xfId="55" applyNumberFormat="1" applyFont="1" applyFill="1" applyBorder="1" applyAlignment="1">
      <alignment horizontal="center"/>
    </xf>
    <xf numFmtId="43" fontId="5" fillId="0" borderId="0" xfId="32" applyFont="1" applyFill="1" applyBorder="1" applyAlignment="1">
      <alignment horizontal="right"/>
    </xf>
    <xf numFmtId="43" fontId="46" fillId="0" borderId="2" xfId="32" applyFont="1" applyBorder="1" applyAlignment="1">
      <alignment horizontal="center"/>
    </xf>
    <xf numFmtId="0" fontId="70" fillId="0" borderId="4" xfId="55" applyNumberFormat="1" applyFont="1" applyFill="1" applyBorder="1" applyAlignment="1">
      <alignment horizontal="left"/>
    </xf>
    <xf numFmtId="175" fontId="5" fillId="0" borderId="9" xfId="55" applyNumberFormat="1" applyFont="1" applyFill="1" applyBorder="1" applyAlignment="1"/>
    <xf numFmtId="0" fontId="48" fillId="0" borderId="0" xfId="53" applyFont="1" applyBorder="1" applyAlignment="1"/>
    <xf numFmtId="43" fontId="46" fillId="0" borderId="0" xfId="32" applyFont="1" applyBorder="1" applyAlignment="1"/>
    <xf numFmtId="0" fontId="51" fillId="0" borderId="15" xfId="55" applyFont="1" applyFill="1" applyBorder="1" applyAlignment="1">
      <alignment horizontal="center" wrapText="1"/>
    </xf>
    <xf numFmtId="17" fontId="46" fillId="0" borderId="2" xfId="112" applyNumberFormat="1" applyFont="1" applyBorder="1" applyAlignment="1">
      <alignment horizontal="center" wrapText="1"/>
    </xf>
    <xf numFmtId="17" fontId="46" fillId="0" borderId="19" xfId="112" applyNumberFormat="1" applyFont="1" applyBorder="1" applyAlignment="1">
      <alignment horizontal="center" wrapText="1"/>
    </xf>
    <xf numFmtId="0" fontId="46" fillId="0" borderId="18" xfId="112" applyFont="1" applyBorder="1" applyAlignment="1">
      <alignment horizontal="center" wrapText="1"/>
    </xf>
    <xf numFmtId="0" fontId="46" fillId="0" borderId="2" xfId="112" applyFont="1" applyBorder="1" applyAlignment="1">
      <alignment horizontal="center" wrapText="1"/>
    </xf>
    <xf numFmtId="175" fontId="48" fillId="0" borderId="0" xfId="55" applyNumberFormat="1" applyFont="1"/>
    <xf numFmtId="175" fontId="48" fillId="0" borderId="70" xfId="35" applyNumberFormat="1" applyFont="1" applyFill="1" applyBorder="1" applyAlignment="1">
      <alignment horizontal="right"/>
    </xf>
    <xf numFmtId="43" fontId="5" fillId="0" borderId="0" xfId="32" applyFont="1" applyFill="1" applyBorder="1" applyAlignment="1"/>
    <xf numFmtId="175" fontId="12" fillId="6" borderId="6" xfId="35" applyNumberFormat="1" applyFont="1" applyFill="1" applyBorder="1" applyAlignment="1"/>
    <xf numFmtId="0" fontId="25" fillId="0" borderId="10" xfId="60" applyBorder="1" applyAlignment="1"/>
    <xf numFmtId="3" fontId="5" fillId="0" borderId="13" xfId="60" applyNumberFormat="1" applyFont="1" applyFill="1" applyBorder="1" applyAlignment="1"/>
    <xf numFmtId="165" fontId="5" fillId="0" borderId="4" xfId="60" applyNumberFormat="1" applyFont="1" applyFill="1" applyBorder="1" applyAlignment="1"/>
    <xf numFmtId="3" fontId="5" fillId="0" borderId="4" xfId="60" applyNumberFormat="1" applyFont="1" applyBorder="1" applyAlignment="1"/>
    <xf numFmtId="3" fontId="5" fillId="0" borderId="4" xfId="60" applyNumberFormat="1" applyFont="1" applyBorder="1" applyAlignment="1">
      <alignment horizontal="right"/>
    </xf>
    <xf numFmtId="0" fontId="53" fillId="0" borderId="12" xfId="60" applyNumberFormat="1" applyFont="1" applyBorder="1"/>
    <xf numFmtId="43" fontId="30" fillId="13" borderId="10" xfId="32" applyFont="1" applyFill="1" applyBorder="1"/>
    <xf numFmtId="170" fontId="42" fillId="0" borderId="0" xfId="0" applyNumberFormat="1" applyFont="1" applyAlignment="1">
      <alignment horizontal="center"/>
    </xf>
    <xf numFmtId="174" fontId="42" fillId="0" borderId="0" xfId="0" applyFont="1" applyAlignment="1">
      <alignment horizontal="center"/>
    </xf>
    <xf numFmtId="175" fontId="42" fillId="0" borderId="6" xfId="32" applyNumberFormat="1" applyFont="1" applyBorder="1" applyAlignment="1"/>
    <xf numFmtId="175" fontId="12" fillId="0" borderId="0" xfId="59" applyNumberFormat="1" applyFont="1" applyFill="1" applyBorder="1" applyAlignment="1" applyProtection="1">
      <alignment horizontal="center"/>
      <protection locked="0"/>
    </xf>
    <xf numFmtId="175" fontId="0" fillId="0" borderId="0" xfId="32" applyNumberFormat="1" applyFont="1" applyAlignment="1">
      <alignment horizontal="right"/>
    </xf>
    <xf numFmtId="175" fontId="42" fillId="0" borderId="0" xfId="32" applyNumberFormat="1" applyFont="1" applyAlignment="1" applyProtection="1">
      <alignment horizontal="right"/>
      <protection locked="0"/>
    </xf>
    <xf numFmtId="175" fontId="42" fillId="0" borderId="0" xfId="32" applyNumberFormat="1" applyFont="1" applyFill="1" applyAlignment="1" applyProtection="1">
      <alignment horizontal="right"/>
      <protection locked="0"/>
    </xf>
    <xf numFmtId="174" fontId="42" fillId="0" borderId="0" xfId="0" applyFont="1" applyAlignment="1">
      <alignment horizontal="right"/>
    </xf>
    <xf numFmtId="174" fontId="73" fillId="0" borderId="0" xfId="0" applyFont="1" applyFill="1" applyAlignment="1">
      <alignment horizontal="right"/>
    </xf>
    <xf numFmtId="175" fontId="0" fillId="0" borderId="0" xfId="32" applyNumberFormat="1" applyFont="1" applyFill="1" applyAlignment="1">
      <alignment horizontal="right"/>
    </xf>
    <xf numFmtId="174" fontId="0" fillId="0" borderId="0" xfId="0" applyFill="1" applyAlignment="1">
      <alignment horizontal="right"/>
    </xf>
    <xf numFmtId="174" fontId="25" fillId="0" borderId="0" xfId="0" applyFont="1" applyFill="1" applyAlignment="1">
      <alignment horizontal="right"/>
    </xf>
    <xf numFmtId="175" fontId="73" fillId="0" borderId="0" xfId="32" applyNumberFormat="1" applyFont="1" applyFill="1" applyBorder="1" applyAlignment="1" applyProtection="1">
      <alignment horizontal="right"/>
      <protection locked="0"/>
    </xf>
    <xf numFmtId="174" fontId="0" fillId="0" borderId="0" xfId="0" applyFill="1" applyBorder="1" applyAlignment="1">
      <alignment horizontal="right"/>
    </xf>
    <xf numFmtId="174" fontId="0" fillId="0" borderId="0" xfId="0" applyAlignment="1">
      <alignment horizontal="right"/>
    </xf>
    <xf numFmtId="175" fontId="42" fillId="0" borderId="0" xfId="32" applyNumberFormat="1" applyFont="1" applyFill="1" applyBorder="1" applyAlignment="1" applyProtection="1">
      <alignment horizontal="right"/>
      <protection locked="0"/>
    </xf>
    <xf numFmtId="174" fontId="73" fillId="0" borderId="0" xfId="0" applyFont="1" applyFill="1" applyAlignment="1">
      <alignment horizontal="left"/>
    </xf>
    <xf numFmtId="175" fontId="65" fillId="0" borderId="0" xfId="32" applyNumberFormat="1" applyFont="1" applyAlignment="1">
      <alignment horizontal="left"/>
    </xf>
    <xf numFmtId="49" fontId="12" fillId="0" borderId="0" xfId="53" applyNumberFormat="1" applyFont="1" applyAlignment="1">
      <alignment horizontal="center"/>
    </xf>
    <xf numFmtId="49" fontId="12" fillId="0" borderId="0" xfId="53" applyNumberFormat="1" applyFont="1" applyFill="1" applyAlignment="1">
      <alignment horizontal="center"/>
    </xf>
    <xf numFmtId="49" fontId="72" fillId="0" borderId="0" xfId="53" applyNumberFormat="1" applyFont="1" applyFill="1" applyAlignment="1">
      <alignment horizontal="center"/>
    </xf>
    <xf numFmtId="174" fontId="0" fillId="0" borderId="0" xfId="0" applyAlignment="1">
      <alignment horizontal="left"/>
    </xf>
    <xf numFmtId="0" fontId="81" fillId="12" borderId="15" xfId="55" applyFont="1" applyFill="1" applyBorder="1" applyAlignment="1">
      <alignment wrapText="1"/>
    </xf>
    <xf numFmtId="43" fontId="5" fillId="13" borderId="0" xfId="32" applyFont="1" applyFill="1" applyBorder="1"/>
    <xf numFmtId="3" fontId="12" fillId="0" borderId="0" xfId="60" applyNumberFormat="1" applyFont="1" applyFill="1" applyAlignment="1">
      <alignment horizontal="center" wrapText="1"/>
    </xf>
    <xf numFmtId="42" fontId="0" fillId="0" borderId="0" xfId="60" applyNumberFormat="1" applyFont="1" applyFill="1" applyAlignment="1">
      <alignment horizontal="center" wrapText="1"/>
    </xf>
    <xf numFmtId="175" fontId="46" fillId="0" borderId="2" xfId="32" applyNumberFormat="1" applyFont="1" applyBorder="1"/>
    <xf numFmtId="175" fontId="46" fillId="0" borderId="0" xfId="32" applyNumberFormat="1" applyFont="1" applyBorder="1"/>
    <xf numFmtId="183" fontId="46" fillId="0" borderId="0" xfId="32" applyNumberFormat="1" applyFont="1" applyBorder="1"/>
    <xf numFmtId="175" fontId="46" fillId="0" borderId="2" xfId="32" applyNumberFormat="1" applyFont="1" applyBorder="1" applyAlignment="1">
      <alignment horizontal="center"/>
    </xf>
    <xf numFmtId="175" fontId="46" fillId="0" borderId="0" xfId="32" applyNumberFormat="1" applyFont="1" applyBorder="1" applyAlignment="1">
      <alignment horizontal="center"/>
    </xf>
    <xf numFmtId="175" fontId="46" fillId="0" borderId="2" xfId="112" applyNumberFormat="1" applyFont="1" applyBorder="1"/>
    <xf numFmtId="43" fontId="46" fillId="0" borderId="0" xfId="32" applyFont="1" applyBorder="1" applyAlignment="1">
      <alignment horizontal="center"/>
    </xf>
    <xf numFmtId="175" fontId="46" fillId="0" borderId="0" xfId="112" applyNumberFormat="1" applyFont="1" applyBorder="1"/>
    <xf numFmtId="49" fontId="46" fillId="13" borderId="2" xfId="521" applyNumberFormat="1" applyFont="1" applyFill="1" applyBorder="1" applyAlignment="1">
      <alignment horizontal="center" wrapText="1"/>
    </xf>
    <xf numFmtId="49" fontId="46" fillId="13" borderId="2" xfId="522" applyNumberFormat="1" applyFont="1" applyFill="1" applyBorder="1" applyAlignment="1">
      <alignment horizontal="center" wrapText="1"/>
    </xf>
    <xf numFmtId="175" fontId="46" fillId="0" borderId="6" xfId="32" applyNumberFormat="1" applyFont="1" applyBorder="1"/>
    <xf numFmtId="175" fontId="46" fillId="0" borderId="6" xfId="32" applyNumberFormat="1" applyFont="1" applyBorder="1" applyAlignment="1">
      <alignment horizontal="center"/>
    </xf>
    <xf numFmtId="175" fontId="46" fillId="0" borderId="6" xfId="112" applyNumberFormat="1" applyFont="1" applyBorder="1"/>
    <xf numFmtId="183" fontId="46" fillId="0" borderId="0" xfId="32" applyNumberFormat="1" applyFont="1" applyBorder="1" applyAlignment="1">
      <alignment horizontal="center"/>
    </xf>
    <xf numFmtId="0" fontId="46" fillId="0" borderId="18" xfId="521" applyFont="1" applyBorder="1" applyAlignment="1"/>
    <xf numFmtId="0" fontId="46" fillId="0" borderId="20" xfId="521" applyFont="1" applyBorder="1" applyAlignment="1"/>
    <xf numFmtId="0" fontId="46" fillId="0" borderId="22" xfId="521" applyFont="1" applyBorder="1" applyAlignment="1"/>
    <xf numFmtId="49" fontId="46" fillId="13" borderId="20" xfId="522" applyNumberFormat="1" applyFont="1" applyFill="1" applyBorder="1" applyAlignment="1">
      <alignment horizontal="left"/>
    </xf>
    <xf numFmtId="175" fontId="46" fillId="0" borderId="21" xfId="522" applyNumberFormat="1" applyFont="1" applyBorder="1"/>
    <xf numFmtId="49" fontId="46" fillId="13" borderId="20" xfId="522" applyNumberFormat="1" applyFont="1" applyFill="1" applyBorder="1"/>
    <xf numFmtId="49" fontId="46" fillId="13" borderId="22" xfId="522" applyNumberFormat="1" applyFont="1" applyFill="1" applyBorder="1"/>
    <xf numFmtId="175" fontId="46" fillId="0" borderId="23" xfId="522" applyNumberFormat="1" applyFont="1" applyBorder="1"/>
    <xf numFmtId="0" fontId="5" fillId="0" borderId="16" xfId="55" applyNumberFormat="1" applyFont="1" applyFill="1" applyBorder="1" applyAlignment="1">
      <alignment horizontal="left"/>
    </xf>
    <xf numFmtId="174" fontId="48" fillId="0" borderId="0" xfId="0" applyFont="1" applyProtection="1">
      <protection locked="0"/>
    </xf>
    <xf numFmtId="0" fontId="5" fillId="0" borderId="0" xfId="111" applyFont="1" applyFill="1" applyAlignment="1">
      <alignment horizontal="center" wrapText="1"/>
    </xf>
    <xf numFmtId="175" fontId="5" fillId="0" borderId="0" xfId="32" applyNumberFormat="1" applyFont="1" applyFill="1" applyAlignment="1">
      <alignment horizontal="center" wrapText="1"/>
    </xf>
    <xf numFmtId="174" fontId="50" fillId="0" borderId="0" xfId="524" applyFont="1" applyAlignment="1"/>
    <xf numFmtId="174" fontId="46" fillId="0" borderId="2" xfId="524" applyFont="1" applyFill="1" applyBorder="1" applyAlignment="1">
      <alignment horizontal="center" wrapText="1"/>
    </xf>
    <xf numFmtId="174" fontId="0" fillId="0" borderId="2" xfId="0" applyFont="1" applyBorder="1" applyAlignment="1"/>
    <xf numFmtId="174" fontId="46" fillId="0" borderId="19" xfId="524" applyFont="1" applyFill="1" applyBorder="1" applyAlignment="1">
      <alignment horizontal="center" wrapText="1"/>
    </xf>
    <xf numFmtId="0" fontId="81" fillId="12" borderId="16" xfId="55" applyFont="1" applyFill="1" applyBorder="1" applyAlignment="1">
      <alignment horizontal="center" wrapText="1"/>
    </xf>
    <xf numFmtId="0" fontId="81" fillId="12" borderId="15" xfId="54" applyFont="1" applyFill="1" applyBorder="1" applyAlignment="1">
      <alignment horizontal="center" wrapText="1"/>
    </xf>
    <xf numFmtId="0" fontId="51" fillId="12" borderId="0" xfId="55" applyFont="1" applyFill="1" applyBorder="1" applyAlignment="1">
      <alignment horizontal="center" wrapText="1"/>
    </xf>
    <xf numFmtId="0" fontId="81" fillId="12" borderId="0" xfId="55" applyFont="1" applyFill="1" applyBorder="1" applyAlignment="1">
      <alignment horizontal="left"/>
    </xf>
    <xf numFmtId="175" fontId="42" fillId="13" borderId="0" xfId="32" applyNumberFormat="1" applyFont="1" applyFill="1" applyBorder="1" applyAlignment="1">
      <alignment horizontal="right"/>
    </xf>
    <xf numFmtId="175" fontId="0" fillId="0" borderId="0" xfId="32" applyNumberFormat="1" applyFont="1" applyFill="1" applyBorder="1" applyAlignment="1"/>
    <xf numFmtId="175" fontId="0" fillId="13" borderId="0" xfId="32" applyNumberFormat="1" applyFont="1" applyFill="1" applyBorder="1" applyAlignment="1">
      <alignment horizontal="left"/>
    </xf>
    <xf numFmtId="175" fontId="42" fillId="13" borderId="16" xfId="32" applyNumberFormat="1" applyFont="1" applyFill="1" applyBorder="1" applyAlignment="1" applyProtection="1">
      <alignment horizontal="right"/>
      <protection locked="0"/>
    </xf>
    <xf numFmtId="175" fontId="0" fillId="13" borderId="15" xfId="32" applyNumberFormat="1" applyFont="1" applyFill="1" applyBorder="1" applyAlignment="1"/>
    <xf numFmtId="10" fontId="42" fillId="0" borderId="15" xfId="62" applyNumberFormat="1" applyFont="1" applyFill="1" applyBorder="1" applyAlignment="1" applyProtection="1">
      <alignment horizontal="right"/>
      <protection locked="0"/>
    </xf>
    <xf numFmtId="175" fontId="0" fillId="0" borderId="15" xfId="32" applyNumberFormat="1" applyFont="1" applyBorder="1" applyAlignment="1"/>
    <xf numFmtId="175" fontId="42" fillId="0" borderId="15" xfId="32" applyNumberFormat="1" applyFont="1" applyFill="1" applyBorder="1" applyAlignment="1"/>
    <xf numFmtId="175" fontId="0" fillId="0" borderId="14" xfId="32" applyNumberFormat="1" applyFont="1" applyBorder="1" applyAlignment="1"/>
    <xf numFmtId="175" fontId="42" fillId="13" borderId="10" xfId="32" applyNumberFormat="1" applyFont="1" applyFill="1" applyBorder="1" applyAlignment="1" applyProtection="1">
      <alignment horizontal="right"/>
      <protection locked="0"/>
    </xf>
    <xf numFmtId="175" fontId="0" fillId="0" borderId="0" xfId="32" applyNumberFormat="1" applyFont="1" applyBorder="1" applyAlignment="1"/>
    <xf numFmtId="175" fontId="0" fillId="0" borderId="9" xfId="32" applyNumberFormat="1" applyFont="1" applyBorder="1" applyAlignment="1"/>
    <xf numFmtId="175" fontId="0" fillId="13" borderId="13" xfId="32" applyNumberFormat="1" applyFont="1" applyFill="1" applyBorder="1" applyAlignment="1">
      <alignment horizontal="right"/>
    </xf>
    <xf numFmtId="174" fontId="0" fillId="0" borderId="4" xfId="0" applyFill="1" applyBorder="1" applyAlignment="1"/>
    <xf numFmtId="175" fontId="0" fillId="0" borderId="4" xfId="32" applyNumberFormat="1" applyFont="1" applyFill="1" applyBorder="1" applyAlignment="1"/>
    <xf numFmtId="175" fontId="0" fillId="0" borderId="4" xfId="32" applyNumberFormat="1" applyFont="1" applyBorder="1" applyAlignment="1"/>
    <xf numFmtId="175" fontId="0" fillId="0" borderId="12" xfId="32" applyNumberFormat="1" applyFont="1" applyFill="1" applyBorder="1" applyAlignment="1"/>
    <xf numFmtId="175" fontId="42" fillId="13" borderId="13" xfId="32" applyNumberFormat="1" applyFont="1" applyFill="1" applyBorder="1" applyAlignment="1" applyProtection="1">
      <alignment horizontal="right"/>
      <protection locked="0"/>
    </xf>
    <xf numFmtId="164" fontId="12" fillId="13" borderId="4" xfId="60" applyNumberFormat="1" applyFont="1" applyFill="1" applyBorder="1" applyAlignment="1" applyProtection="1">
      <alignment horizontal="left"/>
      <protection locked="0"/>
    </xf>
    <xf numFmtId="0" fontId="25" fillId="13" borderId="4" xfId="60" applyFill="1" applyBorder="1" applyAlignment="1"/>
    <xf numFmtId="175" fontId="12" fillId="13" borderId="4" xfId="32" applyNumberFormat="1" applyFont="1" applyFill="1" applyBorder="1" applyAlignment="1">
      <alignment horizontal="right"/>
    </xf>
    <xf numFmtId="10" fontId="42" fillId="0" borderId="4" xfId="63" applyNumberFormat="1" applyFont="1" applyFill="1" applyBorder="1" applyAlignment="1"/>
    <xf numFmtId="175" fontId="0" fillId="13" borderId="4" xfId="32" applyNumberFormat="1" applyFont="1" applyFill="1" applyBorder="1" applyAlignment="1"/>
    <xf numFmtId="175" fontId="42" fillId="0" borderId="4" xfId="32" applyNumberFormat="1" applyFont="1" applyFill="1" applyBorder="1" applyAlignment="1"/>
    <xf numFmtId="175" fontId="0" fillId="0" borderId="12" xfId="32" applyNumberFormat="1" applyFont="1" applyBorder="1" applyAlignment="1"/>
    <xf numFmtId="175" fontId="42" fillId="0" borderId="71" xfId="32" applyNumberFormat="1" applyFont="1" applyFill="1" applyBorder="1" applyAlignment="1" applyProtection="1">
      <alignment horizontal="right"/>
      <protection locked="0"/>
    </xf>
    <xf numFmtId="174" fontId="0" fillId="0" borderId="72" xfId="0" applyFill="1" applyBorder="1" applyAlignment="1"/>
    <xf numFmtId="3" fontId="42" fillId="0" borderId="72" xfId="62" applyNumberFormat="1" applyFont="1" applyFill="1" applyBorder="1" applyAlignment="1">
      <alignment horizontal="center" wrapText="1"/>
    </xf>
    <xf numFmtId="174" fontId="0" fillId="0" borderId="72" xfId="0" applyBorder="1" applyAlignment="1">
      <alignment horizontal="center"/>
    </xf>
    <xf numFmtId="174" fontId="0" fillId="0" borderId="72" xfId="0" applyBorder="1" applyAlignment="1">
      <alignment horizontal="center" wrapText="1"/>
    </xf>
    <xf numFmtId="170" fontId="42" fillId="0" borderId="72" xfId="0" applyNumberFormat="1" applyFont="1" applyFill="1" applyBorder="1" applyAlignment="1">
      <alignment horizontal="center" wrapText="1"/>
    </xf>
    <xf numFmtId="174" fontId="0" fillId="0" borderId="73" xfId="0" applyFill="1" applyBorder="1" applyAlignment="1">
      <alignment horizontal="center" wrapText="1"/>
    </xf>
    <xf numFmtId="37" fontId="74" fillId="0" borderId="0" xfId="0" applyNumberFormat="1" applyFont="1" applyFill="1" applyBorder="1" applyAlignment="1">
      <alignment horizontal="left"/>
    </xf>
    <xf numFmtId="37" fontId="69" fillId="0" borderId="0" xfId="0" applyNumberFormat="1" applyFont="1" applyFill="1" applyBorder="1" applyAlignment="1">
      <alignment horizontal="right"/>
    </xf>
    <xf numFmtId="10" fontId="42" fillId="0" borderId="0" xfId="32" applyNumberFormat="1" applyFont="1" applyAlignment="1"/>
    <xf numFmtId="174" fontId="50" fillId="0" borderId="0" xfId="524" applyFont="1" applyAlignment="1">
      <alignment horizontal="left"/>
    </xf>
    <xf numFmtId="3" fontId="12" fillId="13" borderId="0" xfId="0" applyNumberFormat="1" applyFont="1" applyFill="1" applyAlignment="1"/>
    <xf numFmtId="3" fontId="42" fillId="0" borderId="0" xfId="62" applyNumberFormat="1" applyFont="1" applyBorder="1" applyAlignment="1">
      <alignment horizontal="center"/>
    </xf>
    <xf numFmtId="0" fontId="12" fillId="0" borderId="0" xfId="60" applyNumberFormat="1" applyFont="1" applyAlignment="1">
      <alignment horizontal="right"/>
    </xf>
    <xf numFmtId="174" fontId="0" fillId="0" borderId="0" xfId="0" applyAlignment="1">
      <alignment horizontal="center"/>
    </xf>
    <xf numFmtId="256" fontId="25" fillId="0" borderId="0" xfId="32" applyNumberFormat="1" applyFont="1" applyFill="1" applyAlignment="1">
      <alignment horizontal="right"/>
    </xf>
    <xf numFmtId="0" fontId="65" fillId="0" borderId="0" xfId="0" applyNumberFormat="1" applyFont="1" applyFill="1"/>
    <xf numFmtId="175" fontId="25" fillId="13" borderId="0" xfId="60" applyNumberFormat="1" applyFill="1" applyAlignment="1"/>
    <xf numFmtId="175" fontId="25" fillId="13" borderId="0" xfId="32" applyNumberFormat="1" applyFont="1" applyFill="1" applyAlignment="1"/>
    <xf numFmtId="0" fontId="0" fillId="0" borderId="0" xfId="60" applyFont="1" applyFill="1" applyAlignment="1">
      <alignment wrapText="1"/>
    </xf>
    <xf numFmtId="0" fontId="12" fillId="0" borderId="0" xfId="60" quotePrefix="1" applyNumberFormat="1" applyFont="1" applyAlignment="1" applyProtection="1">
      <alignment horizontal="center"/>
      <protection locked="0"/>
    </xf>
    <xf numFmtId="175" fontId="46" fillId="0" borderId="2" xfId="112" applyNumberFormat="1" applyFont="1" applyBorder="1" applyAlignment="1">
      <alignment horizontal="center"/>
    </xf>
    <xf numFmtId="175" fontId="46" fillId="0" borderId="0" xfId="112" applyNumberFormat="1" applyFont="1" applyBorder="1" applyAlignment="1">
      <alignment horizontal="center"/>
    </xf>
    <xf numFmtId="175" fontId="46" fillId="0" borderId="6" xfId="112" applyNumberFormat="1" applyFont="1" applyBorder="1" applyAlignment="1">
      <alignment horizontal="center"/>
    </xf>
    <xf numFmtId="171" fontId="46" fillId="13" borderId="2" xfId="112" applyNumberFormat="1" applyFont="1" applyFill="1" applyBorder="1" applyAlignment="1">
      <alignment horizontal="center"/>
    </xf>
    <xf numFmtId="171" fontId="46" fillId="13" borderId="0" xfId="112" applyNumberFormat="1" applyFont="1" applyFill="1" applyBorder="1" applyAlignment="1">
      <alignment horizontal="center"/>
    </xf>
    <xf numFmtId="171" fontId="46" fillId="13" borderId="6" xfId="63" applyNumberFormat="1" applyFont="1" applyFill="1" applyBorder="1" applyAlignment="1">
      <alignment horizontal="center"/>
    </xf>
    <xf numFmtId="257" fontId="46" fillId="0" borderId="19" xfId="112" applyNumberFormat="1" applyFont="1" applyBorder="1" applyAlignment="1">
      <alignment horizontal="center"/>
    </xf>
    <xf numFmtId="175" fontId="46" fillId="0" borderId="21" xfId="112" applyNumberFormat="1" applyFont="1" applyBorder="1" applyAlignment="1">
      <alignment horizontal="center"/>
    </xf>
    <xf numFmtId="175" fontId="46" fillId="0" borderId="23" xfId="112" applyNumberFormat="1" applyFont="1" applyBorder="1" applyAlignment="1">
      <alignment horizontal="center"/>
    </xf>
    <xf numFmtId="175" fontId="42" fillId="0" borderId="15" xfId="32" applyNumberFormat="1" applyFont="1" applyFill="1" applyBorder="1" applyAlignment="1" applyProtection="1">
      <alignment horizontal="center"/>
      <protection locked="0"/>
    </xf>
    <xf numFmtId="175" fontId="42" fillId="0" borderId="0" xfId="32" applyNumberFormat="1" applyFont="1" applyFill="1" applyBorder="1" applyAlignment="1">
      <alignment horizontal="center"/>
    </xf>
    <xf numFmtId="1" fontId="77" fillId="6" borderId="0" xfId="32" applyNumberFormat="1" applyFont="1" applyFill="1" applyBorder="1" applyAlignment="1">
      <alignment horizontal="center"/>
    </xf>
    <xf numFmtId="1" fontId="77" fillId="6" borderId="6" xfId="32" applyNumberFormat="1" applyFont="1" applyFill="1" applyBorder="1" applyAlignment="1">
      <alignment horizontal="center"/>
    </xf>
    <xf numFmtId="3" fontId="46" fillId="13" borderId="2" xfId="112" applyNumberFormat="1" applyFont="1" applyFill="1" applyBorder="1"/>
    <xf numFmtId="171" fontId="42" fillId="13" borderId="15" xfId="63" applyNumberFormat="1" applyFont="1" applyFill="1" applyBorder="1" applyAlignment="1" applyProtection="1">
      <protection locked="0"/>
    </xf>
    <xf numFmtId="179" fontId="42" fillId="13" borderId="15" xfId="32" applyNumberFormat="1" applyFont="1" applyFill="1" applyBorder="1" applyAlignment="1">
      <alignment horizontal="right"/>
    </xf>
    <xf numFmtId="181" fontId="42" fillId="0" borderId="15" xfId="32" applyNumberFormat="1" applyFont="1" applyFill="1" applyBorder="1" applyAlignment="1" applyProtection="1">
      <alignment horizontal="center"/>
      <protection locked="0"/>
    </xf>
    <xf numFmtId="258" fontId="42" fillId="0" borderId="15" xfId="32" applyNumberFormat="1" applyFont="1" applyFill="1" applyBorder="1" applyAlignment="1"/>
    <xf numFmtId="171" fontId="42" fillId="13" borderId="0" xfId="63" applyNumberFormat="1" applyFont="1" applyFill="1" applyBorder="1" applyAlignment="1"/>
    <xf numFmtId="181" fontId="42" fillId="0" borderId="0" xfId="32" applyNumberFormat="1" applyFont="1" applyFill="1" applyBorder="1" applyAlignment="1"/>
    <xf numFmtId="181" fontId="0" fillId="0" borderId="15" xfId="32" applyNumberFormat="1" applyFont="1" applyBorder="1" applyAlignment="1"/>
    <xf numFmtId="181" fontId="0" fillId="0" borderId="0" xfId="32" applyNumberFormat="1" applyFont="1" applyBorder="1" applyAlignment="1"/>
    <xf numFmtId="181" fontId="5" fillId="0" borderId="0" xfId="32" applyNumberFormat="1" applyFont="1" applyAlignment="1">
      <alignment wrapText="1"/>
    </xf>
    <xf numFmtId="10" fontId="5" fillId="13" borderId="0" xfId="63" applyNumberFormat="1" applyFont="1" applyFill="1" applyAlignment="1">
      <alignment horizontal="right" wrapText="1"/>
    </xf>
    <xf numFmtId="10" fontId="5" fillId="13" borderId="0" xfId="63" applyNumberFormat="1" applyFont="1" applyFill="1" applyAlignment="1">
      <alignment wrapText="1"/>
    </xf>
    <xf numFmtId="10" fontId="5" fillId="0" borderId="0" xfId="63" applyNumberFormat="1" applyFont="1" applyFill="1" applyAlignment="1">
      <alignment wrapText="1"/>
    </xf>
    <xf numFmtId="258" fontId="42" fillId="0" borderId="0" xfId="32" applyNumberFormat="1" applyFont="1" applyFill="1" applyBorder="1" applyAlignment="1"/>
    <xf numFmtId="175" fontId="42" fillId="0" borderId="0" xfId="32" applyNumberFormat="1" applyFont="1" applyFill="1" applyBorder="1" applyAlignment="1" applyProtection="1">
      <alignment horizontal="center"/>
      <protection locked="0"/>
    </xf>
    <xf numFmtId="170" fontId="0" fillId="0" borderId="4" xfId="0" applyNumberFormat="1" applyFill="1" applyBorder="1" applyAlignment="1"/>
    <xf numFmtId="10" fontId="0" fillId="0" borderId="0" xfId="63" applyNumberFormat="1" applyFont="1" applyAlignment="1"/>
    <xf numFmtId="0" fontId="25" fillId="0" borderId="0" xfId="60" applyFont="1" applyBorder="1" applyAlignment="1">
      <alignment horizontal="right"/>
    </xf>
    <xf numFmtId="0" fontId="25" fillId="0" borderId="0" xfId="60" quotePrefix="1" applyFont="1" applyFill="1" applyAlignment="1"/>
    <xf numFmtId="41" fontId="25" fillId="0" borderId="0" xfId="60" applyNumberFormat="1" applyFont="1" applyBorder="1" applyAlignment="1">
      <alignment horizontal="right"/>
    </xf>
    <xf numFmtId="0" fontId="48" fillId="0" borderId="0" xfId="55" applyFont="1" applyAlignment="1">
      <alignment horizontal="right"/>
    </xf>
    <xf numFmtId="175" fontId="48" fillId="0" borderId="74" xfId="55" applyNumberFormat="1" applyFont="1" applyBorder="1"/>
    <xf numFmtId="10" fontId="5" fillId="0" borderId="0" xfId="55" applyNumberFormat="1" applyFont="1"/>
    <xf numFmtId="175" fontId="48" fillId="0" borderId="75" xfId="55" applyNumberFormat="1" applyFont="1" applyBorder="1"/>
    <xf numFmtId="10" fontId="48" fillId="0" borderId="0" xfId="63" applyNumberFormat="1" applyFont="1"/>
    <xf numFmtId="0" fontId="12" fillId="0" borderId="0" xfId="60" applyNumberFormat="1" applyFont="1" applyAlignment="1">
      <alignment horizontal="right"/>
    </xf>
    <xf numFmtId="0" fontId="74" fillId="0" borderId="0" xfId="60" applyFont="1" applyFill="1" applyAlignment="1">
      <alignment horizontal="left" wrapText="1"/>
    </xf>
    <xf numFmtId="174" fontId="74" fillId="0" borderId="0" xfId="0" applyFont="1" applyFill="1" applyAlignment="1">
      <alignment horizontal="left" vertical="center" wrapText="1"/>
    </xf>
    <xf numFmtId="174" fontId="48" fillId="0" borderId="0" xfId="0" applyFont="1" applyFill="1" applyAlignment="1">
      <alignment horizontal="left" wrapText="1"/>
    </xf>
    <xf numFmtId="0" fontId="47" fillId="0" borderId="0" xfId="55" applyFont="1" applyAlignment="1">
      <alignment horizontal="center"/>
    </xf>
    <xf numFmtId="0" fontId="48" fillId="0" borderId="0" xfId="55" applyFont="1" applyFill="1" applyAlignment="1">
      <alignment horizontal="left" wrapText="1"/>
    </xf>
    <xf numFmtId="0" fontId="52" fillId="7" borderId="0" xfId="55" applyFont="1" applyFill="1" applyBorder="1" applyAlignment="1">
      <alignment horizontal="center" wrapText="1"/>
    </xf>
    <xf numFmtId="0" fontId="5" fillId="0" borderId="0" xfId="55" applyFont="1" applyBorder="1" applyAlignment="1">
      <alignment horizontal="center" wrapText="1"/>
    </xf>
    <xf numFmtId="0" fontId="76" fillId="7" borderId="16" xfId="55" applyFont="1" applyFill="1" applyBorder="1" applyAlignment="1">
      <alignment horizontal="center"/>
    </xf>
    <xf numFmtId="0" fontId="76" fillId="7" borderId="15" xfId="55" applyFont="1" applyFill="1" applyBorder="1" applyAlignment="1">
      <alignment horizontal="center"/>
    </xf>
    <xf numFmtId="0" fontId="76" fillId="7" borderId="14" xfId="55" applyFont="1" applyFill="1" applyBorder="1" applyAlignment="1">
      <alignment horizontal="center"/>
    </xf>
    <xf numFmtId="0" fontId="76"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81" fillId="12" borderId="16" xfId="55" applyFont="1" applyFill="1" applyBorder="1" applyAlignment="1">
      <alignment horizontal="center"/>
    </xf>
    <xf numFmtId="0" fontId="81" fillId="12" borderId="15" xfId="55" applyFont="1" applyFill="1" applyBorder="1" applyAlignment="1">
      <alignment horizontal="center"/>
    </xf>
    <xf numFmtId="0" fontId="81" fillId="12" borderId="14" xfId="55" applyFont="1" applyFill="1" applyBorder="1" applyAlignment="1">
      <alignment horizontal="center"/>
    </xf>
    <xf numFmtId="0" fontId="81" fillId="12" borderId="15" xfId="55" applyFont="1" applyFill="1" applyBorder="1" applyAlignment="1">
      <alignment horizontal="center" wrapText="1"/>
    </xf>
    <xf numFmtId="0" fontId="81" fillId="12" borderId="14" xfId="55" applyFont="1" applyFill="1" applyBorder="1" applyAlignment="1">
      <alignment horizontal="center" wrapText="1"/>
    </xf>
    <xf numFmtId="175" fontId="59" fillId="0" borderId="4" xfId="55" applyNumberFormat="1" applyFont="1" applyFill="1" applyBorder="1" applyAlignment="1">
      <alignment horizontal="center" wrapText="1"/>
    </xf>
    <xf numFmtId="175" fontId="59" fillId="0" borderId="12" xfId="55" applyNumberFormat="1"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30" fillId="0" borderId="0" xfId="55" applyFont="1" applyFill="1" applyBorder="1" applyAlignment="1">
      <alignment horizontal="center" wrapText="1"/>
    </xf>
    <xf numFmtId="0" fontId="30" fillId="0" borderId="9" xfId="55" applyFont="1" applyFill="1" applyBorder="1" applyAlignment="1">
      <alignment horizontal="center" wrapText="1"/>
    </xf>
    <xf numFmtId="0" fontId="51" fillId="7" borderId="15" xfId="55" applyFont="1" applyFill="1" applyBorder="1" applyAlignment="1">
      <alignment horizontal="center" wrapText="1"/>
    </xf>
    <xf numFmtId="0" fontId="51" fillId="7" borderId="14" xfId="55" applyFont="1" applyFill="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5" fillId="0" borderId="15" xfId="55" applyFont="1" applyFill="1" applyBorder="1" applyAlignment="1">
      <alignment horizontal="center" wrapText="1"/>
    </xf>
    <xf numFmtId="0" fontId="5" fillId="0" borderId="14" xfId="55" applyFont="1" applyFill="1" applyBorder="1" applyAlignment="1">
      <alignment horizontal="center" wrapText="1"/>
    </xf>
    <xf numFmtId="0" fontId="5" fillId="0" borderId="4" xfId="55" applyFont="1" applyFill="1" applyBorder="1" applyAlignment="1">
      <alignment horizontal="center" wrapText="1"/>
    </xf>
    <xf numFmtId="0" fontId="5" fillId="0" borderId="12" xfId="55" applyFont="1" applyFill="1" applyBorder="1" applyAlignment="1">
      <alignment horizontal="center" wrapText="1"/>
    </xf>
    <xf numFmtId="0" fontId="51" fillId="7" borderId="14" xfId="55" applyFont="1" applyFill="1" applyBorder="1" applyAlignment="1">
      <alignment horizontal="center"/>
    </xf>
    <xf numFmtId="0" fontId="51" fillId="7" borderId="15" xfId="55" applyFont="1" applyFill="1" applyBorder="1" applyAlignment="1">
      <alignment horizontal="right" wrapText="1"/>
    </xf>
    <xf numFmtId="0" fontId="51" fillId="7" borderId="14" xfId="55" applyFont="1" applyFill="1" applyBorder="1" applyAlignment="1">
      <alignment horizontal="right" wrapText="1"/>
    </xf>
    <xf numFmtId="0" fontId="5" fillId="0" borderId="0" xfId="55" applyFont="1" applyFill="1" applyBorder="1" applyAlignment="1">
      <alignment horizontal="center" wrapText="1"/>
    </xf>
    <xf numFmtId="0" fontId="5" fillId="0" borderId="9" xfId="55" applyFont="1" applyFill="1" applyBorder="1" applyAlignment="1">
      <alignment horizontal="center" wrapText="1"/>
    </xf>
    <xf numFmtId="0" fontId="51" fillId="12" borderId="10" xfId="55" applyFont="1" applyFill="1" applyBorder="1" applyAlignment="1">
      <alignment horizontal="center"/>
    </xf>
    <xf numFmtId="0" fontId="51" fillId="12" borderId="0" xfId="55" applyFont="1" applyFill="1" applyBorder="1" applyAlignment="1">
      <alignment horizontal="center"/>
    </xf>
    <xf numFmtId="0" fontId="51" fillId="7" borderId="0" xfId="55" applyFont="1" applyFill="1" applyBorder="1" applyAlignment="1">
      <alignment horizontal="center" wrapText="1"/>
    </xf>
    <xf numFmtId="0" fontId="5" fillId="0" borderId="9" xfId="55" applyFont="1" applyBorder="1" applyAlignment="1">
      <alignment horizontal="center" wrapText="1"/>
    </xf>
    <xf numFmtId="49" fontId="181" fillId="0" borderId="0" xfId="521" applyNumberFormat="1" applyFont="1" applyAlignment="1">
      <alignment horizontal="left" vertical="top" wrapText="1"/>
    </xf>
    <xf numFmtId="49" fontId="180" fillId="0" borderId="0" xfId="521" applyNumberFormat="1" applyFont="1" applyAlignment="1">
      <alignment horizontal="left" vertical="top" wrapText="1"/>
    </xf>
    <xf numFmtId="0" fontId="4" fillId="0" borderId="0" xfId="55" applyFont="1" applyAlignment="1">
      <alignment horizontal="center"/>
    </xf>
    <xf numFmtId="0" fontId="51" fillId="7" borderId="29" xfId="55" applyFont="1" applyFill="1" applyBorder="1" applyAlignment="1">
      <alignment horizontal="center"/>
    </xf>
    <xf numFmtId="0" fontId="51" fillId="7" borderId="17" xfId="55" applyFont="1" applyFill="1" applyBorder="1" applyAlignment="1">
      <alignment horizontal="center"/>
    </xf>
    <xf numFmtId="0" fontId="51" fillId="7" borderId="44" xfId="55" applyFont="1" applyFill="1" applyBorder="1" applyAlignment="1">
      <alignment horizontal="center"/>
    </xf>
    <xf numFmtId="0" fontId="51" fillId="7" borderId="17" xfId="55" applyFont="1" applyFill="1" applyBorder="1" applyAlignment="1">
      <alignment horizontal="center" wrapText="1"/>
    </xf>
    <xf numFmtId="0" fontId="5" fillId="0" borderId="17" xfId="55" applyFont="1" applyBorder="1" applyAlignment="1">
      <alignment horizontal="center" wrapText="1"/>
    </xf>
    <xf numFmtId="0" fontId="5" fillId="0" borderId="44" xfId="55" applyFont="1" applyBorder="1" applyAlignment="1">
      <alignment horizontal="center" wrapText="1"/>
    </xf>
    <xf numFmtId="0" fontId="5" fillId="7" borderId="15" xfId="55" applyFont="1" applyFill="1" applyBorder="1" applyAlignment="1">
      <alignment horizontal="center" wrapText="1"/>
    </xf>
    <xf numFmtId="0" fontId="5" fillId="7" borderId="14" xfId="55" applyFont="1" applyFill="1" applyBorder="1" applyAlignment="1">
      <alignment horizontal="center" wrapText="1"/>
    </xf>
    <xf numFmtId="0" fontId="49" fillId="7" borderId="0" xfId="55" applyFont="1" applyFill="1" applyBorder="1" applyAlignment="1">
      <alignment horizontal="left"/>
    </xf>
    <xf numFmtId="175" fontId="49" fillId="7" borderId="0" xfId="32" applyNumberFormat="1" applyFont="1" applyFill="1" applyBorder="1" applyAlignment="1">
      <alignment horizontal="center" wrapText="1"/>
    </xf>
    <xf numFmtId="175" fontId="76" fillId="7" borderId="0" xfId="32" applyNumberFormat="1" applyFont="1" applyFill="1" applyBorder="1" applyAlignment="1">
      <alignment horizontal="center" wrapText="1"/>
    </xf>
    <xf numFmtId="174" fontId="48" fillId="0" borderId="0" xfId="0" applyFont="1" applyFill="1" applyBorder="1" applyAlignment="1">
      <alignment horizontal="left" wrapText="1"/>
    </xf>
    <xf numFmtId="174" fontId="42" fillId="0" borderId="0" xfId="0" applyFont="1" applyFill="1" applyBorder="1" applyAlignment="1">
      <alignment horizontal="center"/>
    </xf>
    <xf numFmtId="174" fontId="0" fillId="13" borderId="7" xfId="0" applyFill="1" applyBorder="1" applyAlignment="1">
      <alignment horizontal="left"/>
    </xf>
    <xf numFmtId="174" fontId="0" fillId="13" borderId="7" xfId="0"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0" fontId="172" fillId="0" borderId="0" xfId="55" applyFont="1" applyFill="1" applyBorder="1" applyAlignment="1">
      <alignment horizontal="left"/>
    </xf>
    <xf numFmtId="174" fontId="71" fillId="0" borderId="0" xfId="0" applyFont="1" applyFill="1" applyAlignment="1">
      <alignment horizontal="left" vertical="top" wrapText="1"/>
    </xf>
    <xf numFmtId="0" fontId="7" fillId="0" borderId="0" xfId="55" applyFont="1" applyFill="1" applyAlignment="1">
      <alignment horizontal="center"/>
    </xf>
    <xf numFmtId="0" fontId="5" fillId="0" borderId="0" xfId="55" applyFill="1" applyAlignment="1">
      <alignment horizontal="center"/>
    </xf>
    <xf numFmtId="0" fontId="60" fillId="0" borderId="0" xfId="55" applyFont="1" applyFill="1" applyBorder="1" applyAlignment="1">
      <alignment horizontal="center"/>
    </xf>
    <xf numFmtId="0" fontId="74" fillId="0" borderId="0" xfId="53" applyFont="1" applyFill="1" applyBorder="1" applyAlignment="1">
      <alignment horizontal="center"/>
    </xf>
    <xf numFmtId="0" fontId="69" fillId="0" borderId="0" xfId="53" applyFont="1" applyFill="1" applyAlignment="1">
      <alignment horizontal="center"/>
    </xf>
    <xf numFmtId="0" fontId="69" fillId="0" borderId="0" xfId="53" applyFont="1" applyFill="1" applyAlignment="1"/>
    <xf numFmtId="0" fontId="74" fillId="0" borderId="0" xfId="53" applyFont="1" applyFill="1" applyBorder="1" applyAlignment="1">
      <alignment wrapText="1"/>
    </xf>
    <xf numFmtId="0" fontId="74" fillId="0" borderId="0" xfId="53" applyFont="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7" fillId="0" borderId="0" xfId="53" applyFont="1" applyFill="1" applyAlignment="1">
      <alignment horizontal="center"/>
    </xf>
    <xf numFmtId="0" fontId="4" fillId="0" borderId="0" xfId="53" applyFont="1" applyFill="1" applyAlignment="1">
      <alignment horizontal="center"/>
    </xf>
    <xf numFmtId="0" fontId="4" fillId="0" borderId="0" xfId="53" applyFont="1" applyFill="1" applyAlignment="1"/>
    <xf numFmtId="0" fontId="48" fillId="0" borderId="0" xfId="53" applyFont="1" applyFill="1" applyBorder="1" applyAlignment="1">
      <alignment wrapText="1"/>
    </xf>
    <xf numFmtId="174" fontId="62" fillId="0" borderId="0" xfId="0" applyFont="1" applyFill="1" applyAlignment="1">
      <alignment horizontal="center"/>
    </xf>
    <xf numFmtId="174" fontId="4" fillId="0" borderId="0" xfId="0" applyFont="1" applyFill="1" applyAlignment="1" applyProtection="1">
      <alignment horizontal="center"/>
      <protection locked="0"/>
    </xf>
    <xf numFmtId="0" fontId="5" fillId="0" borderId="0" xfId="111" applyFont="1" applyFill="1" applyAlignment="1">
      <alignment wrapText="1"/>
    </xf>
    <xf numFmtId="174" fontId="0" fillId="0" borderId="0" xfId="0" applyNumberFormat="1" applyFill="1" applyAlignment="1">
      <alignment wrapText="1"/>
    </xf>
    <xf numFmtId="0" fontId="5" fillId="0" borderId="0" xfId="111" applyFont="1" applyFill="1" applyAlignment="1">
      <alignment horizontal="left" vertical="center" wrapText="1"/>
    </xf>
    <xf numFmtId="174" fontId="7" fillId="0" borderId="0" xfId="0" applyFont="1" applyFill="1" applyAlignment="1" applyProtection="1">
      <alignment horizontal="center"/>
      <protection locked="0"/>
    </xf>
    <xf numFmtId="174" fontId="7" fillId="0" borderId="0" xfId="0" applyFont="1" applyFill="1" applyAlignment="1">
      <alignment horizontal="center"/>
    </xf>
    <xf numFmtId="174" fontId="65" fillId="10" borderId="16" xfId="0" applyFont="1" applyFill="1" applyBorder="1" applyAlignment="1" applyProtection="1">
      <alignment horizontal="center"/>
      <protection locked="0"/>
    </xf>
    <xf numFmtId="174" fontId="65" fillId="10" borderId="15" xfId="0" applyFont="1" applyFill="1" applyBorder="1" applyAlignment="1" applyProtection="1">
      <alignment horizontal="center"/>
      <protection locked="0"/>
    </xf>
    <xf numFmtId="174" fontId="65" fillId="10" borderId="14" xfId="0" applyFont="1" applyFill="1" applyBorder="1" applyAlignment="1" applyProtection="1">
      <alignment horizontal="center"/>
      <protection locked="0"/>
    </xf>
    <xf numFmtId="175" fontId="67" fillId="0" borderId="15" xfId="0" applyNumberFormat="1" applyFont="1" applyFill="1" applyBorder="1" applyAlignment="1" applyProtection="1">
      <alignment horizontal="center"/>
      <protection locked="0"/>
    </xf>
    <xf numFmtId="174" fontId="65" fillId="0" borderId="18" xfId="0" applyFont="1" applyFill="1" applyBorder="1" applyAlignment="1" applyProtection="1">
      <alignment horizontal="center"/>
      <protection locked="0"/>
    </xf>
    <xf numFmtId="174" fontId="65" fillId="0" borderId="2" xfId="0" applyFont="1" applyFill="1" applyBorder="1" applyAlignment="1" applyProtection="1">
      <alignment horizontal="center"/>
      <protection locked="0"/>
    </xf>
    <xf numFmtId="174" fontId="65" fillId="0" borderId="19" xfId="0" applyFont="1" applyFill="1" applyBorder="1" applyAlignment="1" applyProtection="1">
      <alignment horizontal="center"/>
      <protection locked="0"/>
    </xf>
    <xf numFmtId="0" fontId="4" fillId="0" borderId="0" xfId="0" applyNumberFormat="1" applyFont="1" applyAlignment="1">
      <alignment horizontal="center"/>
    </xf>
    <xf numFmtId="175" fontId="46" fillId="0" borderId="6" xfId="32" applyNumberFormat="1" applyFont="1" applyFill="1" applyBorder="1" applyAlignment="1">
      <alignment horizontal="center" wrapText="1"/>
    </xf>
    <xf numFmtId="175" fontId="46" fillId="0" borderId="0" xfId="32" applyNumberFormat="1" applyFont="1" applyFill="1" applyBorder="1" applyAlignment="1">
      <alignment horizontal="center" wrapText="1"/>
    </xf>
    <xf numFmtId="0" fontId="46" fillId="0" borderId="0" xfId="112" applyFont="1" applyFill="1" applyAlignment="1">
      <alignment horizontal="center"/>
    </xf>
    <xf numFmtId="174" fontId="46" fillId="0" borderId="0" xfId="0" applyFont="1" applyAlignment="1">
      <alignment horizontal="center"/>
    </xf>
    <xf numFmtId="174" fontId="46" fillId="0" borderId="0" xfId="0" applyFont="1" applyFill="1" applyAlignment="1">
      <alignment horizontal="center"/>
    </xf>
    <xf numFmtId="174" fontId="50" fillId="0" borderId="0" xfId="0" applyFont="1" applyFill="1" applyAlignment="1">
      <alignment horizontal="center"/>
    </xf>
    <xf numFmtId="0" fontId="46" fillId="0" borderId="62" xfId="521" applyFont="1" applyBorder="1" applyAlignment="1">
      <alignment horizontal="center" wrapText="1"/>
    </xf>
    <xf numFmtId="0" fontId="46" fillId="0" borderId="22" xfId="521" applyFont="1" applyBorder="1" applyAlignment="1">
      <alignment horizontal="center" wrapText="1"/>
    </xf>
    <xf numFmtId="0" fontId="46" fillId="0" borderId="18" xfId="521" applyFont="1" applyBorder="1" applyAlignment="1">
      <alignment horizontal="center" wrapText="1"/>
    </xf>
    <xf numFmtId="0" fontId="46" fillId="0" borderId="2" xfId="521" applyFont="1" applyBorder="1" applyAlignment="1">
      <alignment horizontal="left" wrapText="1"/>
    </xf>
    <xf numFmtId="0" fontId="46" fillId="0" borderId="6" xfId="521" applyFont="1" applyBorder="1" applyAlignment="1">
      <alignment horizontal="left" wrapText="1"/>
    </xf>
    <xf numFmtId="0" fontId="46" fillId="0" borderId="19" xfId="521" applyFont="1" applyBorder="1" applyAlignment="1">
      <alignment horizontal="center" wrapText="1"/>
    </xf>
    <xf numFmtId="0" fontId="46" fillId="0" borderId="23" xfId="521" applyFont="1" applyBorder="1" applyAlignment="1">
      <alignment horizontal="center" wrapText="1"/>
    </xf>
    <xf numFmtId="175" fontId="46" fillId="0" borderId="2" xfId="32" applyNumberFormat="1" applyFont="1" applyFill="1" applyBorder="1" applyAlignment="1">
      <alignment horizontal="center" wrapText="1"/>
    </xf>
    <xf numFmtId="174" fontId="50" fillId="0" borderId="0" xfId="524" applyFont="1" applyAlignment="1">
      <alignment horizontal="left"/>
    </xf>
    <xf numFmtId="17" fontId="46" fillId="0" borderId="2" xfId="112" applyNumberFormat="1" applyFont="1" applyBorder="1" applyAlignment="1">
      <alignment horizontal="center" wrapText="1"/>
    </xf>
    <xf numFmtId="17" fontId="46" fillId="0" borderId="6" xfId="112" applyNumberFormat="1" applyFont="1" applyBorder="1" applyAlignment="1">
      <alignment horizontal="center" wrapText="1"/>
    </xf>
    <xf numFmtId="17" fontId="46" fillId="0" borderId="19" xfId="112" applyNumberFormat="1" applyFont="1" applyBorder="1" applyAlignment="1">
      <alignment horizontal="center" wrapText="1"/>
    </xf>
    <xf numFmtId="17" fontId="46" fillId="0" borderId="23" xfId="112" applyNumberFormat="1" applyFont="1" applyBorder="1" applyAlignment="1">
      <alignment horizontal="center" wrapText="1"/>
    </xf>
    <xf numFmtId="0" fontId="46" fillId="0" borderId="18" xfId="112" applyFont="1" applyBorder="1" applyAlignment="1">
      <alignment horizontal="center" wrapText="1"/>
    </xf>
    <xf numFmtId="0" fontId="46" fillId="0" borderId="22" xfId="112" applyFont="1" applyBorder="1" applyAlignment="1">
      <alignment horizontal="center" wrapText="1"/>
    </xf>
    <xf numFmtId="0" fontId="46" fillId="0" borderId="2" xfId="112" applyFont="1" applyBorder="1" applyAlignment="1">
      <alignment horizontal="center" wrapText="1"/>
    </xf>
    <xf numFmtId="0" fontId="46" fillId="0" borderId="6" xfId="112" applyFont="1" applyBorder="1" applyAlignment="1">
      <alignment horizontal="center" wrapText="1"/>
    </xf>
  </cellXfs>
  <cellStyles count="527">
    <cellStyle name="$" xfId="115"/>
    <cellStyle name="$_DCF Shell 2" xfId="116"/>
    <cellStyle name="$_Model_Sep_2_02" xfId="117"/>
    <cellStyle name="$_Pipeline Model v1 (09_09_02) v3" xfId="118"/>
    <cellStyle name="%" xfId="119"/>
    <cellStyle name="?? [0]_VERA" xfId="120"/>
    <cellStyle name="?????_VERA" xfId="121"/>
    <cellStyle name="??_VERA" xfId="122"/>
    <cellStyle name="_0decimals" xfId="123"/>
    <cellStyle name="_1 0 2011 BP - Overlays v0 12" xfId="124"/>
    <cellStyle name="_1 1 OFTO t2 v0 2 (IBA def tax)" xfId="125"/>
    <cellStyle name="_2.0 Emergency Process" xfId="126"/>
    <cellStyle name="_ammonia emission calculation" xfId="127"/>
    <cellStyle name="_Berr Strading Analysis v 04 (2012 to 2020) v0 8 (no capex from 2012)" xfId="128"/>
    <cellStyle name="_Cement" xfId="129"/>
    <cellStyle name="_Comma" xfId="130"/>
    <cellStyle name="_Comma_CSC" xfId="131"/>
    <cellStyle name="_Comma_merger_plans_modified_9_3_1999" xfId="132"/>
    <cellStyle name="_Currency" xfId="133"/>
    <cellStyle name="_Currency_CSC" xfId="134"/>
    <cellStyle name="_Currency_merger_plans_modified_9_3_1999" xfId="135"/>
    <cellStyle name="_Currency_Model_Sep_2_02" xfId="136"/>
    <cellStyle name="_Currency_Pipeline Model v1 (09_09_02) v3" xfId="137"/>
    <cellStyle name="_CurrencySpace" xfId="138"/>
    <cellStyle name="_CurrencySpace_CSC" xfId="139"/>
    <cellStyle name="_CurrencySpace_merger_plans_modified_9_3_1999" xfId="140"/>
    <cellStyle name="_Group Impact Model - Output Sheet" xfId="141"/>
    <cellStyle name="_Multiple" xfId="142"/>
    <cellStyle name="_Multiple_CSC" xfId="143"/>
    <cellStyle name="_Multiple_merger_plans_modified_9_3_1999" xfId="144"/>
    <cellStyle name="_Multiple_Model_Sep_2_02" xfId="145"/>
    <cellStyle name="_Multiple_Pipeline Model v1 (09_09_02) v3" xfId="146"/>
    <cellStyle name="_MultipleSpace" xfId="147"/>
    <cellStyle name="_MultipleSpace_CSC" xfId="148"/>
    <cellStyle name="_MultipleSpace_merger_plans_modified_9_3_1999" xfId="149"/>
    <cellStyle name="_MultipleSpace_Model_Sep_2_02" xfId="150"/>
    <cellStyle name="_MultipleSpace_Pipeline Model v1 (09_09_02) v3" xfId="151"/>
    <cellStyle name="_NGM  Business Valuation Jan 10 v7 no links(sg)" xfId="152"/>
    <cellStyle name="_Oil Sands" xfId="153"/>
    <cellStyle name="_Payroll - Dave Moon v2" xfId="154"/>
    <cellStyle name="_Percent" xfId="155"/>
    <cellStyle name="_Percent_CSC" xfId="156"/>
    <cellStyle name="_Percent_merger_plans_modified_9_3_1999" xfId="157"/>
    <cellStyle name="_Percent_Model_Sep_2_02" xfId="158"/>
    <cellStyle name="_Percent_Pipeline Model v1 (09_09_02) v3" xfId="159"/>
    <cellStyle name="_PercentSpace" xfId="160"/>
    <cellStyle name="_PercentSpace_CSC" xfId="161"/>
    <cellStyle name="_PercentSpace_merger_plans_modified_9_3_1999" xfId="162"/>
    <cellStyle name="_PercentSpace_Model_Sep_2_02" xfId="163"/>
    <cellStyle name="_PercentSpace_Pipeline Model v1 (09_09_02) v3" xfId="164"/>
    <cellStyle name="_Refineries" xfId="165"/>
    <cellStyle name="_TableRowHead" xfId="166"/>
    <cellStyle name="_TableSuperHead" xfId="167"/>
    <cellStyle name="£ BP" xfId="168"/>
    <cellStyle name="£[2]" xfId="169"/>
    <cellStyle name="¥ JY" xfId="170"/>
    <cellStyle name="=C:\WINNT\SYSTEM32\COMMAND.COM" xfId="171"/>
    <cellStyle name="0" xfId="172"/>
    <cellStyle name="0_Credit Rating Ratios" xfId="173"/>
    <cellStyle name="0_Pension numbers in 09 Plan  Budget (3)" xfId="174"/>
    <cellStyle name="0DP" xfId="175"/>
    <cellStyle name="0DP bold" xfId="176"/>
    <cellStyle name="0DP_calcSens" xfId="177"/>
    <cellStyle name="1DP" xfId="178"/>
    <cellStyle name="1DP bold" xfId="179"/>
    <cellStyle name="2DP" xfId="180"/>
    <cellStyle name="2DP bold" xfId="181"/>
    <cellStyle name="3DP" xfId="182"/>
    <cellStyle name="Accent1 - 20%" xfId="183"/>
    <cellStyle name="Accent1 - 40%" xfId="184"/>
    <cellStyle name="Accent1 - 60%" xfId="185"/>
    <cellStyle name="Accent2 - 20%" xfId="186"/>
    <cellStyle name="Accent2 - 40%" xfId="187"/>
    <cellStyle name="Accent2 - 60%" xfId="188"/>
    <cellStyle name="Accent3 - 20%" xfId="189"/>
    <cellStyle name="Accent3 - 40%" xfId="190"/>
    <cellStyle name="Accent3 - 60%" xfId="191"/>
    <cellStyle name="Accent4 - 20%" xfId="192"/>
    <cellStyle name="Accent4 - 40%" xfId="193"/>
    <cellStyle name="Accent4 - 60%" xfId="194"/>
    <cellStyle name="Accent5 - 20%" xfId="195"/>
    <cellStyle name="Accent5 - 40%" xfId="196"/>
    <cellStyle name="Accent5 - 60%" xfId="197"/>
    <cellStyle name="Accent6 - 20%" xfId="198"/>
    <cellStyle name="Accent6 - 40%" xfId="199"/>
    <cellStyle name="Accent6 - 60%" xfId="200"/>
    <cellStyle name="Actual Date" xfId="201"/>
    <cellStyle name="ÅëÈ­ [0]_±âÅ¸" xfId="202"/>
    <cellStyle name="ÅëÈ­_±âÅ¸" xfId="203"/>
    <cellStyle name="AFE" xfId="204"/>
    <cellStyle name="ÄÞ¸¶ [0]_±âÅ¸" xfId="205"/>
    <cellStyle name="ÄÞ¸¶_±âÅ¸" xfId="206"/>
    <cellStyle name="BMDate" xfId="207"/>
    <cellStyle name="BMHeading" xfId="208"/>
    <cellStyle name="BMInputNormal" xfId="209"/>
    <cellStyle name="BMMultiple" xfId="210"/>
    <cellStyle name="BMPercent" xfId="211"/>
    <cellStyle name="Body" xfId="212"/>
    <cellStyle name="Bold/Border" xfId="213"/>
    <cellStyle name="BooleanYorN" xfId="214"/>
    <cellStyle name="Bullet" xfId="215"/>
    <cellStyle name="c" xfId="216"/>
    <cellStyle name="c_Bal Sheets" xfId="217"/>
    <cellStyle name="c_Credit (2)" xfId="218"/>
    <cellStyle name="c_Earnings" xfId="219"/>
    <cellStyle name="c_Earnings (2)" xfId="220"/>
    <cellStyle name="c_finsumm" xfId="221"/>
    <cellStyle name="c_GoroWipTax-to2050_fromCo_Oct21_99" xfId="222"/>
    <cellStyle name="c_HardInc " xfId="223"/>
    <cellStyle name="c_Hist Inputs (2)" xfId="224"/>
    <cellStyle name="c_IEL_finsumm" xfId="225"/>
    <cellStyle name="c_IEL_finsumm1" xfId="226"/>
    <cellStyle name="c_LBO Summary" xfId="227"/>
    <cellStyle name="c_Schedules" xfId="228"/>
    <cellStyle name="c_Trans Assump (2)" xfId="229"/>
    <cellStyle name="c_Unit Price Sen. (2)" xfId="230"/>
    <cellStyle name="Ç¥ÁØ_¿ù°£¿ä¾àº¸°í" xfId="231"/>
    <cellStyle name="C00A" xfId="1"/>
    <cellStyle name="C00B" xfId="2"/>
    <cellStyle name="C00L" xfId="3"/>
    <cellStyle name="C01A" xfId="4"/>
    <cellStyle name="C01B" xfId="5"/>
    <cellStyle name="C01H" xfId="6"/>
    <cellStyle name="C01L" xfId="7"/>
    <cellStyle name="C02A" xfId="8"/>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6A" xfId="24"/>
    <cellStyle name="C06B" xfId="25"/>
    <cellStyle name="C06H" xfId="26"/>
    <cellStyle name="C06L" xfId="27"/>
    <cellStyle name="C07A" xfId="28"/>
    <cellStyle name="C07B" xfId="29"/>
    <cellStyle name="C07H" xfId="30"/>
    <cellStyle name="C07L" xfId="31"/>
    <cellStyle name="Calc Currency (0)" xfId="232"/>
    <cellStyle name="CalcInput" xfId="233"/>
    <cellStyle name="Calcs" xfId="234"/>
    <cellStyle name="column Head Underlined" xfId="235"/>
    <cellStyle name="Column Heading" xfId="236"/>
    <cellStyle name="Comma" xfId="32" builtinId="3"/>
    <cellStyle name="Comma  - Style1" xfId="237"/>
    <cellStyle name="Comma  - Style2" xfId="238"/>
    <cellStyle name="Comma  - Style3" xfId="239"/>
    <cellStyle name="Comma  - Style4" xfId="240"/>
    <cellStyle name="Comma  - Style5" xfId="241"/>
    <cellStyle name="Comma  - Style6" xfId="242"/>
    <cellStyle name="Comma  - Style7" xfId="243"/>
    <cellStyle name="Comma  - Style8" xfId="244"/>
    <cellStyle name="Comma (0)" xfId="245"/>
    <cellStyle name="Comma [0]" xfId="33" builtinId="6"/>
    <cellStyle name="Comma [1]" xfId="246"/>
    <cellStyle name="Comma [2]" xfId="247"/>
    <cellStyle name="Comma [3]" xfId="248"/>
    <cellStyle name="Comma 0" xfId="249"/>
    <cellStyle name="Comma 0*" xfId="250"/>
    <cellStyle name="Comma 0_Model_Sep_2_02" xfId="251"/>
    <cellStyle name="Comma 2" xfId="34"/>
    <cellStyle name="Comma 2 2" xfId="35"/>
    <cellStyle name="Comma 2*" xfId="252"/>
    <cellStyle name="Comma 2_Model_Sep_2_02" xfId="253"/>
    <cellStyle name="Comma 3" xfId="36"/>
    <cellStyle name="Comma 3 2" xfId="37"/>
    <cellStyle name="Comma 3*" xfId="254"/>
    <cellStyle name="Comma 4" xfId="38"/>
    <cellStyle name="Comma 5" xfId="113"/>
    <cellStyle name="Comma 6" xfId="522"/>
    <cellStyle name="Comma*" xfId="255"/>
    <cellStyle name="comma[0]" xfId="256"/>
    <cellStyle name="Comma0" xfId="39"/>
    <cellStyle name="CompanyName" xfId="257"/>
    <cellStyle name="Config Data" xfId="40"/>
    <cellStyle name="Copied" xfId="258"/>
    <cellStyle name="Copy0_" xfId="259"/>
    <cellStyle name="Copy1_" xfId="260"/>
    <cellStyle name="Copy2_" xfId="261"/>
    <cellStyle name="Currency" xfId="41" builtinId="4"/>
    <cellStyle name="Currency [0.00]" xfId="262"/>
    <cellStyle name="Currency 0" xfId="263"/>
    <cellStyle name="Currency 2" xfId="42"/>
    <cellStyle name="Currency 2 2" xfId="43"/>
    <cellStyle name="Currency 2*" xfId="264"/>
    <cellStyle name="Currency 2_Model_Sep_2_02" xfId="265"/>
    <cellStyle name="Currency 3" xfId="44"/>
    <cellStyle name="Currency 3 2" xfId="45"/>
    <cellStyle name="Currency 3*" xfId="266"/>
    <cellStyle name="Currency 4" xfId="523"/>
    <cellStyle name="Currency*" xfId="267"/>
    <cellStyle name="Currency0" xfId="46"/>
    <cellStyle name="Dash" xfId="268"/>
    <cellStyle name="Date" xfId="47"/>
    <cellStyle name="Date Aligned" xfId="269"/>
    <cellStyle name="Date Aligned*" xfId="270"/>
    <cellStyle name="Date Aligned_Model_Sep_2_02" xfId="271"/>
    <cellStyle name="Date_1 1 OFTO t2 v0 2 (IBA def tax)" xfId="272"/>
    <cellStyle name="Dec places 0" xfId="273"/>
    <cellStyle name="Dec places 1, millions" xfId="274"/>
    <cellStyle name="Dec places 2" xfId="275"/>
    <cellStyle name="Dec places 2, millions" xfId="276"/>
    <cellStyle name="Dezimal [0]_Compiling Utility Macros" xfId="277"/>
    <cellStyle name="Dezimal_Compiling Utility Macros" xfId="278"/>
    <cellStyle name="dollar" xfId="279"/>
    <cellStyle name="dollar[0]" xfId="280"/>
    <cellStyle name="dollar_Model_Sep_2_02" xfId="281"/>
    <cellStyle name="Dotted Line" xfId="282"/>
    <cellStyle name="DP 0, no commas" xfId="283"/>
    <cellStyle name="Emphasis 1" xfId="284"/>
    <cellStyle name="Emphasis 2" xfId="285"/>
    <cellStyle name="Emphasis 3" xfId="286"/>
    <cellStyle name="Entered" xfId="287"/>
    <cellStyle name="Euro" xfId="288"/>
    <cellStyle name="EYBlocked" xfId="289"/>
    <cellStyle name="EYCallUp" xfId="290"/>
    <cellStyle name="EYCheck" xfId="291"/>
    <cellStyle name="EYDate" xfId="292"/>
    <cellStyle name="EYDeviant" xfId="293"/>
    <cellStyle name="EYHeader1" xfId="294"/>
    <cellStyle name="EYHeader2" xfId="295"/>
    <cellStyle name="EYHeader3" xfId="296"/>
    <cellStyle name="EYInputDate" xfId="297"/>
    <cellStyle name="EYInputPercent" xfId="298"/>
    <cellStyle name="EYInputValue" xfId="299"/>
    <cellStyle name="EYNormal" xfId="300"/>
    <cellStyle name="EYPercent" xfId="301"/>
    <cellStyle name="EYPercentCapped" xfId="302"/>
    <cellStyle name="EYSubTotal" xfId="303"/>
    <cellStyle name="EYTotal" xfId="304"/>
    <cellStyle name="EYWIP" xfId="305"/>
    <cellStyle name="Fixed" xfId="48"/>
    <cellStyle name="FOOTER - Style1" xfId="306"/>
    <cellStyle name="Footnote" xfId="307"/>
    <cellStyle name="FORECAST" xfId="308"/>
    <cellStyle name="From" xfId="309"/>
    <cellStyle name="General" xfId="310"/>
    <cellStyle name="Grey" xfId="311"/>
    <cellStyle name="Hard Percent" xfId="312"/>
    <cellStyle name="Header" xfId="313"/>
    <cellStyle name="Header1" xfId="314"/>
    <cellStyle name="Header2" xfId="315"/>
    <cellStyle name="Heading 1" xfId="49" builtinId="16" customBuiltin="1"/>
    <cellStyle name="Heading 2" xfId="50" builtinId="17" customBuiltin="1"/>
    <cellStyle name="Heading1" xfId="51"/>
    <cellStyle name="Heading2" xfId="52"/>
    <cellStyle name="HEADINGS" xfId="316"/>
    <cellStyle name="HIGHLIGHT" xfId="317"/>
    <cellStyle name="Hyperlink" xfId="520" builtinId="8"/>
    <cellStyle name="Incomplete" xfId="318"/>
    <cellStyle name="Input [yellow]" xfId="319"/>
    <cellStyle name="InputBlueFont" xfId="320"/>
    <cellStyle name="InputData" xfId="321"/>
    <cellStyle name="InputNegative" xfId="322"/>
    <cellStyle name="Integer" xfId="323"/>
    <cellStyle name="MACRO" xfId="324"/>
    <cellStyle name="Main Heading" xfId="325"/>
    <cellStyle name="Main Title" xfId="326"/>
    <cellStyle name="MAND_x000a_CHECK.COMMAND_x000e_RENAME.COMMAND_x0008_SHOW.BAR_x000b_DELETE.MENU_x000e_DELETE.COMMAND_x000e_GET.CHA" xfId="327"/>
    <cellStyle name="Model" xfId="328"/>
    <cellStyle name="mult" xfId="329"/>
    <cellStyle name="Multiple" xfId="330"/>
    <cellStyle name="MultipleBelow" xfId="331"/>
    <cellStyle name="NGBlocked" xfId="332"/>
    <cellStyle name="NGCallUp" xfId="333"/>
    <cellStyle name="NGCheck" xfId="334"/>
    <cellStyle name="NGDate" xfId="335"/>
    <cellStyle name="NGDeviant" xfId="336"/>
    <cellStyle name="NGHeader1" xfId="337"/>
    <cellStyle name="NGHeader2" xfId="338"/>
    <cellStyle name="NGHeader3" xfId="339"/>
    <cellStyle name="NGInputDate" xfId="340"/>
    <cellStyle name="NGInputPercent" xfId="341"/>
    <cellStyle name="NGInputValue" xfId="342"/>
    <cellStyle name="NGNormal" xfId="343"/>
    <cellStyle name="NGPercent" xfId="344"/>
    <cellStyle name="NGPercentCapped" xfId="345"/>
    <cellStyle name="NGSubTotal" xfId="346"/>
    <cellStyle name="NGTotal" xfId="347"/>
    <cellStyle name="NGWIP" xfId="348"/>
    <cellStyle name="no dec" xfId="349"/>
    <cellStyle name="Normal" xfId="0" builtinId="0"/>
    <cellStyle name="Normal - Style1" xfId="350"/>
    <cellStyle name="Normal (0)" xfId="351"/>
    <cellStyle name="Normal (0) U" xfId="352"/>
    <cellStyle name="Normal (0) UD" xfId="353"/>
    <cellStyle name="Normal (1)" xfId="354"/>
    <cellStyle name="Normal (2)" xfId="355"/>
    <cellStyle name="Normal (3)" xfId="356"/>
    <cellStyle name="Normal 2" xfId="53"/>
    <cellStyle name="Normal 3" xfId="54"/>
    <cellStyle name="Normal 3 2" xfId="55"/>
    <cellStyle name="Normal 3_Attach O, GG, Support -New Method 2-14-11" xfId="56"/>
    <cellStyle name="Normal 4" xfId="57"/>
    <cellStyle name="Normal 4 2" xfId="58"/>
    <cellStyle name="Normal 5" xfId="112"/>
    <cellStyle name="Normal 5 2" xfId="524"/>
    <cellStyle name="Normal 6" xfId="526"/>
    <cellStyle name="Normal 6 2" xfId="525"/>
    <cellStyle name="Normal 7" xfId="59"/>
    <cellStyle name="Normal 8" xfId="521"/>
    <cellStyle name="Normal dotted under" xfId="357"/>
    <cellStyle name="Normal U" xfId="358"/>
    <cellStyle name="Normal_21 Exh B" xfId="60"/>
    <cellStyle name="Normal_AR workpaper --2002 Def Tax Exp by Account 8-14-02" xfId="61"/>
    <cellStyle name="Normal_Attachment Os for 2002 True-up" xfId="62"/>
    <cellStyle name="Normal_Duquesne Settled Fromula 10-3-07" xfId="111"/>
    <cellStyle name="Normal3d" xfId="359"/>
    <cellStyle name="NormalGB" xfId="360"/>
    <cellStyle name="Number" xfId="361"/>
    <cellStyle name="Output Amounts" xfId="362"/>
    <cellStyle name="Output Column Headings" xfId="363"/>
    <cellStyle name="Output Line Items" xfId="364"/>
    <cellStyle name="Output Report Heading" xfId="365"/>
    <cellStyle name="Output Report Title" xfId="366"/>
    <cellStyle name="Output1_Back" xfId="367"/>
    <cellStyle name="Page Number" xfId="368"/>
    <cellStyle name="PAGE6" xfId="369"/>
    <cellStyle name="Percent" xfId="63" builtinId="5"/>
    <cellStyle name="Percent [2]" xfId="370"/>
    <cellStyle name="Percent 2" xfId="64"/>
    <cellStyle name="Percent 2 2" xfId="65"/>
    <cellStyle name="Percent 2 DP" xfId="371"/>
    <cellStyle name="Percent 3" xfId="66"/>
    <cellStyle name="Percent 3 2" xfId="67"/>
    <cellStyle name="Percent 4" xfId="68"/>
    <cellStyle name="Percent 5" xfId="114"/>
    <cellStyle name="Percent Input" xfId="372"/>
    <cellStyle name="Percent(0)" xfId="373"/>
    <cellStyle name="Percent(1)" xfId="374"/>
    <cellStyle name="Percent(2)" xfId="375"/>
    <cellStyle name="Percent*" xfId="376"/>
    <cellStyle name="Percent[1]" xfId="377"/>
    <cellStyle name="Percent[2]" xfId="378"/>
    <cellStyle name="Percent[2D]" xfId="379"/>
    <cellStyle name="PROTECTED" xfId="380"/>
    <cellStyle name="PSChar" xfId="69"/>
    <cellStyle name="PSDate" xfId="70"/>
    <cellStyle name="PSDec" xfId="71"/>
    <cellStyle name="PSdesc" xfId="72"/>
    <cellStyle name="PSHeading" xfId="73"/>
    <cellStyle name="PSInt" xfId="74"/>
    <cellStyle name="PSSpacer" xfId="75"/>
    <cellStyle name="PStest" xfId="76"/>
    <cellStyle name="R00A" xfId="77"/>
    <cellStyle name="R00B" xfId="78"/>
    <cellStyle name="R00L" xfId="79"/>
    <cellStyle name="R01A" xfId="80"/>
    <cellStyle name="R01B" xfId="81"/>
    <cellStyle name="R01H" xfId="82"/>
    <cellStyle name="R01L" xfId="83"/>
    <cellStyle name="R02A" xfId="84"/>
    <cellStyle name="R02B" xfId="85"/>
    <cellStyle name="R02H" xfId="86"/>
    <cellStyle name="R02L" xfId="87"/>
    <cellStyle name="R03A" xfId="88"/>
    <cellStyle name="R03B" xfId="89"/>
    <cellStyle name="R03H" xfId="90"/>
    <cellStyle name="R03L" xfId="91"/>
    <cellStyle name="R04A" xfId="92"/>
    <cellStyle name="R04B" xfId="93"/>
    <cellStyle name="R04H" xfId="94"/>
    <cellStyle name="R04L" xfId="95"/>
    <cellStyle name="R05A" xfId="96"/>
    <cellStyle name="R05B" xfId="97"/>
    <cellStyle name="R05H" xfId="98"/>
    <cellStyle name="R05L" xfId="99"/>
    <cellStyle name="R06A" xfId="100"/>
    <cellStyle name="R06B" xfId="101"/>
    <cellStyle name="R06H" xfId="102"/>
    <cellStyle name="R06L" xfId="103"/>
    <cellStyle name="R07A" xfId="104"/>
    <cellStyle name="R07B" xfId="105"/>
    <cellStyle name="R07H" xfId="106"/>
    <cellStyle name="R07L" xfId="107"/>
    <cellStyle name="RangeName" xfId="381"/>
    <cellStyle name="RevList" xfId="382"/>
    <cellStyle name="s" xfId="383"/>
    <cellStyle name="s_B" xfId="384"/>
    <cellStyle name="s_Bal Sheets" xfId="385"/>
    <cellStyle name="s_Bal Sheets_1" xfId="386"/>
    <cellStyle name="s_Bal Sheets_2" xfId="387"/>
    <cellStyle name="s_Credit (2)" xfId="388"/>
    <cellStyle name="s_Credit (2)_1" xfId="389"/>
    <cellStyle name="s_Credit (2)_2" xfId="390"/>
    <cellStyle name="s_DCF Analysis for DPL" xfId="391"/>
    <cellStyle name="s_DCF Matrix" xfId="392"/>
    <cellStyle name="s_DCF Matrix_1" xfId="393"/>
    <cellStyle name="s_DCFLBO Code" xfId="394"/>
    <cellStyle name="s_DCFLBO Code_1" xfId="395"/>
    <cellStyle name="s_DPL Valuation1022" xfId="396"/>
    <cellStyle name="s_Earnings" xfId="397"/>
    <cellStyle name="s_Earnings (2)" xfId="398"/>
    <cellStyle name="s_Earnings (2)_1" xfId="399"/>
    <cellStyle name="s_Earnings_1" xfId="400"/>
    <cellStyle name="s_finsumm" xfId="401"/>
    <cellStyle name="s_finsumm_1" xfId="402"/>
    <cellStyle name="s_finsumm_2" xfId="403"/>
    <cellStyle name="s_GoroWipTax-to2050_fromCo_Oct21_99" xfId="404"/>
    <cellStyle name="s_HardInc " xfId="405"/>
    <cellStyle name="s_Hist Inputs (2)" xfId="406"/>
    <cellStyle name="s_Hist Inputs (2)_1" xfId="407"/>
    <cellStyle name="s_IEL_finsumm" xfId="408"/>
    <cellStyle name="s_IEL_finsumm_1" xfId="409"/>
    <cellStyle name="s_IEL_finsumm_2" xfId="410"/>
    <cellStyle name="s_IEL_finsumm1" xfId="411"/>
    <cellStyle name="s_IEL_finsumm1_1" xfId="412"/>
    <cellStyle name="s_IEL_finsumm1_2" xfId="413"/>
    <cellStyle name="s_Lbo" xfId="414"/>
    <cellStyle name="s_LBO Summary" xfId="415"/>
    <cellStyle name="s_LBO Summary_1" xfId="416"/>
    <cellStyle name="s_LBO Summary_2" xfId="417"/>
    <cellStyle name="s_Lbo_1" xfId="418"/>
    <cellStyle name="s_rvr_analysis_andrew" xfId="419"/>
    <cellStyle name="s_Schedules" xfId="420"/>
    <cellStyle name="s_Schedules_1" xfId="421"/>
    <cellStyle name="s_Trans Assump" xfId="422"/>
    <cellStyle name="s_Trans Assump (2)" xfId="423"/>
    <cellStyle name="s_Trans Assump (2)_1" xfId="424"/>
    <cellStyle name="s_Trans Assump_1" xfId="425"/>
    <cellStyle name="s_Trans Sum" xfId="426"/>
    <cellStyle name="s_Trans Sum_1" xfId="427"/>
    <cellStyle name="s_Unit Price Sen. (2)" xfId="428"/>
    <cellStyle name="s_Unit Price Sen. (2)_1" xfId="429"/>
    <cellStyle name="s_Unit Price Sen. (2)_2" xfId="430"/>
    <cellStyle name="Salomon Logo" xfId="431"/>
    <cellStyle name="SAPBEXaggData" xfId="432"/>
    <cellStyle name="SAPBEXaggDataEmph" xfId="433"/>
    <cellStyle name="SAPBEXaggItem" xfId="434"/>
    <cellStyle name="SAPBEXaggItemX" xfId="435"/>
    <cellStyle name="SAPBEXchaText" xfId="436"/>
    <cellStyle name="SAPBEXexcBad7" xfId="437"/>
    <cellStyle name="SAPBEXexcBad8" xfId="438"/>
    <cellStyle name="SAPBEXexcBad9" xfId="439"/>
    <cellStyle name="SAPBEXexcCritical4" xfId="440"/>
    <cellStyle name="SAPBEXexcCritical5" xfId="441"/>
    <cellStyle name="SAPBEXexcCritical6" xfId="442"/>
    <cellStyle name="SAPBEXexcGood1" xfId="443"/>
    <cellStyle name="SAPBEXexcGood2" xfId="444"/>
    <cellStyle name="SAPBEXexcGood3" xfId="445"/>
    <cellStyle name="SAPBEXfilterDrill" xfId="446"/>
    <cellStyle name="SAPBEXfilterItem" xfId="447"/>
    <cellStyle name="SAPBEXfilterText" xfId="448"/>
    <cellStyle name="SAPBEXformats" xfId="449"/>
    <cellStyle name="SAPBEXheaderItem" xfId="450"/>
    <cellStyle name="SAPBEXheaderText" xfId="451"/>
    <cellStyle name="SAPBEXHLevel0" xfId="452"/>
    <cellStyle name="SAPBEXHLevel0X" xfId="453"/>
    <cellStyle name="SAPBEXHLevel1" xfId="454"/>
    <cellStyle name="SAPBEXHLevel1X" xfId="455"/>
    <cellStyle name="SAPBEXHLevel2" xfId="456"/>
    <cellStyle name="SAPBEXHLevel2X" xfId="457"/>
    <cellStyle name="SAPBEXHLevel3" xfId="458"/>
    <cellStyle name="SAPBEXHLevel3X" xfId="459"/>
    <cellStyle name="SAPBEXinputData" xfId="460"/>
    <cellStyle name="SAPBEXItemHeader" xfId="461"/>
    <cellStyle name="SAPBEXresData" xfId="462"/>
    <cellStyle name="SAPBEXresDataEmph" xfId="463"/>
    <cellStyle name="SAPBEXresItem" xfId="464"/>
    <cellStyle name="SAPBEXresItemX" xfId="465"/>
    <cellStyle name="SAPBEXstdData" xfId="466"/>
    <cellStyle name="SAPBEXstdDataEmph" xfId="467"/>
    <cellStyle name="SAPBEXstdItem" xfId="468"/>
    <cellStyle name="SAPBEXstdItemX" xfId="469"/>
    <cellStyle name="SAPBEXtitle" xfId="470"/>
    <cellStyle name="SAPBEXunassignedItem" xfId="471"/>
    <cellStyle name="SAPBEXundefined" xfId="472"/>
    <cellStyle name="Sch_name" xfId="473"/>
    <cellStyle name="SECTION" xfId="108"/>
    <cellStyle name="Section Head" xfId="474"/>
    <cellStyle name="Separador de milhares_DADOS DO BALANCO" xfId="475"/>
    <cellStyle name="Shading" xfId="476"/>
    <cellStyle name="Sheet Header" xfId="477"/>
    <cellStyle name="Sheet Title" xfId="478"/>
    <cellStyle name="ShOut" xfId="479"/>
    <cellStyle name="sideways" xfId="480"/>
    <cellStyle name="SSN" xfId="481"/>
    <cellStyle name="Standaard_Blad1" xfId="482"/>
    <cellStyle name="Standard_Anpassen der Amortisation" xfId="483"/>
    <cellStyle name="Style 1" xfId="484"/>
    <cellStyle name="Style 2" xfId="485"/>
    <cellStyle name="Style 3" xfId="486"/>
    <cellStyle name="subhead" xfId="487"/>
    <cellStyle name="Subheading" xfId="488"/>
    <cellStyle name="Subtotal" xfId="489"/>
    <cellStyle name="Sub-total" xfId="490"/>
    <cellStyle name="swpBody01" xfId="491"/>
    <cellStyle name="System Defined" xfId="109"/>
    <cellStyle name="Table Head" xfId="492"/>
    <cellStyle name="Table Head Aligned" xfId="493"/>
    <cellStyle name="Table Head Blue" xfId="494"/>
    <cellStyle name="Table Head Green" xfId="495"/>
    <cellStyle name="Table Head_Val_Sum_Graph" xfId="496"/>
    <cellStyle name="Table Text" xfId="497"/>
    <cellStyle name="Table Title" xfId="498"/>
    <cellStyle name="Table Units" xfId="499"/>
    <cellStyle name="Table_Header" xfId="500"/>
    <cellStyle name="Text" xfId="501"/>
    <cellStyle name="Text 1" xfId="502"/>
    <cellStyle name="Text Head 1" xfId="503"/>
    <cellStyle name="Title Row" xfId="504"/>
    <cellStyle name="tons" xfId="505"/>
    <cellStyle name="Total" xfId="110" builtinId="25" customBuiltin="1"/>
    <cellStyle name="Total 1" xfId="506"/>
    <cellStyle name="Totals" xfId="507"/>
    <cellStyle name="Underline_Single" xfId="508"/>
    <cellStyle name="Unprot" xfId="509"/>
    <cellStyle name="Unprot$" xfId="510"/>
    <cellStyle name="Unprot_CurrencySKorea" xfId="511"/>
    <cellStyle name="Unprotect" xfId="512"/>
    <cellStyle name="UNPROTECTED" xfId="513"/>
    <cellStyle name="Währung [0]_Compiling Utility Macros" xfId="514"/>
    <cellStyle name="Währung_Compiling Utility Macros" xfId="515"/>
    <cellStyle name="Warning" xfId="516"/>
    <cellStyle name="x" xfId="517"/>
    <cellStyle name="year" xfId="518"/>
    <cellStyle name="YEARS" xfId="519"/>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33915"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371600"/>
          <a:ext cx="382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33916"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124200"/>
          <a:ext cx="2990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2"/>
  <sheetViews>
    <sheetView view="pageBreakPreview" zoomScale="60" zoomScaleNormal="100" workbookViewId="0"/>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8"/>
      <c r="H2" s="1"/>
      <c r="I2" s="5"/>
      <c r="J2" s="5"/>
      <c r="K2" s="5" t="s">
        <v>993</v>
      </c>
    </row>
    <row r="3" spans="1:11">
      <c r="A3" s="1"/>
      <c r="B3" s="2"/>
      <c r="C3" s="3"/>
      <c r="D3" s="2"/>
      <c r="E3" s="2"/>
      <c r="F3" s="2"/>
      <c r="G3" s="8"/>
      <c r="H3" s="5"/>
      <c r="I3" s="333"/>
      <c r="J3" s="1420"/>
      <c r="K3" s="1420"/>
    </row>
    <row r="4" spans="1:11">
      <c r="A4" s="1"/>
      <c r="B4" s="110"/>
      <c r="C4" s="1427" t="str">
        <f>'Appendix A'!E6</f>
        <v xml:space="preserve">Rate Formula Template </v>
      </c>
      <c r="D4" s="2"/>
      <c r="E4" s="2"/>
      <c r="F4" s="2"/>
      <c r="G4" s="8"/>
      <c r="H4" s="1"/>
      <c r="I4" s="1"/>
      <c r="J4" s="1"/>
      <c r="K4" s="6"/>
    </row>
    <row r="5" spans="1:11">
      <c r="A5" s="1"/>
      <c r="B5" s="11"/>
      <c r="C5" s="81" t="str">
        <f>'Appendix A'!E7</f>
        <v xml:space="preserve"> Utilizing FERC Form 1 Data</v>
      </c>
      <c r="D5" s="11"/>
      <c r="E5" s="11"/>
      <c r="F5" s="11"/>
      <c r="G5" s="8"/>
      <c r="H5" s="839"/>
      <c r="I5" s="840"/>
      <c r="J5" s="837"/>
      <c r="K5" s="838" t="str">
        <f>'Appendix A'!M7</f>
        <v>Projected Annual Transmission Revenue Requirement</v>
      </c>
    </row>
    <row r="6" spans="1:11">
      <c r="A6" s="2"/>
      <c r="B6" s="10"/>
      <c r="C6" s="10"/>
      <c r="D6" s="10"/>
      <c r="E6" s="10"/>
      <c r="F6" s="10"/>
      <c r="G6" s="10"/>
      <c r="H6" s="10"/>
      <c r="I6" s="522"/>
      <c r="J6" s="331"/>
      <c r="K6" s="329" t="str">
        <f>'Appendix A'!M8</f>
        <v>For the 12 months ended 12/31/____</v>
      </c>
    </row>
    <row r="7" spans="1:11">
      <c r="A7" s="1"/>
      <c r="C7" s="1421" t="str">
        <f>+'Appendix A'!E9</f>
        <v>New York Transco LLC</v>
      </c>
    </row>
    <row r="8" spans="1:11">
      <c r="A8" s="1"/>
      <c r="B8" s="1"/>
      <c r="C8" s="10"/>
    </row>
    <row r="12" spans="1:11">
      <c r="A12" t="s">
        <v>432</v>
      </c>
      <c r="C12" t="s">
        <v>999</v>
      </c>
    </row>
    <row r="13" spans="1:11">
      <c r="A13" t="s">
        <v>994</v>
      </c>
      <c r="C13" t="s">
        <v>1000</v>
      </c>
    </row>
    <row r="14" spans="1:11">
      <c r="A14" t="s">
        <v>995</v>
      </c>
      <c r="C14" t="s">
        <v>1001</v>
      </c>
    </row>
    <row r="15" spans="1:11">
      <c r="A15" t="s">
        <v>996</v>
      </c>
      <c r="C15" t="s">
        <v>1002</v>
      </c>
    </row>
    <row r="16" spans="1:11">
      <c r="A16" t="s">
        <v>508</v>
      </c>
      <c r="C16" t="s">
        <v>1010</v>
      </c>
    </row>
    <row r="17" spans="1:3">
      <c r="A17" t="s">
        <v>886</v>
      </c>
      <c r="C17" t="s">
        <v>1011</v>
      </c>
    </row>
    <row r="18" spans="1:3">
      <c r="A18" t="s">
        <v>1003</v>
      </c>
      <c r="C18" t="s">
        <v>1004</v>
      </c>
    </row>
    <row r="19" spans="1:3">
      <c r="A19" t="s">
        <v>320</v>
      </c>
      <c r="C19" t="s">
        <v>1005</v>
      </c>
    </row>
    <row r="20" spans="1:3">
      <c r="A20" t="s">
        <v>997</v>
      </c>
      <c r="C20" t="s">
        <v>1012</v>
      </c>
    </row>
    <row r="21" spans="1:3">
      <c r="A21" t="s">
        <v>998</v>
      </c>
      <c r="C21" t="s">
        <v>1006</v>
      </c>
    </row>
    <row r="22" spans="1:3">
      <c r="A22" t="s">
        <v>785</v>
      </c>
      <c r="C22" t="s">
        <v>1007</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41"/>
  <sheetViews>
    <sheetView tabSelected="1" view="pageBreakPreview" topLeftCell="C1" zoomScale="70" zoomScaleNormal="75" zoomScaleSheetLayoutView="70" workbookViewId="0">
      <selection activeCell="J15" sqref="J15"/>
    </sheetView>
  </sheetViews>
  <sheetFormatPr defaultColWidth="8.6328125" defaultRowHeight="15"/>
  <cols>
    <col min="1" max="1" width="6" style="1" customWidth="1"/>
    <col min="2" max="2" width="1.453125" style="1" customWidth="1"/>
    <col min="3" max="3" width="41.36328125" style="1" customWidth="1"/>
    <col min="4" max="4" width="25.90625" style="1" customWidth="1"/>
    <col min="5" max="5" width="18.36328125" style="1" customWidth="1"/>
    <col min="6" max="6" width="15.54296875" style="1" customWidth="1"/>
    <col min="7" max="7" width="7.90625" style="1" customWidth="1"/>
    <col min="8" max="8" width="15.36328125" style="1" bestFit="1" customWidth="1"/>
    <col min="9" max="9" width="7.1796875" style="1" customWidth="1"/>
    <col min="10" max="10" width="15.6328125" style="1" customWidth="1"/>
    <col min="11" max="11" width="8.90625" style="1" customWidth="1"/>
    <col min="12" max="12" width="10.1796875" style="1" customWidth="1"/>
    <col min="13" max="13" width="14.453125" style="1" customWidth="1"/>
    <col min="14" max="14" width="12" style="1" bestFit="1" customWidth="1"/>
    <col min="15" max="16384" width="8.63281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432</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33"/>
      <c r="L3" s="9"/>
      <c r="M3" s="9" t="s">
        <v>433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5"/>
      <c r="K4" s="9"/>
      <c r="L4" s="1466"/>
      <c r="M4" s="146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C5" s="2"/>
      <c r="D5" s="2"/>
      <c r="E5" s="3"/>
      <c r="F5" s="2"/>
      <c r="G5" s="2"/>
      <c r="H5" s="2"/>
      <c r="I5" s="8"/>
      <c r="J5" s="8"/>
      <c r="K5" s="10"/>
      <c r="L5" s="10"/>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t="s">
        <v>28</v>
      </c>
      <c r="D6" s="110"/>
      <c r="E6" s="110" t="s">
        <v>130</v>
      </c>
      <c r="F6" s="2"/>
      <c r="G6" s="2"/>
      <c r="H6" s="2"/>
      <c r="I6" s="8"/>
      <c r="M6" s="6"/>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2"/>
      <c r="D7" s="11" t="s">
        <v>29</v>
      </c>
      <c r="E7" s="11" t="s">
        <v>30</v>
      </c>
      <c r="F7" s="11"/>
      <c r="G7" s="11"/>
      <c r="H7" s="11"/>
      <c r="I7" s="8"/>
      <c r="J7" s="839"/>
      <c r="K7" s="840"/>
      <c r="L7" s="837"/>
      <c r="M7" s="838" t="s">
        <v>422</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c r="C8" s="10"/>
      <c r="D8" s="10"/>
      <c r="E8" s="10"/>
      <c r="F8" s="10"/>
      <c r="G8" s="10"/>
      <c r="H8" s="10"/>
      <c r="I8" s="10"/>
      <c r="J8" s="10"/>
      <c r="K8" s="522"/>
      <c r="L8" s="331"/>
      <c r="M8" s="329" t="s">
        <v>26</v>
      </c>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5.6">
      <c r="A9" s="12"/>
      <c r="C9" s="10"/>
      <c r="D9" s="10"/>
      <c r="E9" s="981" t="s">
        <v>550</v>
      </c>
      <c r="F9" s="10"/>
      <c r="G9" s="10"/>
      <c r="H9" s="10"/>
      <c r="I9" s="10"/>
      <c r="J9" s="10"/>
      <c r="L9" s="10"/>
      <c r="M9" s="9"/>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c r="A10" s="12"/>
      <c r="C10" s="10"/>
      <c r="D10" s="10"/>
      <c r="E10" s="78"/>
      <c r="F10" s="10"/>
      <c r="G10" s="10"/>
      <c r="H10" s="10"/>
      <c r="I10" s="10"/>
      <c r="J10" s="10"/>
      <c r="K10" s="10"/>
      <c r="L10" s="10"/>
      <c r="M10" s="6"/>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c r="A11" s="12"/>
      <c r="C11" s="10"/>
      <c r="D11" s="10"/>
      <c r="E11" s="13" t="s">
        <v>31</v>
      </c>
      <c r="F11" s="10"/>
      <c r="G11" s="10"/>
      <c r="H11" s="13" t="s">
        <v>32</v>
      </c>
      <c r="I11" s="10"/>
      <c r="J11" s="13" t="s">
        <v>33</v>
      </c>
      <c r="K11" s="10"/>
      <c r="L11" s="144"/>
      <c r="M11" s="144"/>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c r="A12" s="12"/>
      <c r="C12" s="10"/>
      <c r="D12" s="10"/>
      <c r="L12" s="120"/>
      <c r="M12" s="145"/>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c r="A13" s="12" t="s">
        <v>36</v>
      </c>
      <c r="C13" s="10"/>
      <c r="D13" s="10"/>
      <c r="E13" s="14"/>
      <c r="F13" s="10"/>
      <c r="G13" s="10"/>
      <c r="H13" s="10"/>
      <c r="I13" s="10"/>
      <c r="J13" s="4" t="s">
        <v>37</v>
      </c>
      <c r="K13" s="10"/>
      <c r="L13" s="122"/>
      <c r="M13" s="145"/>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5.6" thickBot="1">
      <c r="A14" s="15" t="s">
        <v>38</v>
      </c>
      <c r="C14" s="10"/>
      <c r="D14" s="10"/>
      <c r="E14" s="10"/>
      <c r="F14" s="10"/>
      <c r="G14" s="10"/>
      <c r="H14" s="10"/>
      <c r="I14" s="10"/>
      <c r="J14" s="16" t="s">
        <v>39</v>
      </c>
      <c r="K14" s="10"/>
      <c r="L14" s="145"/>
      <c r="M14" s="145"/>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c r="A15" s="12">
        <v>1</v>
      </c>
      <c r="C15" s="10" t="s">
        <v>247</v>
      </c>
      <c r="D15" s="10" t="str">
        <f>"(line "&amp;A189&amp;")"</f>
        <v>(line 74)</v>
      </c>
      <c r="E15" s="17"/>
      <c r="F15" s="10"/>
      <c r="G15" s="10"/>
      <c r="H15" s="68" t="s">
        <v>40</v>
      </c>
      <c r="I15" s="10"/>
      <c r="J15" s="156">
        <f>+J189</f>
        <v>25720312.010967042</v>
      </c>
      <c r="K15" s="10"/>
      <c r="L15" s="122"/>
      <c r="M15" s="153"/>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c r="A16" s="88"/>
      <c r="B16" s="69"/>
      <c r="C16" s="68"/>
      <c r="D16" s="68"/>
      <c r="E16" s="68"/>
      <c r="F16" s="68"/>
      <c r="G16" s="68"/>
      <c r="H16" s="68"/>
      <c r="I16" s="68"/>
      <c r="J16" s="525"/>
      <c r="K16" s="10"/>
      <c r="L16" s="122"/>
      <c r="M16" s="123"/>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c r="A17" s="12"/>
      <c r="C17" s="10"/>
      <c r="D17" s="10"/>
      <c r="E17" s="10"/>
      <c r="F17" s="10"/>
      <c r="G17" s="10"/>
      <c r="H17" s="10"/>
      <c r="I17" s="10"/>
      <c r="J17" s="185"/>
      <c r="K17" s="10"/>
      <c r="L17" s="122"/>
      <c r="M17" s="123"/>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5.6" thickBot="1">
      <c r="A18" s="12" t="s">
        <v>29</v>
      </c>
      <c r="C18" s="18" t="s">
        <v>41</v>
      </c>
      <c r="D18" s="19"/>
      <c r="E18" s="16" t="s">
        <v>42</v>
      </c>
      <c r="F18" s="11"/>
      <c r="G18" s="20" t="s">
        <v>43</v>
      </c>
      <c r="H18" s="20"/>
      <c r="I18" s="10"/>
      <c r="J18" s="185"/>
      <c r="K18" s="10"/>
      <c r="L18" s="122"/>
      <c r="M18" s="123"/>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c r="A19" s="12">
        <f>+A15+1</f>
        <v>2</v>
      </c>
      <c r="C19" s="18" t="str">
        <f>+'1 - Revenue Credits'!B14</f>
        <v>Total Revenue Credits</v>
      </c>
      <c r="D19" s="19" t="str">
        <f>"Attachment 1, line "&amp;'1 - Revenue Credits'!A14&amp;""</f>
        <v>Attachment 1, line 6</v>
      </c>
      <c r="E19" s="743">
        <f>+'1 - Revenue Credits'!D14</f>
        <v>0</v>
      </c>
      <c r="F19" s="11"/>
      <c r="G19" s="11" t="str">
        <f>+G80</f>
        <v>TP</v>
      </c>
      <c r="H19" s="741">
        <f>+H80</f>
        <v>1</v>
      </c>
      <c r="I19" s="11"/>
      <c r="J19" s="186">
        <f>+H19*E19</f>
        <v>0</v>
      </c>
      <c r="K19" s="10"/>
      <c r="L19" s="148"/>
      <c r="M19" s="129"/>
      <c r="N19" s="22"/>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c r="A20" s="12"/>
      <c r="C20" s="18"/>
      <c r="D20" s="19"/>
      <c r="E20" s="743"/>
      <c r="F20" s="11"/>
      <c r="G20" s="11"/>
      <c r="H20" s="741"/>
      <c r="I20" s="11"/>
      <c r="J20" s="186"/>
      <c r="K20" s="10"/>
      <c r="L20" s="148"/>
      <c r="M20" s="129"/>
      <c r="N20" s="22"/>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c r="A21" s="12">
        <v>3</v>
      </c>
      <c r="C21" s="18" t="s">
        <v>479</v>
      </c>
      <c r="D21" s="10" t="str">
        <f>"(line "&amp;A15&amp;" minus line "&amp;A19&amp;")"</f>
        <v>(line 1 minus line 2)</v>
      </c>
      <c r="E21" s="743"/>
      <c r="F21" s="11"/>
      <c r="G21" s="11"/>
      <c r="H21" s="741"/>
      <c r="I21" s="11"/>
      <c r="J21" s="186">
        <f>+J15-J19</f>
        <v>25720312.010967042</v>
      </c>
      <c r="K21" s="10"/>
      <c r="L21" s="148"/>
      <c r="M21" s="129"/>
      <c r="N21" s="22"/>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12"/>
      <c r="C22" s="18"/>
      <c r="D22" s="19"/>
      <c r="E22" s="743"/>
      <c r="F22" s="11"/>
      <c r="G22" s="11"/>
      <c r="H22" s="741"/>
      <c r="I22" s="11"/>
      <c r="J22" s="186"/>
      <c r="K22" s="10"/>
      <c r="L22" s="148"/>
      <c r="M22" s="129"/>
      <c r="N22" s="22"/>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108">
        <v>4</v>
      </c>
      <c r="B23" s="7"/>
      <c r="C23" s="18" t="s">
        <v>128</v>
      </c>
      <c r="D23" s="29" t="s">
        <v>320</v>
      </c>
      <c r="E23" s="743">
        <f>+'7 - True-Up'!I55</f>
        <v>0</v>
      </c>
      <c r="F23" s="10"/>
      <c r="G23" s="112" t="s">
        <v>158</v>
      </c>
      <c r="H23" s="21">
        <v>1</v>
      </c>
      <c r="I23" s="10"/>
      <c r="J23" s="168">
        <f>+H23*E23</f>
        <v>0</v>
      </c>
      <c r="K23" s="10"/>
      <c r="L23" s="120"/>
      <c r="M23" s="123"/>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108"/>
      <c r="B24" s="7"/>
      <c r="C24" s="18"/>
      <c r="D24" s="10"/>
      <c r="E24" s="26"/>
      <c r="F24" s="26"/>
      <c r="G24" s="26"/>
      <c r="H24" s="26"/>
      <c r="I24" s="26"/>
      <c r="J24" s="11"/>
      <c r="K24" s="10"/>
      <c r="L24" s="122"/>
      <c r="M24" s="123"/>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ht="15.6" thickBot="1">
      <c r="A25" s="88">
        <v>5</v>
      </c>
      <c r="C25" s="18" t="s">
        <v>480</v>
      </c>
      <c r="D25" s="10" t="str">
        <f>"(line "&amp;A21&amp;" plus line "&amp;A23&amp;")"</f>
        <v>(line 3 plus line 4)</v>
      </c>
      <c r="F25" s="11"/>
      <c r="G25" s="11"/>
      <c r="H25" s="11"/>
      <c r="I25" s="11"/>
      <c r="J25" s="27">
        <f>+J21+J23</f>
        <v>25720312.010967042</v>
      </c>
      <c r="K25" s="10"/>
      <c r="M25" s="154"/>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ht="15.6" thickTop="1">
      <c r="A26" s="12"/>
      <c r="D26" s="10"/>
      <c r="E26" s="25"/>
      <c r="F26" s="11"/>
      <c r="G26" s="11"/>
      <c r="H26" s="11"/>
      <c r="I26" s="11"/>
      <c r="K26" s="10"/>
      <c r="L26" s="122"/>
      <c r="M26" s="123"/>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12"/>
      <c r="D27" s="11"/>
      <c r="E27" s="26"/>
      <c r="F27" s="26"/>
      <c r="G27" s="26"/>
      <c r="H27" s="26"/>
      <c r="I27" s="26"/>
      <c r="J27" s="11"/>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s="120" customFormat="1">
      <c r="A28" s="119"/>
      <c r="C28" s="121"/>
      <c r="D28" s="122"/>
      <c r="E28" s="23"/>
      <c r="F28" s="122"/>
      <c r="G28" s="122"/>
      <c r="H28" s="122"/>
      <c r="I28" s="122"/>
      <c r="J28" s="23"/>
      <c r="K28" s="122"/>
      <c r="L28" s="122"/>
      <c r="M28" s="123"/>
      <c r="N28" s="123"/>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row>
    <row r="29" spans="1:61" s="120" customFormat="1">
      <c r="A29" s="119"/>
      <c r="C29" s="121"/>
      <c r="D29" s="122"/>
      <c r="E29" s="23"/>
      <c r="F29" s="122"/>
      <c r="G29" s="122"/>
      <c r="H29" s="122"/>
      <c r="I29" s="122"/>
      <c r="J29" s="23"/>
      <c r="K29" s="122"/>
      <c r="L29" s="122"/>
      <c r="M29" s="123"/>
      <c r="N29" s="123"/>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row>
    <row r="30" spans="1:61" s="120" customFormat="1">
      <c r="A30" s="119"/>
      <c r="C30" s="770"/>
      <c r="D30" s="770"/>
      <c r="E30" s="770"/>
      <c r="F30" s="77"/>
      <c r="G30" s="77"/>
      <c r="H30" s="80"/>
      <c r="I30" s="77"/>
      <c r="K30" s="122"/>
      <c r="L30" s="122"/>
      <c r="M30" s="126"/>
      <c r="N30" s="127"/>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row>
    <row r="31" spans="1:61" s="120" customFormat="1">
      <c r="A31" s="119"/>
      <c r="C31" s="121"/>
      <c r="D31" s="699"/>
      <c r="E31" s="86"/>
      <c r="F31" s="86"/>
      <c r="G31" s="86"/>
      <c r="H31" s="699"/>
      <c r="I31" s="86"/>
      <c r="K31" s="122"/>
      <c r="L31" s="122"/>
      <c r="M31" s="126"/>
      <c r="N31" s="123"/>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s="120" customFormat="1">
      <c r="A32" s="119"/>
      <c r="C32" s="23"/>
      <c r="D32" s="122"/>
      <c r="E32" s="777"/>
      <c r="F32" s="700"/>
      <c r="G32" s="701"/>
      <c r="H32" s="23"/>
      <c r="I32" s="122"/>
      <c r="K32" s="122"/>
      <c r="L32" s="122"/>
      <c r="M32" s="126"/>
      <c r="N32" s="123"/>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row>
    <row r="33" spans="1:61" s="120" customFormat="1">
      <c r="A33" s="119"/>
      <c r="C33" s="23"/>
      <c r="D33" s="122"/>
      <c r="E33" s="164"/>
      <c r="F33" s="122"/>
      <c r="H33" s="23"/>
      <c r="I33" s="122"/>
      <c r="K33" s="122"/>
      <c r="L33" s="122"/>
      <c r="M33" s="126"/>
      <c r="N33" s="123"/>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row>
    <row r="34" spans="1:61" s="120" customFormat="1">
      <c r="A34" s="119"/>
      <c r="B34" s="164"/>
      <c r="C34" s="164"/>
      <c r="D34" s="833"/>
      <c r="E34" s="758"/>
      <c r="F34" s="122"/>
      <c r="H34" s="165"/>
      <c r="I34" s="122"/>
      <c r="K34" s="165"/>
      <c r="L34" s="122"/>
      <c r="M34" s="126"/>
      <c r="N34" s="123"/>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row>
    <row r="35" spans="1:61" s="120" customFormat="1">
      <c r="A35" s="119"/>
      <c r="C35" s="23"/>
      <c r="D35" s="833"/>
      <c r="E35" s="758"/>
      <c r="F35" s="122"/>
      <c r="G35" s="122"/>
      <c r="H35" s="165"/>
      <c r="I35" s="122"/>
      <c r="K35" s="23"/>
      <c r="L35" s="128"/>
      <c r="M35" s="129"/>
      <c r="N35" s="130"/>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row>
    <row r="36" spans="1:61" s="120" customFormat="1">
      <c r="A36" s="119"/>
      <c r="C36" s="23"/>
      <c r="D36" s="833"/>
      <c r="E36" s="758"/>
      <c r="F36" s="122"/>
      <c r="G36" s="122"/>
      <c r="H36" s="165"/>
      <c r="I36" s="122"/>
      <c r="K36" s="122"/>
      <c r="L36" s="128"/>
      <c r="M36" s="129"/>
      <c r="N36" s="130"/>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row>
    <row r="37" spans="1:61" s="120" customFormat="1">
      <c r="A37" s="119"/>
      <c r="C37" s="121"/>
      <c r="D37" s="833"/>
      <c r="E37" s="759"/>
      <c r="F37" s="122"/>
      <c r="G37" s="122"/>
      <c r="H37" s="165"/>
      <c r="I37" s="122"/>
      <c r="K37" s="122"/>
      <c r="L37" s="122"/>
      <c r="M37" s="126"/>
      <c r="N37" s="123"/>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row>
    <row r="38" spans="1:61" s="120" customFormat="1">
      <c r="A38" s="119"/>
      <c r="C38" s="23"/>
      <c r="D38" s="153"/>
      <c r="E38" s="153"/>
      <c r="F38" s="122"/>
      <c r="G38" s="122"/>
      <c r="H38" s="167"/>
      <c r="I38" s="122"/>
      <c r="J38" s="23"/>
      <c r="K38" s="122"/>
      <c r="L38" s="118"/>
      <c r="M38" s="118"/>
      <c r="N38" s="12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row>
    <row r="39" spans="1:61" s="120" customFormat="1">
      <c r="A39" s="119"/>
      <c r="C39" s="131"/>
      <c r="D39" s="153"/>
      <c r="E39" s="153"/>
      <c r="F39" s="122"/>
      <c r="G39" s="122"/>
      <c r="H39" s="153"/>
      <c r="I39" s="122"/>
      <c r="J39" s="23"/>
      <c r="K39" s="122"/>
      <c r="L39" s="23"/>
      <c r="M39" s="23"/>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row>
    <row r="40" spans="1:61" s="120" customFormat="1">
      <c r="A40" s="119"/>
      <c r="C40" s="121"/>
      <c r="D40" s="122"/>
      <c r="E40" s="122"/>
      <c r="F40" s="122"/>
      <c r="G40" s="122"/>
      <c r="H40" s="122"/>
      <c r="I40" s="122"/>
      <c r="J40" s="23"/>
      <c r="K40" s="122"/>
      <c r="L40" s="122"/>
      <c r="M40" s="123"/>
      <c r="N40" s="123"/>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row>
    <row r="41" spans="1:61" s="120" customFormat="1">
      <c r="A41" s="119"/>
      <c r="C41" s="121"/>
      <c r="D41" s="153"/>
      <c r="E41" s="166"/>
      <c r="F41" s="122"/>
      <c r="G41" s="122"/>
      <c r="H41" s="166"/>
      <c r="I41" s="122"/>
      <c r="J41" s="132"/>
      <c r="K41" s="122"/>
      <c r="L41" s="122"/>
      <c r="M41" s="132"/>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row>
    <row r="42" spans="1:61" s="120" customFormat="1">
      <c r="A42" s="119"/>
      <c r="C42" s="121"/>
      <c r="D42" s="122"/>
      <c r="F42" s="122"/>
      <c r="G42" s="122"/>
      <c r="H42" s="122"/>
      <c r="I42" s="122"/>
      <c r="J42" s="132"/>
      <c r="K42" s="122"/>
      <c r="L42" s="122"/>
      <c r="M42" s="132"/>
      <c r="N42" s="123"/>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row>
    <row r="43" spans="1:61" s="120" customFormat="1">
      <c r="A43" s="119"/>
      <c r="C43" s="121"/>
      <c r="D43" s="122"/>
      <c r="E43" s="132"/>
      <c r="F43" s="122"/>
      <c r="G43" s="122"/>
      <c r="H43" s="122"/>
      <c r="I43" s="122"/>
      <c r="J43" s="125"/>
      <c r="K43" s="122"/>
      <c r="L43" s="122"/>
      <c r="M43" s="123"/>
      <c r="N43" s="123"/>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row>
    <row r="44" spans="1:61" s="120" customFormat="1">
      <c r="A44" s="119"/>
      <c r="C44" s="121"/>
      <c r="D44" s="122"/>
      <c r="E44" s="133"/>
      <c r="F44" s="122"/>
      <c r="G44" s="122"/>
      <c r="H44" s="122"/>
      <c r="I44" s="122"/>
      <c r="J44" s="134"/>
      <c r="K44" s="122"/>
      <c r="L44" s="122"/>
      <c r="M44" s="123"/>
      <c r="N44" s="123"/>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row>
    <row r="45" spans="1:61" s="120" customFormat="1">
      <c r="A45" s="119"/>
      <c r="C45" s="121"/>
      <c r="D45" s="122"/>
      <c r="E45" s="132"/>
      <c r="F45" s="122"/>
      <c r="G45" s="122"/>
      <c r="H45" s="122"/>
      <c r="I45" s="122"/>
      <c r="J45" s="125"/>
      <c r="K45" s="122"/>
      <c r="L45" s="122"/>
      <c r="M45" s="123"/>
      <c r="N45" s="123"/>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row>
    <row r="46" spans="1:61" s="120" customFormat="1">
      <c r="A46" s="119"/>
      <c r="C46" s="121"/>
      <c r="D46" s="124"/>
      <c r="E46" s="174"/>
      <c r="F46" s="174"/>
      <c r="I46" s="124"/>
      <c r="J46" s="175"/>
      <c r="K46" s="122"/>
      <c r="L46" s="122"/>
      <c r="M46" s="123"/>
      <c r="N46" s="123"/>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row>
    <row r="47" spans="1:61" s="120" customFormat="1">
      <c r="A47" s="119"/>
      <c r="C47" s="118"/>
      <c r="E47" s="174"/>
      <c r="F47" s="174"/>
      <c r="J47" s="175"/>
      <c r="K47" s="122"/>
      <c r="L47" s="122"/>
      <c r="M47" s="123"/>
      <c r="N47" s="123"/>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row>
    <row r="48" spans="1:61" s="120" customFormat="1">
      <c r="A48" s="119"/>
      <c r="C48" s="121"/>
      <c r="D48" s="174"/>
      <c r="E48" s="176"/>
      <c r="F48" s="124"/>
      <c r="G48" s="132"/>
      <c r="H48" s="132"/>
      <c r="I48" s="122"/>
      <c r="J48" s="175"/>
      <c r="K48" s="122"/>
      <c r="L48" s="122"/>
      <c r="M48" s="123"/>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row>
    <row r="49" spans="1:61" s="120" customFormat="1">
      <c r="A49" s="119"/>
      <c r="C49" s="118"/>
      <c r="D49" s="122"/>
      <c r="E49" s="176"/>
      <c r="F49" s="122"/>
      <c r="G49" s="125"/>
      <c r="H49" s="122"/>
      <c r="I49" s="122"/>
      <c r="J49" s="125"/>
      <c r="K49" s="122"/>
      <c r="L49" s="122"/>
      <c r="M49" s="123"/>
      <c r="N49" s="123"/>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row>
    <row r="50" spans="1:61" s="120" customFormat="1">
      <c r="A50" s="119"/>
      <c r="C50" s="118"/>
      <c r="D50" s="122"/>
      <c r="E50" s="177"/>
      <c r="F50" s="122"/>
      <c r="G50" s="125"/>
      <c r="H50" s="122"/>
      <c r="I50" s="122"/>
      <c r="J50" s="125"/>
      <c r="K50" s="122"/>
      <c r="L50" s="122"/>
      <c r="M50" s="123"/>
      <c r="N50" s="123"/>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row>
    <row r="51" spans="1:61" s="120" customFormat="1">
      <c r="A51" s="119"/>
      <c r="C51" s="118"/>
      <c r="D51" s="122"/>
      <c r="E51" s="178"/>
      <c r="F51" s="179"/>
      <c r="G51" s="179"/>
      <c r="H51" s="179"/>
      <c r="I51" s="179"/>
      <c r="J51" s="179"/>
      <c r="K51" s="179"/>
      <c r="L51" s="122"/>
      <c r="M51" s="123"/>
      <c r="N51" s="123"/>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row>
    <row r="52" spans="1:61" s="120" customFormat="1">
      <c r="A52" s="119"/>
      <c r="C52" s="118"/>
      <c r="D52" s="122"/>
      <c r="E52" s="180"/>
      <c r="F52" s="179"/>
      <c r="G52" s="179"/>
      <c r="H52" s="179"/>
      <c r="I52" s="179"/>
      <c r="J52" s="179"/>
      <c r="K52" s="179"/>
      <c r="L52" s="122"/>
      <c r="M52" s="123"/>
      <c r="N52" s="123"/>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row>
    <row r="53" spans="1:61" s="120" customFormat="1">
      <c r="C53" s="181"/>
      <c r="E53" s="182"/>
      <c r="F53" s="183"/>
      <c r="I53" s="183"/>
      <c r="K53" s="116"/>
      <c r="L53" s="122"/>
      <c r="M53" s="123"/>
      <c r="N53" s="123"/>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row>
    <row r="54" spans="1:61" s="120" customFormat="1">
      <c r="C54" s="118"/>
      <c r="D54" s="122"/>
      <c r="E54" s="180"/>
      <c r="F54" s="179"/>
      <c r="G54" s="179"/>
      <c r="H54" s="179"/>
      <c r="I54" s="179"/>
      <c r="K54" s="116"/>
      <c r="L54" s="122"/>
      <c r="M54" s="123"/>
      <c r="N54" s="123"/>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row>
    <row r="55" spans="1:61" s="120" customFormat="1">
      <c r="C55" s="181"/>
      <c r="E55" s="182"/>
      <c r="F55" s="183"/>
      <c r="I55" s="183"/>
      <c r="K55" s="116"/>
      <c r="L55" s="122"/>
      <c r="M55" s="123"/>
      <c r="N55" s="123"/>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s="120" customFormat="1">
      <c r="C56" s="184"/>
      <c r="F56" s="183"/>
      <c r="I56" s="124"/>
      <c r="K56" s="116"/>
      <c r="L56" s="122"/>
      <c r="M56" s="123"/>
      <c r="N56" s="123"/>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c r="C57" s="118"/>
      <c r="D57" s="122"/>
      <c r="E57" s="180"/>
      <c r="F57" s="179"/>
      <c r="G57" s="179"/>
      <c r="H57" s="179"/>
      <c r="I57" s="179"/>
      <c r="J57" s="120"/>
      <c r="K57" s="116"/>
      <c r="L57" s="68"/>
      <c r="M57" s="6"/>
      <c r="N57" s="6"/>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C58" s="181"/>
      <c r="D58" s="120"/>
      <c r="E58" s="182"/>
      <c r="F58" s="183"/>
      <c r="G58" s="120"/>
      <c r="H58" s="120"/>
      <c r="I58" s="183"/>
      <c r="J58" s="120"/>
      <c r="K58" s="116"/>
      <c r="L58" s="68"/>
      <c r="M58" s="6"/>
      <c r="N58" s="6"/>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C59" s="26"/>
      <c r="D59" s="160"/>
      <c r="K59" s="8"/>
      <c r="L59" s="10"/>
      <c r="M59" s="6"/>
      <c r="N59" s="6"/>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C60" s="30"/>
      <c r="K60" s="8"/>
      <c r="L60" s="10"/>
      <c r="M60" s="6"/>
      <c r="N60" s="6"/>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C61" s="31"/>
      <c r="K61" s="8"/>
      <c r="L61" s="10"/>
      <c r="M61" s="6"/>
      <c r="N61" s="6"/>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K62" s="8"/>
      <c r="L62" s="10"/>
      <c r="M62" s="6"/>
      <c r="N62" s="6"/>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C63" s="18"/>
      <c r="D63" s="10"/>
      <c r="E63" s="10"/>
      <c r="F63" s="10"/>
      <c r="G63" s="10"/>
      <c r="H63" s="10"/>
      <c r="I63" s="10"/>
      <c r="J63" s="32"/>
      <c r="K63" s="10"/>
      <c r="L63" s="10"/>
      <c r="M63" s="6"/>
      <c r="N63" s="6"/>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C64" s="2"/>
      <c r="D64" s="2"/>
      <c r="E64" s="3"/>
      <c r="F64" s="2"/>
      <c r="G64" s="2"/>
      <c r="H64" s="2"/>
      <c r="I64" s="2"/>
      <c r="J64" s="2"/>
      <c r="K64" s="4"/>
      <c r="L64" s="4"/>
      <c r="M64" s="5"/>
      <c r="N64" s="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C65" s="2"/>
      <c r="D65" s="2"/>
      <c r="E65" s="3"/>
      <c r="F65" s="2"/>
      <c r="G65" s="2"/>
      <c r="H65" s="2"/>
      <c r="I65" s="8"/>
      <c r="J65" s="5"/>
      <c r="K65" s="5"/>
      <c r="L65" s="5"/>
      <c r="M65" s="5" t="s">
        <v>432</v>
      </c>
      <c r="N65" s="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C66" s="2"/>
      <c r="D66" s="2"/>
      <c r="E66" s="3"/>
      <c r="F66" s="2"/>
      <c r="G66" s="2"/>
      <c r="H66" s="2"/>
      <c r="I66" s="8"/>
      <c r="J66" s="9"/>
      <c r="K66" s="9"/>
      <c r="L66" s="9"/>
      <c r="M66" s="9" t="s">
        <v>437</v>
      </c>
      <c r="N66" s="6"/>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C67" s="2"/>
      <c r="D67" s="2"/>
      <c r="E67" s="3"/>
      <c r="F67" s="2"/>
      <c r="G67" s="2"/>
      <c r="H67" s="2"/>
      <c r="I67" s="8"/>
      <c r="J67" s="8"/>
      <c r="K67" s="10"/>
      <c r="L67" s="9"/>
      <c r="M67" s="9"/>
      <c r="N67" s="6"/>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C68" s="2"/>
      <c r="D68" s="2"/>
      <c r="E68" s="3"/>
      <c r="F68" s="2"/>
      <c r="G68" s="2"/>
      <c r="H68" s="2"/>
      <c r="I68" s="8"/>
      <c r="J68" s="8"/>
      <c r="K68" s="10"/>
      <c r="L68" s="9"/>
      <c r="M68" s="6"/>
      <c r="N68" s="6"/>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C69" s="2" t="s">
        <v>28</v>
      </c>
      <c r="D69" s="110"/>
      <c r="E69" s="110" t="s">
        <v>130</v>
      </c>
      <c r="F69" s="2"/>
      <c r="G69" s="2"/>
      <c r="H69" s="2"/>
      <c r="I69" s="8"/>
      <c r="K69" s="10"/>
      <c r="L69" s="10"/>
      <c r="M69" s="6"/>
      <c r="N69" s="6"/>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C70" s="2"/>
      <c r="D70" s="11" t="s">
        <v>29</v>
      </c>
      <c r="E70" s="11" t="s">
        <v>30</v>
      </c>
      <c r="F70" s="11"/>
      <c r="G70" s="11"/>
      <c r="H70" s="11"/>
      <c r="I70" s="8"/>
      <c r="J70" s="8"/>
      <c r="K70" s="10"/>
      <c r="L70" s="10"/>
      <c r="M70" s="6"/>
      <c r="N70" s="6"/>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C71" s="2"/>
      <c r="D71" s="11"/>
      <c r="E71" s="11"/>
      <c r="F71" s="11"/>
      <c r="G71" s="11"/>
      <c r="H71" s="11"/>
      <c r="I71" s="8"/>
      <c r="J71" s="8"/>
      <c r="K71" s="330"/>
      <c r="L71" s="331"/>
      <c r="M71" s="329" t="str">
        <f>+M8</f>
        <v>For the 12 months ended 12/31/____</v>
      </c>
      <c r="N71" s="6"/>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ht="15.6">
      <c r="C72" s="18"/>
      <c r="D72" s="10"/>
      <c r="E72" s="332" t="str">
        <f>+E9</f>
        <v>New York Transco LLC</v>
      </c>
      <c r="F72" s="11"/>
      <c r="G72" s="11"/>
      <c r="H72" s="11"/>
      <c r="I72" s="11"/>
      <c r="J72" s="11"/>
      <c r="K72" s="11"/>
      <c r="L72" s="11"/>
      <c r="M72" s="523"/>
      <c r="N72" s="34"/>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C73" s="35" t="s">
        <v>31</v>
      </c>
      <c r="D73" s="35" t="s">
        <v>32</v>
      </c>
      <c r="E73" s="35" t="s">
        <v>33</v>
      </c>
      <c r="F73" s="11" t="s">
        <v>29</v>
      </c>
      <c r="G73" s="11"/>
      <c r="H73" s="36" t="s">
        <v>34</v>
      </c>
      <c r="I73" s="11"/>
      <c r="J73" s="37" t="s">
        <v>35</v>
      </c>
      <c r="K73" s="11"/>
      <c r="L73" s="136"/>
      <c r="M73" s="136"/>
      <c r="N73" s="34"/>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15.6">
      <c r="C74" s="18"/>
      <c r="D74" s="38" t="s">
        <v>45</v>
      </c>
      <c r="E74" s="11"/>
      <c r="F74" s="11"/>
      <c r="G74" s="11"/>
      <c r="H74" s="4"/>
      <c r="I74" s="11"/>
      <c r="J74" s="39" t="s">
        <v>46</v>
      </c>
      <c r="K74" s="11"/>
      <c r="L74" s="137"/>
      <c r="M74" s="138"/>
      <c r="N74" s="34"/>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ht="15.6">
      <c r="A75" s="12" t="s">
        <v>36</v>
      </c>
      <c r="C75" s="18"/>
      <c r="D75" s="41" t="s">
        <v>47</v>
      </c>
      <c r="E75" s="39" t="s">
        <v>48</v>
      </c>
      <c r="F75" s="42"/>
      <c r="G75" s="39" t="s">
        <v>49</v>
      </c>
      <c r="H75" s="26"/>
      <c r="I75" s="42"/>
      <c r="J75" s="43" t="s">
        <v>50</v>
      </c>
      <c r="K75" s="11"/>
      <c r="L75" s="91"/>
      <c r="M75" s="1458"/>
      <c r="N75" s="3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ht="16.2" thickBot="1">
      <c r="A76" s="15" t="s">
        <v>38</v>
      </c>
      <c r="C76" s="44" t="s">
        <v>51</v>
      </c>
      <c r="D76" s="11"/>
      <c r="E76" s="11"/>
      <c r="F76" s="11"/>
      <c r="G76" s="11"/>
      <c r="H76" s="11"/>
      <c r="I76" s="11"/>
      <c r="J76" s="11"/>
      <c r="K76" s="11"/>
      <c r="L76" s="117"/>
      <c r="M76" s="1458"/>
      <c r="N76" s="34"/>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 r="A77" s="12"/>
      <c r="C77" s="18"/>
      <c r="D77" s="11"/>
      <c r="E77" s="11"/>
      <c r="F77" s="11"/>
      <c r="G77" s="11"/>
      <c r="H77" s="11"/>
      <c r="I77" s="11"/>
      <c r="J77" s="11"/>
      <c r="K77" s="11"/>
      <c r="L77" s="117"/>
      <c r="M77" s="1458"/>
      <c r="N77" s="34"/>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c r="C78" s="18" t="s">
        <v>554</v>
      </c>
      <c r="D78" s="11"/>
      <c r="E78" s="11"/>
      <c r="F78" s="11"/>
      <c r="G78" s="11"/>
      <c r="H78" s="11"/>
      <c r="I78" s="11"/>
      <c r="J78" s="11"/>
      <c r="K78" s="11"/>
      <c r="L78" s="117"/>
      <c r="M78" s="1458"/>
      <c r="N78" s="34"/>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ht="15.6">
      <c r="A79" s="12">
        <f>+A25+1</f>
        <v>6</v>
      </c>
      <c r="C79" s="18" t="s">
        <v>52</v>
      </c>
      <c r="D79" s="19" t="s">
        <v>573</v>
      </c>
      <c r="E79" s="113">
        <f>+'2 - Cost Support '!F84</f>
        <v>0</v>
      </c>
      <c r="F79" s="11"/>
      <c r="G79" s="11" t="s">
        <v>53</v>
      </c>
      <c r="H79" s="741">
        <v>0</v>
      </c>
      <c r="I79" s="11"/>
      <c r="J79" s="186">
        <f>+H79*E79</f>
        <v>0</v>
      </c>
      <c r="K79" s="1008"/>
      <c r="L79" s="139"/>
      <c r="M79" s="1458"/>
      <c r="N79" s="45"/>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+A79+1</f>
        <v>7</v>
      </c>
      <c r="C80" s="18" t="s">
        <v>66</v>
      </c>
      <c r="D80" s="19" t="s">
        <v>567</v>
      </c>
      <c r="E80" s="113">
        <f>+'2 - Cost Support '!F20</f>
        <v>34461538.461538464</v>
      </c>
      <c r="F80" s="11"/>
      <c r="G80" s="11" t="s">
        <v>44</v>
      </c>
      <c r="H80" s="741">
        <f>+J$220</f>
        <v>1</v>
      </c>
      <c r="I80" s="11"/>
      <c r="J80" s="186">
        <f>+H80*E80</f>
        <v>34461538.461538464</v>
      </c>
      <c r="K80" s="11"/>
      <c r="L80" s="139"/>
      <c r="N80" s="1460">
        <f>+'2 - Cost Support '!F20</f>
        <v>34461538.461538464</v>
      </c>
      <c r="O80" s="160" t="s">
        <v>1032</v>
      </c>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+A80+1</f>
        <v>8</v>
      </c>
      <c r="C81" s="18" t="s">
        <v>55</v>
      </c>
      <c r="D81" s="19" t="s">
        <v>568</v>
      </c>
      <c r="E81" s="113">
        <f>+'2 - Cost Support '!F36</f>
        <v>0</v>
      </c>
      <c r="F81" s="11"/>
      <c r="G81" s="11" t="s">
        <v>53</v>
      </c>
      <c r="H81" s="741">
        <v>0</v>
      </c>
      <c r="I81" s="11"/>
      <c r="J81" s="186">
        <f>+H81*E81</f>
        <v>0</v>
      </c>
      <c r="K81" s="11"/>
      <c r="L81" s="139"/>
      <c r="N81" s="1460"/>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f>+A81+1</f>
        <v>9</v>
      </c>
      <c r="C82" s="18" t="s">
        <v>242</v>
      </c>
      <c r="D82" s="19" t="s">
        <v>569</v>
      </c>
      <c r="E82" s="113">
        <f>+'2 - Cost Support '!F52+'2 - Cost Support '!F68</f>
        <v>95769230.769230768</v>
      </c>
      <c r="F82" s="11"/>
      <c r="G82" s="11" t="s">
        <v>56</v>
      </c>
      <c r="H82" s="741">
        <v>1</v>
      </c>
      <c r="I82" s="11"/>
      <c r="J82" s="186">
        <f>+H82*E82</f>
        <v>95769230.769230768</v>
      </c>
      <c r="K82" s="11"/>
      <c r="L82" s="139"/>
      <c r="N82" s="1460">
        <f>+'2 - Cost Support '!F52</f>
        <v>95307692.307692304</v>
      </c>
      <c r="O82" s="160" t="s">
        <v>1033</v>
      </c>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+A82+1</f>
        <v>10</v>
      </c>
      <c r="C83" s="2" t="str">
        <f>"TOTAL GROSS PLANT (sum lines "&amp;A79&amp;"-"&amp;A82&amp;")"</f>
        <v>TOTAL GROSS PLANT (sum lines 6-9)</v>
      </c>
      <c r="D83" s="19" t="s">
        <v>306</v>
      </c>
      <c r="E83" s="113">
        <f>SUM(E79:E82)</f>
        <v>130230769.23076923</v>
      </c>
      <c r="F83" s="11"/>
      <c r="G83" s="11" t="s">
        <v>57</v>
      </c>
      <c r="H83" s="754">
        <f>IF(J83=0,0,J83/E83)</f>
        <v>1</v>
      </c>
      <c r="I83" s="11"/>
      <c r="J83" s="186">
        <f>SUM(J79:J82)</f>
        <v>130230769.23076923</v>
      </c>
      <c r="K83" s="11"/>
      <c r="L83" s="140"/>
      <c r="N83" s="1460">
        <f>+N80+N82</f>
        <v>129769230.76923077</v>
      </c>
      <c r="O83" s="160" t="s">
        <v>1034</v>
      </c>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c r="C84" s="18"/>
      <c r="D84" s="19"/>
      <c r="E84" s="113"/>
      <c r="F84" s="11"/>
      <c r="G84" s="11"/>
      <c r="H84" s="755"/>
      <c r="I84" s="11"/>
      <c r="J84" s="186"/>
      <c r="K84" s="11"/>
      <c r="L84" s="141"/>
      <c r="N84" s="1460"/>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11</v>
      </c>
      <c r="C85" s="54" t="s">
        <v>555</v>
      </c>
      <c r="D85" s="19"/>
      <c r="E85" s="113"/>
      <c r="F85" s="11"/>
      <c r="G85" s="11"/>
      <c r="H85" s="741"/>
      <c r="I85" s="11"/>
      <c r="J85" s="186"/>
      <c r="K85" s="11"/>
      <c r="L85" s="117"/>
      <c r="N85" s="1460"/>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12</v>
      </c>
      <c r="C86" s="18" t="str">
        <f>+C79</f>
        <v xml:space="preserve">  Production</v>
      </c>
      <c r="D86" s="19" t="s">
        <v>570</v>
      </c>
      <c r="E86" s="113">
        <f>+'2 - Cost Support '!F170</f>
        <v>0</v>
      </c>
      <c r="F86" s="11"/>
      <c r="G86" s="11" t="str">
        <f>+G79</f>
        <v>NA</v>
      </c>
      <c r="H86" s="741">
        <v>0</v>
      </c>
      <c r="I86" s="11"/>
      <c r="J86" s="186">
        <f>+H86*E86</f>
        <v>0</v>
      </c>
      <c r="K86" s="11"/>
      <c r="L86" s="139"/>
      <c r="N86" s="1460"/>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13</v>
      </c>
      <c r="C87" s="18" t="s">
        <v>66</v>
      </c>
      <c r="D87" s="19" t="s">
        <v>571</v>
      </c>
      <c r="E87" s="113">
        <f>+'2 - Cost Support '!F106</f>
        <v>234230.76923076922</v>
      </c>
      <c r="F87" s="11"/>
      <c r="G87" s="11" t="str">
        <f>+G80</f>
        <v>TP</v>
      </c>
      <c r="H87" s="741">
        <f>+J$220</f>
        <v>1</v>
      </c>
      <c r="I87" s="11"/>
      <c r="J87" s="186">
        <f>+H87*E87</f>
        <v>234230.76923076922</v>
      </c>
      <c r="K87" s="11"/>
      <c r="L87" s="143"/>
      <c r="N87" s="1460">
        <f>+'2 - Cost Support '!F106</f>
        <v>234230.76923076922</v>
      </c>
      <c r="O87" s="160" t="s">
        <v>1035</v>
      </c>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14</v>
      </c>
      <c r="C88" s="18" t="str">
        <f>+C81</f>
        <v xml:space="preserve">  Distribution</v>
      </c>
      <c r="D88" s="19" t="s">
        <v>572</v>
      </c>
      <c r="E88" s="113">
        <f>+'2 - Cost Support '!F122</f>
        <v>0</v>
      </c>
      <c r="F88" s="11"/>
      <c r="G88" s="11" t="str">
        <f>+G81</f>
        <v>NA</v>
      </c>
      <c r="H88" s="741">
        <v>0</v>
      </c>
      <c r="I88" s="11"/>
      <c r="J88" s="186">
        <f>+H88*E88</f>
        <v>0</v>
      </c>
      <c r="K88" s="11"/>
      <c r="L88" s="143"/>
      <c r="N88" s="1460"/>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15</v>
      </c>
      <c r="C89" s="18" t="s">
        <v>242</v>
      </c>
      <c r="D89" s="19" t="s">
        <v>566</v>
      </c>
      <c r="E89" s="113">
        <f>+'2 - Cost Support '!F138+'2 - Cost Support '!F154</f>
        <v>654848.92307692312</v>
      </c>
      <c r="F89" s="11"/>
      <c r="G89" s="11" t="str">
        <f>+G82</f>
        <v>W/S</v>
      </c>
      <c r="H89" s="741">
        <f>+J$228</f>
        <v>1</v>
      </c>
      <c r="I89" s="11"/>
      <c r="J89" s="186">
        <f>+H89*E89</f>
        <v>654848.92307692312</v>
      </c>
      <c r="K89" s="11"/>
      <c r="L89" s="143"/>
      <c r="N89" s="1460">
        <f>+'2 - Cost Support '!F138</f>
        <v>647792.92307692312</v>
      </c>
      <c r="O89" s="160" t="s">
        <v>1036</v>
      </c>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 r="A90" s="12">
        <f>+A89+1</f>
        <v>16</v>
      </c>
      <c r="C90" s="18" t="str">
        <f>"TOTAL ACCUM. DEPRECIATION (sum lines "&amp;A86&amp;"-"&amp;A89&amp;")"</f>
        <v>TOTAL ACCUM. DEPRECIATION (sum lines 12-15)</v>
      </c>
      <c r="D90" s="11"/>
      <c r="E90" s="113">
        <f>SUM(E86:E89)</f>
        <v>889079.69230769237</v>
      </c>
      <c r="F90" s="11"/>
      <c r="G90" s="11"/>
      <c r="H90" s="741"/>
      <c r="I90" s="11"/>
      <c r="J90" s="186">
        <f>SUM(J86:J89)</f>
        <v>889079.69230769237</v>
      </c>
      <c r="K90" s="11"/>
      <c r="L90" s="117"/>
      <c r="N90" s="1460">
        <f>+N87+N89</f>
        <v>882023.69230769237</v>
      </c>
      <c r="O90" s="160" t="s">
        <v>1037</v>
      </c>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7"/>
      <c r="D91" s="11" t="s">
        <v>29</v>
      </c>
      <c r="E91" s="509"/>
      <c r="F91" s="11"/>
      <c r="G91" s="11"/>
      <c r="H91" s="755"/>
      <c r="I91" s="11"/>
      <c r="J91" s="168"/>
      <c r="K91" s="11"/>
      <c r="L91" s="141"/>
      <c r="N91" s="1460"/>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f>+A90+1</f>
        <v>17</v>
      </c>
      <c r="C92" s="18" t="s">
        <v>58</v>
      </c>
      <c r="D92" s="11"/>
      <c r="E92" s="113"/>
      <c r="F92" s="11"/>
      <c r="G92" s="11"/>
      <c r="H92" s="741"/>
      <c r="I92" s="11"/>
      <c r="J92" s="186"/>
      <c r="K92" s="11"/>
      <c r="L92" s="117"/>
      <c r="N92" s="1460"/>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f>+A92+1</f>
        <v>18</v>
      </c>
      <c r="C93" s="18" t="str">
        <f>+C86</f>
        <v xml:space="preserve">  Production</v>
      </c>
      <c r="D93" s="11" t="str">
        <f>" (line "&amp;A79&amp;"- line "&amp;A86&amp;")"</f>
        <v xml:space="preserve"> (line 6- line 12)</v>
      </c>
      <c r="E93" s="113">
        <f>+E79-E86</f>
        <v>0</v>
      </c>
      <c r="F93" s="11"/>
      <c r="G93" s="11"/>
      <c r="H93" s="755"/>
      <c r="I93" s="11"/>
      <c r="J93" s="186">
        <f>+J79-J86</f>
        <v>0</v>
      </c>
      <c r="K93" s="11"/>
      <c r="L93" s="141"/>
      <c r="N93" s="1460"/>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f>+A93+1</f>
        <v>19</v>
      </c>
      <c r="C94" s="18" t="s">
        <v>54</v>
      </c>
      <c r="D94" s="11" t="str">
        <f>" (line "&amp;A80&amp;"- line "&amp;A87&amp;")"</f>
        <v xml:space="preserve"> (line 7- line 13)</v>
      </c>
      <c r="E94" s="113">
        <f>+E80-E87</f>
        <v>34227307.692307696</v>
      </c>
      <c r="F94" s="11"/>
      <c r="G94" s="11"/>
      <c r="H94" s="741"/>
      <c r="I94" s="11"/>
      <c r="J94" s="186">
        <f>+J80-J87</f>
        <v>34227307.692307696</v>
      </c>
      <c r="K94" s="11"/>
      <c r="L94" s="141"/>
      <c r="N94" s="1460"/>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f>+A94+1</f>
        <v>20</v>
      </c>
      <c r="C95" s="18" t="str">
        <f>+C88</f>
        <v xml:space="preserve">  Distribution</v>
      </c>
      <c r="D95" s="11" t="str">
        <f>" (line "&amp;A81&amp;"- line "&amp;A88&amp;")"</f>
        <v xml:space="preserve"> (line 8- line 14)</v>
      </c>
      <c r="E95" s="113">
        <f>+E81-E88</f>
        <v>0</v>
      </c>
      <c r="F95" s="11"/>
      <c r="G95" s="11"/>
      <c r="H95" s="755"/>
      <c r="I95" s="11"/>
      <c r="J95" s="186">
        <f>+J81-J88</f>
        <v>0</v>
      </c>
      <c r="K95" s="11"/>
      <c r="L95" s="141"/>
      <c r="N95" s="1460"/>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f>+A95+1</f>
        <v>21</v>
      </c>
      <c r="C96" s="18" t="s">
        <v>129</v>
      </c>
      <c r="D96" s="11" t="str">
        <f>" (line "&amp;A82&amp;"- line "&amp;A89&amp;")"</f>
        <v xml:space="preserve"> (line 9- line 15)</v>
      </c>
      <c r="E96" s="113">
        <f>+E82-E89</f>
        <v>95114381.84615384</v>
      </c>
      <c r="F96" s="11"/>
      <c r="G96" s="11"/>
      <c r="H96" s="755"/>
      <c r="I96" s="11"/>
      <c r="J96" s="186">
        <f>+J82-J89</f>
        <v>95114381.84615384</v>
      </c>
      <c r="K96" s="11"/>
      <c r="L96" s="141"/>
      <c r="N96" s="1460"/>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f>+A96+1</f>
        <v>22</v>
      </c>
      <c r="C97" s="18" t="str">
        <f>"TOTAL NET PLANT (sum lines "&amp;A93&amp;"-"&amp;A96&amp;")"</f>
        <v>TOTAL NET PLANT (sum lines 18-21)</v>
      </c>
      <c r="D97" s="19" t="s">
        <v>307</v>
      </c>
      <c r="E97" s="113">
        <f>SUM(E93:E96)</f>
        <v>129341689.53846154</v>
      </c>
      <c r="F97" s="19"/>
      <c r="G97" s="19" t="s">
        <v>59</v>
      </c>
      <c r="H97" s="754">
        <f>IF(J97=0,0,J97/E97)</f>
        <v>1</v>
      </c>
      <c r="I97" s="11"/>
      <c r="J97" s="186">
        <f>SUM(J93:J96)</f>
        <v>129341689.53846154</v>
      </c>
      <c r="K97" s="11"/>
      <c r="L97" s="117"/>
      <c r="N97" s="1460">
        <f>+N83-N90</f>
        <v>128887207.07692307</v>
      </c>
      <c r="O97" s="160" t="s">
        <v>1038</v>
      </c>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7"/>
      <c r="D98" s="19"/>
      <c r="E98" s="509"/>
      <c r="F98" s="19"/>
      <c r="G98" s="69"/>
      <c r="H98" s="756"/>
      <c r="I98" s="11"/>
      <c r="J98" s="168"/>
      <c r="K98" s="11"/>
      <c r="L98" s="141"/>
      <c r="N98" s="1458"/>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f>+A97+1</f>
        <v>23</v>
      </c>
      <c r="C99" s="2" t="str">
        <f>"ADJUSTMENTS TO RATE BASE       (Note "&amp;A271&amp;")"</f>
        <v>ADJUSTMENTS TO RATE BASE       (Note A)</v>
      </c>
      <c r="D99" s="19"/>
      <c r="E99" s="113"/>
      <c r="F99" s="19"/>
      <c r="G99" s="19"/>
      <c r="H99" s="744"/>
      <c r="I99" s="11"/>
      <c r="J99" s="186"/>
      <c r="K99" s="11"/>
      <c r="L99" s="117"/>
      <c r="M99" s="1458"/>
      <c r="N99" s="34"/>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s="69" customFormat="1">
      <c r="A100" s="88">
        <f t="shared" ref="A100:A106" si="0">+A99+1</f>
        <v>24</v>
      </c>
      <c r="C100" s="774" t="s">
        <v>417</v>
      </c>
      <c r="D100" s="19" t="s">
        <v>574</v>
      </c>
      <c r="E100" s="113">
        <f>+'6a- ADIT'!G17</f>
        <v>-1256729.5</v>
      </c>
      <c r="F100" s="19"/>
      <c r="G100" s="19" t="str">
        <f>+G108</f>
        <v>TP</v>
      </c>
      <c r="H100" s="744">
        <f>+H108</f>
        <v>1</v>
      </c>
      <c r="I100" s="19"/>
      <c r="J100" s="113">
        <f t="shared" ref="J100:J104" si="1">+H100*E100</f>
        <v>-1256729.5</v>
      </c>
      <c r="K100" s="19"/>
      <c r="L100" s="118"/>
      <c r="M100" s="1458"/>
      <c r="N100" s="775"/>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row>
    <row r="101" spans="1:61" s="69" customFormat="1">
      <c r="A101" s="88">
        <f t="shared" si="0"/>
        <v>25</v>
      </c>
      <c r="C101" s="766" t="s">
        <v>319</v>
      </c>
      <c r="D101" s="19" t="s">
        <v>575</v>
      </c>
      <c r="E101" s="113">
        <f>+'3 - Cost Support'!G5</f>
        <v>0</v>
      </c>
      <c r="F101" s="19"/>
      <c r="G101" s="19" t="s">
        <v>60</v>
      </c>
      <c r="H101" s="744">
        <f>+H$97</f>
        <v>1</v>
      </c>
      <c r="I101" s="19"/>
      <c r="J101" s="158">
        <f t="shared" si="1"/>
        <v>0</v>
      </c>
      <c r="K101" s="19"/>
      <c r="L101" s="118"/>
      <c r="M101" s="1458"/>
      <c r="N101" s="775"/>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row>
    <row r="102" spans="1:61" s="69" customFormat="1">
      <c r="A102" s="88">
        <f t="shared" si="0"/>
        <v>26</v>
      </c>
      <c r="C102" s="766" t="s">
        <v>217</v>
      </c>
      <c r="D102" s="19" t="s">
        <v>919</v>
      </c>
      <c r="E102" s="158">
        <f>+'10 - Workpaper'!V81</f>
        <v>0</v>
      </c>
      <c r="F102" s="118"/>
      <c r="G102" s="118" t="s">
        <v>158</v>
      </c>
      <c r="H102" s="757"/>
      <c r="I102" s="118"/>
      <c r="J102" s="158">
        <f>+E102</f>
        <v>0</v>
      </c>
      <c r="K102" s="19"/>
      <c r="L102" s="776"/>
      <c r="M102" s="1458"/>
      <c r="N102" s="775"/>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row>
    <row r="103" spans="1:61" s="69" customFormat="1">
      <c r="A103" s="88">
        <f t="shared" si="0"/>
        <v>27</v>
      </c>
      <c r="C103" s="766" t="s">
        <v>563</v>
      </c>
      <c r="D103" s="19" t="s">
        <v>918</v>
      </c>
      <c r="E103" s="158">
        <f>+'3 - Cost Support'!H42</f>
        <v>0</v>
      </c>
      <c r="F103" s="118"/>
      <c r="G103" s="118" t="str">
        <f>+G104</f>
        <v>DA</v>
      </c>
      <c r="H103" s="757">
        <f>+H104</f>
        <v>1</v>
      </c>
      <c r="I103" s="118"/>
      <c r="J103" s="158">
        <f t="shared" si="1"/>
        <v>0</v>
      </c>
      <c r="K103" s="19"/>
      <c r="L103" s="776"/>
      <c r="M103" s="1458"/>
      <c r="N103" s="775"/>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row>
    <row r="104" spans="1:61">
      <c r="A104" s="88">
        <f>+A103+1</f>
        <v>28</v>
      </c>
      <c r="B104" s="69"/>
      <c r="C104" s="164" t="s">
        <v>419</v>
      </c>
      <c r="D104" s="19" t="s">
        <v>806</v>
      </c>
      <c r="E104" s="158">
        <f>+'10 - Workpaper'!Z21</f>
        <v>4603042.7846153844</v>
      </c>
      <c r="F104" s="118"/>
      <c r="G104" s="118" t="str">
        <f>+G105</f>
        <v>DA</v>
      </c>
      <c r="H104" s="757">
        <f>+H105</f>
        <v>1</v>
      </c>
      <c r="I104" s="118"/>
      <c r="J104" s="158">
        <f t="shared" si="1"/>
        <v>4603042.7846153844</v>
      </c>
      <c r="K104" s="11"/>
      <c r="L104" s="140"/>
      <c r="M104" s="1458"/>
      <c r="N104" s="22"/>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f t="shared" si="0"/>
        <v>29</v>
      </c>
      <c r="C105" s="517" t="s">
        <v>248</v>
      </c>
      <c r="D105" s="513" t="s">
        <v>807</v>
      </c>
      <c r="E105" s="514">
        <f>+'10 - Workpaper'!Z41</f>
        <v>0</v>
      </c>
      <c r="F105" s="515"/>
      <c r="G105" s="515" t="s">
        <v>158</v>
      </c>
      <c r="H105" s="742">
        <v>1</v>
      </c>
      <c r="I105" s="515"/>
      <c r="J105" s="516">
        <f>+H105*E105</f>
        <v>0</v>
      </c>
      <c r="K105" s="11"/>
      <c r="L105" s="118"/>
      <c r="M105" s="1458"/>
      <c r="N105" s="22"/>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f t="shared" si="0"/>
        <v>30</v>
      </c>
      <c r="B106" s="7"/>
      <c r="C106" s="510" t="str">
        <f>"TOTAL ADJUSTMENTS  (sum lines "&amp;A100&amp;"-"&amp;A105&amp;")"</f>
        <v>TOTAL ADJUSTMENTS  (sum lines 24-29)</v>
      </c>
      <c r="D106" s="19"/>
      <c r="E106" s="113">
        <f>SUM(E100:E105)</f>
        <v>3346313.2846153844</v>
      </c>
      <c r="F106" s="11"/>
      <c r="G106" s="11"/>
      <c r="H106" s="741"/>
      <c r="I106" s="11"/>
      <c r="J106" s="186">
        <f>SUM(J100:J105)</f>
        <v>3346313.2846153844</v>
      </c>
      <c r="K106" s="11"/>
      <c r="L106" s="118"/>
      <c r="M106" s="1458"/>
      <c r="N106" s="34"/>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7"/>
      <c r="D107" s="19"/>
      <c r="E107" s="509"/>
      <c r="F107" s="11"/>
      <c r="G107" s="11"/>
      <c r="H107" s="755"/>
      <c r="I107" s="11"/>
      <c r="J107" s="168"/>
      <c r="K107" s="11"/>
      <c r="L107" s="147"/>
      <c r="M107" s="1458"/>
      <c r="N107" s="34"/>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ht="15.6">
      <c r="A108" s="12">
        <f>+A106+1</f>
        <v>31</v>
      </c>
      <c r="C108" s="2" t="s">
        <v>244</v>
      </c>
      <c r="D108" s="19" t="s">
        <v>785</v>
      </c>
      <c r="E108" s="113">
        <f>+'10 - Workpaper'!S61</f>
        <v>0</v>
      </c>
      <c r="F108" s="11"/>
      <c r="G108" s="11" t="str">
        <f>+G87</f>
        <v>TP</v>
      </c>
      <c r="H108" s="741">
        <f>+J$220</f>
        <v>1</v>
      </c>
      <c r="I108" s="11"/>
      <c r="J108" s="186">
        <f>+H108*E108</f>
        <v>0</v>
      </c>
      <c r="K108" s="1008"/>
      <c r="L108" s="118"/>
      <c r="M108" s="1458"/>
      <c r="N108" s="34"/>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c r="A109" s="12"/>
      <c r="C109" s="18"/>
      <c r="D109" s="19"/>
      <c r="E109" s="113"/>
      <c r="F109" s="11"/>
      <c r="G109" s="11"/>
      <c r="H109" s="741"/>
      <c r="I109" s="11"/>
      <c r="J109" s="186"/>
      <c r="K109" s="11"/>
      <c r="L109" s="118"/>
      <c r="M109" s="1458"/>
      <c r="N109" s="34"/>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f>+A108+1</f>
        <v>32</v>
      </c>
      <c r="C110" s="18" t="str">
        <f>"WORKING CAPITAL  (Note "&amp;A275&amp;")"</f>
        <v>WORKING CAPITAL  (Note C)</v>
      </c>
      <c r="D110" s="19" t="s">
        <v>29</v>
      </c>
      <c r="E110" s="113"/>
      <c r="F110" s="11"/>
      <c r="G110" s="11"/>
      <c r="H110" s="741"/>
      <c r="I110" s="11"/>
      <c r="J110" s="186"/>
      <c r="K110" s="11"/>
      <c r="L110" s="118"/>
      <c r="M110" s="1458"/>
      <c r="N110" s="34"/>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c r="A111" s="12">
        <f>+A110+1</f>
        <v>33</v>
      </c>
      <c r="C111" s="18" t="s">
        <v>62</v>
      </c>
      <c r="D111" s="766" t="s">
        <v>968</v>
      </c>
      <c r="E111" s="113">
        <f>+E152/8</f>
        <v>666827.00208333333</v>
      </c>
      <c r="F111" s="11"/>
      <c r="G111" s="11"/>
      <c r="H111" s="755"/>
      <c r="I111" s="11"/>
      <c r="J111" s="113">
        <f>+J152/8</f>
        <v>666827.00208333333</v>
      </c>
      <c r="K111" s="11"/>
      <c r="L111" s="140"/>
      <c r="M111" s="1458"/>
      <c r="N111" s="34"/>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f>+A111+1</f>
        <v>34</v>
      </c>
      <c r="C112" s="18" t="str">
        <f>"  Materials &amp; Supplies  (Note "&amp;A274&amp;")"</f>
        <v xml:space="preserve">  Materials &amp; Supplies  (Note B)</v>
      </c>
      <c r="D112" s="19" t="s">
        <v>887</v>
      </c>
      <c r="E112" s="113">
        <f>+'3 - Cost Support'!H114</f>
        <v>0</v>
      </c>
      <c r="F112" s="11"/>
      <c r="G112" s="11" t="str">
        <f>+G108</f>
        <v>TP</v>
      </c>
      <c r="H112" s="741">
        <f>+H108</f>
        <v>1</v>
      </c>
      <c r="I112" s="11"/>
      <c r="J112" s="186">
        <f>+H112*E112</f>
        <v>0</v>
      </c>
      <c r="K112" s="11"/>
      <c r="L112" s="147"/>
      <c r="M112" s="1458"/>
      <c r="N112" s="34"/>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c r="A113" s="12">
        <f>+A112+1</f>
        <v>35</v>
      </c>
      <c r="C113" s="518" t="str">
        <f xml:space="preserve">  "Prepayments (Account 165 - Note "&amp;A275&amp;")"</f>
        <v>Prepayments (Account 165 - Note C)</v>
      </c>
      <c r="D113" s="513" t="s">
        <v>577</v>
      </c>
      <c r="E113" s="514">
        <f>+'3 - Cost Support'!F26</f>
        <v>0</v>
      </c>
      <c r="F113" s="515"/>
      <c r="G113" s="515" t="s">
        <v>64</v>
      </c>
      <c r="H113" s="745">
        <f>+H$83</f>
        <v>1</v>
      </c>
      <c r="I113" s="515"/>
      <c r="J113" s="516">
        <f>+H113*E113</f>
        <v>0</v>
      </c>
      <c r="K113" s="11"/>
      <c r="L113" s="118"/>
      <c r="M113" s="117"/>
      <c r="N113" s="34"/>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c r="A114" s="12">
        <f>+A113+1</f>
        <v>36</v>
      </c>
      <c r="C114" s="18" t="str">
        <f>"TOTAL WORKING CAPITAL (sum lines "&amp;A111&amp;"-"&amp;A113&amp;")"</f>
        <v>TOTAL WORKING CAPITAL (sum lines 33-35)</v>
      </c>
      <c r="D114" s="10"/>
      <c r="E114" s="186">
        <f>SUM(E111:E113)</f>
        <v>666827.00208333333</v>
      </c>
      <c r="F114" s="10"/>
      <c r="G114" s="10"/>
      <c r="H114" s="10"/>
      <c r="I114" s="10"/>
      <c r="J114" s="186">
        <f>SUM(J111:J113)</f>
        <v>666827.00208333333</v>
      </c>
      <c r="K114" s="11"/>
      <c r="L114" s="117"/>
      <c r="M114" s="117"/>
      <c r="N114" s="3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ht="15.6" thickBot="1">
      <c r="A115" s="12"/>
      <c r="D115" s="11"/>
      <c r="E115" s="169"/>
      <c r="F115" s="11"/>
      <c r="G115" s="11"/>
      <c r="H115" s="11"/>
      <c r="I115" s="11"/>
      <c r="J115" s="169"/>
      <c r="K115" s="11"/>
      <c r="L115" s="114"/>
      <c r="M115" s="114"/>
      <c r="N115" s="34"/>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6" thickBot="1">
      <c r="A116" s="12">
        <f>+A114+1</f>
        <v>37</v>
      </c>
      <c r="C116" s="18" t="str">
        <f>"RATE BASE  (sum lines "&amp;A97&amp;", "&amp;A106&amp;", "&amp;A108&amp;", &amp; "&amp;A114&amp;")"</f>
        <v>RATE BASE  (sum lines 22, 30, 31, &amp; 36)</v>
      </c>
      <c r="D116" s="11"/>
      <c r="E116" s="187">
        <f>+E97+E106+E108+E114</f>
        <v>133354829.82516025</v>
      </c>
      <c r="F116" s="11"/>
      <c r="G116" s="11"/>
      <c r="H116" s="46"/>
      <c r="I116" s="11"/>
      <c r="J116" s="187">
        <f>+J97+J106+J108+J114</f>
        <v>133354829.82516025</v>
      </c>
      <c r="K116" s="11"/>
      <c r="L116" s="117"/>
      <c r="M116" s="117"/>
      <c r="N116" s="34"/>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ht="15.6" thickTop="1">
      <c r="A117" s="12"/>
      <c r="C117" s="18"/>
      <c r="D117" s="11"/>
      <c r="E117" s="11"/>
      <c r="F117" s="11"/>
      <c r="G117" s="11"/>
      <c r="H117" s="11"/>
      <c r="I117" s="11"/>
      <c r="J117" s="186"/>
      <c r="K117" s="11"/>
      <c r="L117" s="117"/>
      <c r="M117" s="135"/>
      <c r="N117" s="34"/>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c r="C118" s="105"/>
      <c r="D118" s="11"/>
      <c r="E118" s="11"/>
      <c r="F118" s="11"/>
      <c r="G118" s="11"/>
      <c r="H118" s="11"/>
      <c r="I118" s="11"/>
      <c r="J118" s="186"/>
      <c r="K118" s="11"/>
      <c r="L118" s="117"/>
      <c r="M118" s="135"/>
      <c r="N118" s="34"/>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c r="C119" s="106"/>
      <c r="D119" s="11"/>
      <c r="E119" s="11"/>
      <c r="F119" s="11"/>
      <c r="G119" s="11"/>
      <c r="H119" s="11"/>
      <c r="I119" s="11"/>
      <c r="J119" s="186"/>
      <c r="K119" s="11"/>
      <c r="L119" s="117"/>
      <c r="M119" s="135"/>
      <c r="N119" s="34"/>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c r="C120" s="105"/>
      <c r="D120" s="11"/>
      <c r="E120" s="11"/>
      <c r="F120" s="11"/>
      <c r="G120" s="11"/>
      <c r="H120" s="11"/>
      <c r="I120" s="11"/>
      <c r="J120" s="186"/>
      <c r="K120" s="11"/>
      <c r="L120" s="117"/>
      <c r="M120" s="135"/>
      <c r="N120" s="34"/>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c r="C121" s="106"/>
      <c r="D121" s="11"/>
      <c r="E121" s="11"/>
      <c r="F121" s="11"/>
      <c r="G121" s="11"/>
      <c r="H121" s="11"/>
      <c r="I121" s="11"/>
      <c r="J121" s="186"/>
      <c r="K121" s="11"/>
      <c r="L121" s="11"/>
      <c r="M121" s="33"/>
      <c r="N121" s="34"/>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c r="C122" s="106"/>
      <c r="D122" s="11"/>
      <c r="E122" s="11"/>
      <c r="F122" s="11"/>
      <c r="G122" s="11"/>
      <c r="H122" s="11"/>
      <c r="I122" s="11"/>
      <c r="J122" s="186"/>
      <c r="K122" s="11"/>
      <c r="L122" s="11"/>
      <c r="M122" s="33"/>
      <c r="N122" s="34"/>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C123" s="7"/>
      <c r="D123" s="11"/>
      <c r="E123" s="11"/>
      <c r="F123" s="11"/>
      <c r="G123" s="11"/>
      <c r="H123" s="11"/>
      <c r="I123" s="11"/>
      <c r="J123" s="186"/>
      <c r="K123" s="11"/>
      <c r="L123" s="11"/>
      <c r="M123" s="33"/>
      <c r="N123" s="34"/>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c r="C124" s="29"/>
      <c r="D124" s="11"/>
      <c r="E124" s="11"/>
      <c r="F124" s="11"/>
      <c r="G124" s="11"/>
      <c r="H124" s="11"/>
      <c r="I124" s="11"/>
      <c r="J124" s="186"/>
      <c r="K124" s="11"/>
      <c r="L124" s="11"/>
      <c r="M124" s="33"/>
      <c r="N124" s="34"/>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C125" s="48"/>
      <c r="D125" s="11"/>
      <c r="E125" s="11"/>
      <c r="F125" s="11"/>
      <c r="G125" s="11"/>
      <c r="H125" s="11"/>
      <c r="I125" s="11"/>
      <c r="J125" s="186"/>
      <c r="K125" s="11"/>
      <c r="L125" s="11"/>
      <c r="M125" s="33"/>
      <c r="N125" s="34"/>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c r="C126" s="48"/>
      <c r="D126" s="11"/>
      <c r="E126" s="11"/>
      <c r="F126" s="11"/>
      <c r="G126" s="11"/>
      <c r="H126" s="11"/>
      <c r="I126" s="11"/>
      <c r="J126" s="186"/>
      <c r="K126" s="11"/>
      <c r="L126" s="11"/>
      <c r="M126" s="33"/>
      <c r="N126" s="34"/>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c r="C127" s="18"/>
      <c r="D127" s="11"/>
      <c r="E127" s="11"/>
      <c r="F127" s="11"/>
      <c r="G127" s="11"/>
      <c r="H127" s="11"/>
      <c r="I127" s="11"/>
      <c r="J127" s="186"/>
      <c r="K127" s="11"/>
      <c r="L127" s="11"/>
      <c r="M127" s="33"/>
      <c r="N127" s="34"/>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c r="C128" s="2"/>
      <c r="D128" s="2"/>
      <c r="E128" s="3"/>
      <c r="F128" s="2"/>
      <c r="G128" s="2"/>
      <c r="H128" s="2"/>
      <c r="I128" s="2"/>
      <c r="J128" s="188"/>
      <c r="K128" s="4"/>
      <c r="L128" s="4"/>
      <c r="M128" s="5" t="s">
        <v>432</v>
      </c>
      <c r="N128" s="6"/>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2"/>
      <c r="D129" s="2"/>
      <c r="E129" s="3"/>
      <c r="F129" s="2"/>
      <c r="G129" s="2"/>
      <c r="H129" s="2"/>
      <c r="I129" s="8"/>
      <c r="J129" s="189"/>
      <c r="K129" s="5"/>
      <c r="L129" s="5"/>
      <c r="M129" s="9" t="s">
        <v>436</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c r="C130" s="2"/>
      <c r="D130" s="2"/>
      <c r="E130" s="3"/>
      <c r="F130" s="2"/>
      <c r="G130" s="2"/>
      <c r="H130" s="2"/>
      <c r="I130" s="8"/>
      <c r="J130" s="190"/>
      <c r="K130" s="9"/>
      <c r="L130" s="9"/>
      <c r="M130" s="9"/>
      <c r="N130" s="6"/>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2"/>
      <c r="D131" s="2"/>
      <c r="E131" s="3"/>
      <c r="F131" s="2"/>
      <c r="G131" s="2"/>
      <c r="H131" s="2"/>
      <c r="I131" s="8"/>
      <c r="J131" s="191"/>
      <c r="K131" s="10"/>
      <c r="L131" s="9"/>
      <c r="M131" s="9"/>
      <c r="N131" s="6"/>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c r="C132" s="2"/>
      <c r="D132" s="2"/>
      <c r="E132" s="3"/>
      <c r="F132" s="2"/>
      <c r="G132" s="2"/>
      <c r="H132" s="2"/>
      <c r="I132" s="8"/>
      <c r="J132" s="191"/>
      <c r="K132" s="10"/>
      <c r="L132" s="9"/>
      <c r="M132" s="6"/>
      <c r="N132" s="6"/>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c r="C133" s="2" t="s">
        <v>28</v>
      </c>
      <c r="D133" s="110"/>
      <c r="E133" s="110" t="s">
        <v>130</v>
      </c>
      <c r="F133" s="2"/>
      <c r="G133" s="2"/>
      <c r="H133" s="2"/>
      <c r="I133" s="8"/>
      <c r="J133" s="168"/>
      <c r="K133" s="10"/>
      <c r="L133" s="10"/>
      <c r="M133" s="6"/>
      <c r="N133" s="6"/>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c r="C134" s="2"/>
      <c r="D134" s="11" t="s">
        <v>29</v>
      </c>
      <c r="E134" s="11" t="s">
        <v>30</v>
      </c>
      <c r="F134" s="11"/>
      <c r="G134" s="11"/>
      <c r="H134" s="11"/>
      <c r="I134" s="8"/>
      <c r="J134" s="191"/>
      <c r="K134" s="10"/>
      <c r="L134" s="10"/>
      <c r="M134" s="6"/>
      <c r="N134" s="6"/>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c r="C135" s="2"/>
      <c r="D135" s="11"/>
      <c r="E135" s="11"/>
      <c r="F135" s="11"/>
      <c r="G135" s="11"/>
      <c r="H135" s="11"/>
      <c r="I135" s="8"/>
      <c r="J135" s="191"/>
      <c r="K135" s="330"/>
      <c r="L135" s="331"/>
      <c r="M135" s="329" t="str">
        <f>+M71</f>
        <v>For the 12 months ended 12/31/____</v>
      </c>
      <c r="N135" s="6"/>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ht="15.6">
      <c r="A136" s="12"/>
      <c r="D136" s="26"/>
      <c r="E136" s="332" t="str">
        <f>+E72</f>
        <v>New York Transco LLC</v>
      </c>
      <c r="F136" s="26"/>
      <c r="G136" s="26"/>
      <c r="H136" s="26"/>
      <c r="I136" s="26"/>
      <c r="J136" s="186"/>
      <c r="K136" s="11"/>
      <c r="L136" s="11"/>
      <c r="M136" s="523"/>
      <c r="N136" s="34"/>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c r="C137" s="35" t="s">
        <v>31</v>
      </c>
      <c r="D137" s="35" t="s">
        <v>32</v>
      </c>
      <c r="E137" s="35" t="s">
        <v>33</v>
      </c>
      <c r="F137" s="11" t="s">
        <v>29</v>
      </c>
      <c r="G137" s="11"/>
      <c r="H137" s="36" t="s">
        <v>34</v>
      </c>
      <c r="I137" s="11"/>
      <c r="J137" s="192" t="s">
        <v>35</v>
      </c>
      <c r="K137" s="11"/>
      <c r="L137" s="136"/>
      <c r="M137" s="136"/>
      <c r="N137" s="34"/>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ht="15.6">
      <c r="A138" s="12"/>
      <c r="C138" s="35"/>
      <c r="D138" s="49"/>
      <c r="E138" s="49"/>
      <c r="F138" s="49"/>
      <c r="G138" s="49"/>
      <c r="H138" s="49"/>
      <c r="I138" s="49"/>
      <c r="J138" s="193"/>
      <c r="K138" s="49"/>
      <c r="L138" s="149"/>
      <c r="M138" s="150"/>
      <c r="N138" s="34"/>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5.6">
      <c r="A139" s="12"/>
      <c r="C139" s="18"/>
      <c r="D139" s="38" t="s">
        <v>45</v>
      </c>
      <c r="E139" s="11"/>
      <c r="F139" s="11"/>
      <c r="G139" s="11"/>
      <c r="H139" s="4"/>
      <c r="I139" s="11"/>
      <c r="J139" s="194" t="s">
        <v>46</v>
      </c>
      <c r="K139" s="11"/>
      <c r="L139" s="137"/>
      <c r="M139" s="138"/>
      <c r="N139" s="34"/>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5.6">
      <c r="A140" s="12"/>
      <c r="C140" s="18"/>
      <c r="D140" s="41" t="s">
        <v>47</v>
      </c>
      <c r="E140" s="39" t="s">
        <v>48</v>
      </c>
      <c r="F140" s="42"/>
      <c r="G140" s="39" t="s">
        <v>49</v>
      </c>
      <c r="H140" s="26"/>
      <c r="I140" s="42"/>
      <c r="J140" s="195" t="s">
        <v>50</v>
      </c>
      <c r="K140" s="11"/>
      <c r="L140" s="91"/>
      <c r="M140" s="91"/>
      <c r="N140" s="34"/>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5.6">
      <c r="A141" s="12"/>
      <c r="C141" s="18"/>
      <c r="D141" s="11"/>
      <c r="E141" s="50"/>
      <c r="F141" s="51"/>
      <c r="G141" s="52"/>
      <c r="H141" s="26"/>
      <c r="I141" s="51"/>
      <c r="J141" s="168"/>
      <c r="K141" s="7"/>
      <c r="L141" s="115"/>
      <c r="M141" s="115"/>
      <c r="N141" s="34"/>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+A116+1</f>
        <v>38</v>
      </c>
      <c r="C142" s="18" t="s">
        <v>65</v>
      </c>
      <c r="D142" s="11"/>
      <c r="E142" s="11"/>
      <c r="I142" s="11"/>
      <c r="J142" s="168"/>
      <c r="K142" s="7"/>
      <c r="L142" s="115"/>
      <c r="M142" s="115"/>
      <c r="N142" s="34"/>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ref="A143:A148" si="2">+A142+1</f>
        <v>39</v>
      </c>
      <c r="C143" s="18" t="s">
        <v>66</v>
      </c>
      <c r="D143" s="11" t="s">
        <v>302</v>
      </c>
      <c r="E143" s="197">
        <f>1141800+'10 - Workpaper'!I10</f>
        <v>2085216.0166666666</v>
      </c>
      <c r="F143" s="11"/>
      <c r="G143" s="11" t="str">
        <f>+I220</f>
        <v>TP=</v>
      </c>
      <c r="H143" s="741">
        <f>+J220</f>
        <v>1</v>
      </c>
      <c r="I143" s="11"/>
      <c r="J143" s="168">
        <f t="shared" ref="J143:J148" si="3">+H143*E143</f>
        <v>2085216.0166666666</v>
      </c>
      <c r="K143" s="11"/>
      <c r="L143" s="117"/>
      <c r="M143" s="117"/>
      <c r="N143" s="53"/>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2"/>
        <v>40</v>
      </c>
      <c r="C144" s="54" t="s">
        <v>352</v>
      </c>
      <c r="D144" s="19" t="s">
        <v>565</v>
      </c>
      <c r="E144" s="197">
        <v>0</v>
      </c>
      <c r="F144" s="11"/>
      <c r="G144" s="11" t="str">
        <f>+G143</f>
        <v>TP=</v>
      </c>
      <c r="H144" s="741">
        <f>+H143</f>
        <v>1</v>
      </c>
      <c r="I144" s="11"/>
      <c r="J144" s="168">
        <f t="shared" si="3"/>
        <v>0</v>
      </c>
      <c r="K144" s="11"/>
      <c r="L144" s="117"/>
      <c r="M144" s="117"/>
      <c r="N144" s="53"/>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2"/>
        <v>41</v>
      </c>
      <c r="C145" s="54" t="s">
        <v>67</v>
      </c>
      <c r="D145" s="19" t="s">
        <v>296</v>
      </c>
      <c r="E145" s="197">
        <f>3249400</f>
        <v>3249400</v>
      </c>
      <c r="F145" s="11"/>
      <c r="G145" s="11" t="s">
        <v>56</v>
      </c>
      <c r="H145" s="741">
        <v>1</v>
      </c>
      <c r="I145" s="11"/>
      <c r="J145" s="168">
        <f t="shared" si="3"/>
        <v>3249400</v>
      </c>
      <c r="K145" s="11"/>
      <c r="L145" s="117"/>
      <c r="M145" s="117"/>
      <c r="N145" s="34"/>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ht="15.6">
      <c r="A146" s="12">
        <f t="shared" si="2"/>
        <v>42</v>
      </c>
      <c r="C146" s="54" t="s">
        <v>285</v>
      </c>
      <c r="D146" s="54" t="str">
        <f>" (Note "&amp;A277&amp;" &amp; Attach 3, line 171)"</f>
        <v xml:space="preserve"> (Note D &amp; Attach 3, line 171)</v>
      </c>
      <c r="E146" s="113">
        <f>+'3 - Cost Support'!G55</f>
        <v>0</v>
      </c>
      <c r="F146" s="11"/>
      <c r="G146" s="11" t="s">
        <v>158</v>
      </c>
      <c r="H146" s="741">
        <f>+J$228</f>
        <v>1</v>
      </c>
      <c r="I146" s="11"/>
      <c r="J146" s="168">
        <f>+E146</f>
        <v>0</v>
      </c>
      <c r="K146" s="1008"/>
      <c r="L146" s="117"/>
      <c r="M146" s="117"/>
      <c r="N146" s="34"/>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f t="shared" si="2"/>
        <v>43</v>
      </c>
      <c r="C147" s="54" t="s">
        <v>288</v>
      </c>
      <c r="D147" s="54" t="str">
        <f>" (Note "&amp;A277&amp;" &amp; Attach 3, line 172)"</f>
        <v xml:space="preserve"> (Note D &amp; Attach 3, line 172)</v>
      </c>
      <c r="E147" s="113">
        <f>+'3 - Cost Support'!H64</f>
        <v>0</v>
      </c>
      <c r="F147" s="11"/>
      <c r="G147" s="55" t="str">
        <f>+G143</f>
        <v>TP=</v>
      </c>
      <c r="H147" s="741">
        <f>+H143</f>
        <v>1</v>
      </c>
      <c r="I147" s="11"/>
      <c r="J147" s="168">
        <f t="shared" si="3"/>
        <v>0</v>
      </c>
      <c r="K147" s="11"/>
      <c r="L147" s="117"/>
      <c r="M147" s="117"/>
      <c r="N147" s="34"/>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2"/>
        <v>44</v>
      </c>
      <c r="C148" s="54" t="s">
        <v>261</v>
      </c>
      <c r="D148" s="19" t="s">
        <v>814</v>
      </c>
      <c r="E148" s="113">
        <f>+'3 - Cost Support'!F183</f>
        <v>0</v>
      </c>
      <c r="F148" s="11"/>
      <c r="G148" s="55" t="str">
        <f>+G144</f>
        <v>TP=</v>
      </c>
      <c r="H148" s="741">
        <f>+H143</f>
        <v>1</v>
      </c>
      <c r="I148" s="11"/>
      <c r="J148" s="168">
        <f t="shared" si="3"/>
        <v>0</v>
      </c>
      <c r="K148" s="11"/>
      <c r="L148" s="117"/>
      <c r="M148" s="117"/>
      <c r="N148" s="34"/>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ht="15.6">
      <c r="A149" s="1004" t="s">
        <v>581</v>
      </c>
      <c r="C149" s="54" t="s">
        <v>584</v>
      </c>
      <c r="D149" s="19" t="s">
        <v>971</v>
      </c>
      <c r="E149" s="1005">
        <f>E150</f>
        <v>943416.01666666672</v>
      </c>
      <c r="F149" s="11"/>
      <c r="G149" s="11" t="s">
        <v>158</v>
      </c>
      <c r="H149" s="741">
        <f t="shared" ref="H149:H151" si="4">+J$228</f>
        <v>1</v>
      </c>
      <c r="I149" s="11"/>
      <c r="J149" s="168">
        <f t="shared" ref="J149:J151" si="5">+E149</f>
        <v>943416.01666666672</v>
      </c>
      <c r="K149" s="1008"/>
      <c r="L149" s="117"/>
      <c r="M149" s="117"/>
      <c r="N149" s="34"/>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004" t="s">
        <v>582</v>
      </c>
      <c r="C150" s="54" t="s">
        <v>585</v>
      </c>
      <c r="D150" s="19" t="s">
        <v>888</v>
      </c>
      <c r="E150" s="113">
        <f>+'10 - Workpaper'!I21</f>
        <v>943416.01666666672</v>
      </c>
      <c r="F150" s="11"/>
      <c r="G150" s="11" t="s">
        <v>158</v>
      </c>
      <c r="H150" s="741">
        <f t="shared" si="4"/>
        <v>1</v>
      </c>
      <c r="I150" s="11"/>
      <c r="J150" s="168">
        <f t="shared" si="5"/>
        <v>943416.01666666672</v>
      </c>
      <c r="K150" s="11"/>
      <c r="L150" s="117"/>
      <c r="M150" s="117"/>
      <c r="N150" s="34"/>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004" t="s">
        <v>583</v>
      </c>
      <c r="C151" s="54" t="s">
        <v>586</v>
      </c>
      <c r="D151" s="19" t="s">
        <v>587</v>
      </c>
      <c r="E151" s="113">
        <f>+E149-E150</f>
        <v>0</v>
      </c>
      <c r="F151" s="11"/>
      <c r="G151" s="11" t="s">
        <v>158</v>
      </c>
      <c r="H151" s="741">
        <f t="shared" si="4"/>
        <v>1</v>
      </c>
      <c r="I151" s="11"/>
      <c r="J151" s="168">
        <f t="shared" si="5"/>
        <v>0</v>
      </c>
      <c r="K151" s="11"/>
      <c r="L151" s="117"/>
      <c r="M151" s="117"/>
      <c r="N151" s="34"/>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+A148+1</f>
        <v>45</v>
      </c>
      <c r="C152" s="54" t="str">
        <f>"TOTAL O&amp;M   (sum lines "&amp;A143&amp;", "&amp;A145&amp;", "&amp;A147&amp;", "&amp;A148&amp;", "&amp;A150&amp;", "&amp;A151&amp;" less lines "&amp;A144&amp;" &amp; "&amp;A146&amp;", "&amp;A149&amp;") (Note D)"</f>
        <v>TOTAL O&amp;M   (sum lines 39, 41, 43, 44, 44b, 44c less lines 40 &amp; 42, 44a) (Note D)</v>
      </c>
      <c r="D152" s="19"/>
      <c r="E152" s="186">
        <f>+E143-E144+E145-E146+E147+E148-E149+E150+E151</f>
        <v>5334616.0166666666</v>
      </c>
      <c r="F152" s="11"/>
      <c r="G152" s="11"/>
      <c r="H152" s="11"/>
      <c r="I152" s="11"/>
      <c r="J152" s="186">
        <f>+J143-J144+J145-J146+J147+J148-J149+J150+J151</f>
        <v>5334616.0166666666</v>
      </c>
      <c r="K152" s="11"/>
      <c r="L152" s="117"/>
      <c r="M152" s="117"/>
      <c r="N152" s="34"/>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c r="D153" s="11"/>
      <c r="E153" s="168"/>
      <c r="F153" s="11"/>
      <c r="G153" s="11"/>
      <c r="H153" s="11"/>
      <c r="I153" s="11"/>
      <c r="J153" s="168"/>
      <c r="K153" s="11"/>
      <c r="L153" s="117"/>
      <c r="M153" s="117"/>
      <c r="N153" s="34"/>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f>+A152+1</f>
        <v>46</v>
      </c>
      <c r="C154" s="18" t="s">
        <v>777</v>
      </c>
      <c r="D154" s="11"/>
      <c r="E154" s="186"/>
      <c r="F154" s="11"/>
      <c r="G154" s="11"/>
      <c r="H154" s="11"/>
      <c r="I154" s="11"/>
      <c r="J154" s="186"/>
      <c r="K154" s="11"/>
      <c r="L154" s="117"/>
      <c r="M154" s="117"/>
      <c r="N154" s="34"/>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f>+A154+1</f>
        <v>47</v>
      </c>
      <c r="C155" s="18" t="str">
        <f>+C143</f>
        <v xml:space="preserve">  Transmission </v>
      </c>
      <c r="D155" s="19" t="s">
        <v>778</v>
      </c>
      <c r="E155" s="197">
        <f>ROUND('2 - Cost Support '!F13*('9- Depreciation Rates'!D19/100)*7/12,0)</f>
        <v>761248</v>
      </c>
      <c r="F155" s="11"/>
      <c r="G155" s="11" t="s">
        <v>44</v>
      </c>
      <c r="H155" s="741">
        <f>+J$220</f>
        <v>1</v>
      </c>
      <c r="I155" s="11"/>
      <c r="J155" s="168">
        <f>+H155*E155</f>
        <v>761248</v>
      </c>
      <c r="K155" s="11"/>
      <c r="L155" s="117"/>
      <c r="M155" s="117"/>
      <c r="N155" s="53"/>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+A155+1</f>
        <v>48</v>
      </c>
      <c r="C156" s="18" t="s">
        <v>252</v>
      </c>
      <c r="D156" s="19" t="s">
        <v>779</v>
      </c>
      <c r="E156" s="197">
        <f>ROUND('2 - Cost Support '!F45*('9- Depreciation Rates'!D19/100)*7/12+'2 - Cost Support '!F62*('9- Depreciation Rates'!D39/100)*6/12,0)</f>
        <v>2131537</v>
      </c>
      <c r="F156" s="11"/>
      <c r="G156" s="11" t="s">
        <v>56</v>
      </c>
      <c r="H156" s="741">
        <v>1</v>
      </c>
      <c r="I156" s="11"/>
      <c r="J156" s="168">
        <f>+H156*E156</f>
        <v>2131537</v>
      </c>
      <c r="K156" s="11"/>
      <c r="L156" s="117"/>
      <c r="M156" s="117"/>
      <c r="N156" s="33"/>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49</v>
      </c>
      <c r="C157" s="512" t="s">
        <v>249</v>
      </c>
      <c r="D157" s="513" t="s">
        <v>578</v>
      </c>
      <c r="E157" s="514">
        <f>+'3 - Cost Support'!H9</f>
        <v>0</v>
      </c>
      <c r="F157" s="515"/>
      <c r="G157" s="515" t="s">
        <v>158</v>
      </c>
      <c r="H157" s="742">
        <v>1</v>
      </c>
      <c r="I157" s="515"/>
      <c r="J157" s="519">
        <f>+H157*E157</f>
        <v>0</v>
      </c>
      <c r="K157" s="11"/>
      <c r="L157" s="117"/>
      <c r="M157" s="117"/>
      <c r="N157" s="33"/>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f>+A157+1</f>
        <v>50</v>
      </c>
      <c r="B158" s="7"/>
      <c r="C158" s="510" t="str">
        <f>"TOTAL DEPRECIATION (Sum lines "&amp;A155&amp;"-"&amp;A157&amp;")"</f>
        <v>TOTAL DEPRECIATION (Sum lines 47-49)</v>
      </c>
      <c r="D158" s="11"/>
      <c r="E158" s="186">
        <f>SUM(E155:E157)</f>
        <v>2892785</v>
      </c>
      <c r="F158" s="11"/>
      <c r="G158" s="11"/>
      <c r="H158" s="741"/>
      <c r="I158" s="11"/>
      <c r="J158" s="186">
        <f>SUM(J155:J157)</f>
        <v>2892785</v>
      </c>
      <c r="K158" s="11"/>
      <c r="L158" s="117"/>
      <c r="N158" s="117">
        <f>+J158+J150</f>
        <v>3836201.0166666666</v>
      </c>
      <c r="O158" s="160" t="s">
        <v>1040</v>
      </c>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12"/>
      <c r="C159" s="18"/>
      <c r="D159" s="11"/>
      <c r="E159" s="186"/>
      <c r="F159" s="11"/>
      <c r="G159" s="11"/>
      <c r="H159" s="741"/>
      <c r="I159" s="11"/>
      <c r="J159" s="186"/>
      <c r="K159" s="11"/>
      <c r="L159" s="117"/>
      <c r="N159" s="11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12">
        <f>+A158+1</f>
        <v>51</v>
      </c>
      <c r="C160" s="18" t="str">
        <f>"TAXES OTHER THAN INCOME TAXES  (Note "&amp;A283&amp;")"</f>
        <v>TAXES OTHER THAN INCOME TAXES  (Note E)</v>
      </c>
      <c r="D160" s="26"/>
      <c r="E160" s="186"/>
      <c r="F160" s="11"/>
      <c r="G160" s="11"/>
      <c r="H160" s="741"/>
      <c r="I160" s="11"/>
      <c r="J160" s="186"/>
      <c r="K160" s="11"/>
      <c r="L160" s="117"/>
      <c r="N160" s="11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12">
        <f t="shared" ref="A161:A167" si="6">+A160+1</f>
        <v>52</v>
      </c>
      <c r="C161" s="18" t="s">
        <v>68</v>
      </c>
      <c r="D161" s="26"/>
      <c r="E161" s="186"/>
      <c r="F161" s="11"/>
      <c r="G161" s="11"/>
      <c r="H161" s="741"/>
      <c r="I161" s="11"/>
      <c r="J161" s="186"/>
      <c r="K161" s="11"/>
      <c r="L161" s="117"/>
      <c r="N161" s="11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f t="shared" si="6"/>
        <v>53</v>
      </c>
      <c r="C162" s="18" t="s">
        <v>69</v>
      </c>
      <c r="D162" s="1418" t="s">
        <v>444</v>
      </c>
      <c r="E162" s="197">
        <v>0</v>
      </c>
      <c r="F162" s="11"/>
      <c r="G162" s="11" t="s">
        <v>56</v>
      </c>
      <c r="H162" s="741">
        <f>+J$228</f>
        <v>1</v>
      </c>
      <c r="I162" s="11"/>
      <c r="J162" s="168">
        <f>+H162*E162</f>
        <v>0</v>
      </c>
      <c r="K162" s="11"/>
      <c r="L162" s="117"/>
      <c r="N162" s="11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c r="A163" s="12">
        <f t="shared" si="6"/>
        <v>54</v>
      </c>
      <c r="C163" s="18" t="s">
        <v>70</v>
      </c>
      <c r="D163" s="1418" t="s">
        <v>444</v>
      </c>
      <c r="E163" s="197">
        <v>0</v>
      </c>
      <c r="F163" s="11"/>
      <c r="G163" s="11" t="str">
        <f>+G162</f>
        <v>W/S</v>
      </c>
      <c r="H163" s="741">
        <f>+J$228</f>
        <v>1</v>
      </c>
      <c r="I163" s="11"/>
      <c r="J163" s="168">
        <f>+H163*E163</f>
        <v>0</v>
      </c>
      <c r="K163" s="11"/>
      <c r="L163" s="117"/>
      <c r="N163" s="11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c r="A164" s="12">
        <f t="shared" si="6"/>
        <v>55</v>
      </c>
      <c r="C164" s="18" t="s">
        <v>71</v>
      </c>
      <c r="D164" s="56" t="s">
        <v>29</v>
      </c>
      <c r="E164" s="186"/>
      <c r="F164" s="11"/>
      <c r="G164" s="11"/>
      <c r="H164" s="741"/>
      <c r="I164" s="11"/>
      <c r="J164" s="186"/>
      <c r="K164" s="11"/>
      <c r="L164" s="117"/>
      <c r="N164" s="11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c r="A165" s="12">
        <f t="shared" si="6"/>
        <v>56</v>
      </c>
      <c r="C165" s="18" t="s">
        <v>72</v>
      </c>
      <c r="D165" s="1418" t="s">
        <v>444</v>
      </c>
      <c r="E165" s="197">
        <v>3425400</v>
      </c>
      <c r="F165" s="11"/>
      <c r="G165" s="11" t="s">
        <v>64</v>
      </c>
      <c r="H165" s="744">
        <f>+H$83</f>
        <v>1</v>
      </c>
      <c r="I165" s="11"/>
      <c r="J165" s="168">
        <f>+H165*E165</f>
        <v>3425400</v>
      </c>
      <c r="K165" s="11"/>
      <c r="L165" s="117"/>
      <c r="N165" s="11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c r="A166" s="12">
        <f t="shared" si="6"/>
        <v>57</v>
      </c>
      <c r="C166" s="18" t="s">
        <v>73</v>
      </c>
      <c r="D166" s="1418" t="s">
        <v>444</v>
      </c>
      <c r="E166" s="197">
        <v>0</v>
      </c>
      <c r="F166" s="11"/>
      <c r="G166" s="19" t="s">
        <v>53</v>
      </c>
      <c r="H166" s="528">
        <v>0</v>
      </c>
      <c r="I166" s="11"/>
      <c r="J166" s="168">
        <f>+H166*E166</f>
        <v>0</v>
      </c>
      <c r="K166" s="11"/>
      <c r="L166" s="117"/>
      <c r="N166" s="11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c r="A167" s="12">
        <f t="shared" si="6"/>
        <v>58</v>
      </c>
      <c r="C167" s="18" t="s">
        <v>74</v>
      </c>
      <c r="D167" s="1418" t="s">
        <v>444</v>
      </c>
      <c r="E167" s="197">
        <v>0</v>
      </c>
      <c r="F167" s="11"/>
      <c r="G167" s="11" t="str">
        <f>+G165</f>
        <v>GP</v>
      </c>
      <c r="H167" s="744">
        <f>+H$83</f>
        <v>1</v>
      </c>
      <c r="I167" s="11"/>
      <c r="J167" s="168">
        <f>+H167*E167</f>
        <v>0</v>
      </c>
      <c r="K167" s="11"/>
      <c r="L167" s="117"/>
      <c r="N167" s="11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c r="A168" s="12">
        <f>+A167+1</f>
        <v>59</v>
      </c>
      <c r="C168" s="18" t="str">
        <f>"TOTAL OTHER TAXES  (sum lines "&amp;A162&amp;"-"&amp;A167&amp;")"</f>
        <v>TOTAL OTHER TAXES  (sum lines 53-58)</v>
      </c>
      <c r="D168" s="11"/>
      <c r="E168" s="186">
        <f>SUM(E162:E167)</f>
        <v>3425400</v>
      </c>
      <c r="F168" s="11"/>
      <c r="G168" s="11"/>
      <c r="H168" s="741"/>
      <c r="I168" s="11"/>
      <c r="J168" s="186">
        <f>SUM(J162:J167)</f>
        <v>3425400</v>
      </c>
      <c r="K168" s="11"/>
      <c r="L168" s="117"/>
      <c r="N168" s="117">
        <f>+J168+J152-J150</f>
        <v>7816599.9999999991</v>
      </c>
      <c r="O168" s="160" t="s">
        <v>1041</v>
      </c>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c r="A169" s="12"/>
      <c r="C169" s="18"/>
      <c r="D169" s="11"/>
      <c r="E169" s="11"/>
      <c r="F169" s="11"/>
      <c r="G169" s="11"/>
      <c r="H169" s="741"/>
      <c r="I169" s="11"/>
      <c r="J169" s="186"/>
      <c r="K169" s="11"/>
      <c r="L169" s="117"/>
      <c r="N169" s="11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c r="A170" s="12">
        <f>+A168+1</f>
        <v>60</v>
      </c>
      <c r="C170" s="18" t="s">
        <v>75</v>
      </c>
      <c r="D170" s="11" t="str">
        <f>" (Note "&amp;A286&amp;")"</f>
        <v xml:space="preserve"> (Note F)</v>
      </c>
      <c r="E170" s="11"/>
      <c r="F170" s="11"/>
      <c r="H170" s="755"/>
      <c r="I170" s="11"/>
      <c r="J170" s="168"/>
      <c r="K170" s="11"/>
      <c r="L170" s="117"/>
      <c r="N170" s="11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c r="A171" s="12">
        <f t="shared" ref="A171:A176" si="7">+A170+1</f>
        <v>61</v>
      </c>
      <c r="C171" s="59" t="s">
        <v>485</v>
      </c>
      <c r="D171" s="11"/>
      <c r="E171" s="528">
        <f>IF(E292&gt;0,1-(((1-E293)*(1-E292))/(1-E293*E292*E294)),0)*(1-E295)</f>
        <v>0.39615</v>
      </c>
      <c r="F171" s="11"/>
      <c r="H171" s="58"/>
      <c r="I171" s="33"/>
      <c r="J171" s="168"/>
      <c r="K171" s="11"/>
      <c r="L171" s="117"/>
      <c r="N171" s="11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c r="A172" s="12">
        <f t="shared" si="7"/>
        <v>62</v>
      </c>
      <c r="C172" s="1" t="s">
        <v>76</v>
      </c>
      <c r="D172" s="11"/>
      <c r="E172" s="528">
        <f>IF(K236&gt;0,(E171/(1-E171))*(1-K233/K236),0)</f>
        <v>0.48260113246960468</v>
      </c>
      <c r="F172" s="11"/>
      <c r="H172" s="58"/>
      <c r="I172" s="33"/>
      <c r="J172" s="168"/>
      <c r="K172" s="11"/>
      <c r="L172" s="117"/>
      <c r="N172" s="11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f t="shared" si="7"/>
        <v>63</v>
      </c>
      <c r="C173" s="18" t="str">
        <f>"       where WCLTD=(line "&amp;A233&amp;") and R= (line "&amp;A236&amp;")"</f>
        <v xml:space="preserve">       where WCLTD=(line 91) and R= (line 94)</v>
      </c>
      <c r="D173" s="11"/>
      <c r="E173" s="11"/>
      <c r="F173" s="11"/>
      <c r="H173" s="58"/>
      <c r="I173" s="33"/>
      <c r="J173" s="168"/>
      <c r="K173" s="11"/>
      <c r="L173" s="117"/>
      <c r="N173" s="11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f t="shared" si="7"/>
        <v>64</v>
      </c>
      <c r="C174" s="18" t="str">
        <f>"       and FIT, SIT, p, &amp; n are as given in footnote "&amp;A286&amp;"."</f>
        <v xml:space="preserve">       and FIT, SIT, p, &amp; n are as given in footnote F.</v>
      </c>
      <c r="D174" s="11"/>
      <c r="E174" s="11"/>
      <c r="F174" s="11"/>
      <c r="H174" s="58"/>
      <c r="I174" s="33"/>
      <c r="J174" s="168"/>
      <c r="K174" s="11"/>
      <c r="L174" s="117"/>
      <c r="N174" s="11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f t="shared" si="7"/>
        <v>65</v>
      </c>
      <c r="C175" s="59" t="str">
        <f>"      1 / (1 - T)  = (T from line "&amp;A171&amp;")"</f>
        <v xml:space="preserve">      1 / (1 - T)  = (T from line 61)</v>
      </c>
      <c r="D175" s="11"/>
      <c r="E175" s="528">
        <f>IF(E171&gt;0,1/(1-E171),0)</f>
        <v>1.6560404073859403</v>
      </c>
      <c r="F175" s="11"/>
      <c r="H175" s="58"/>
      <c r="I175" s="33"/>
      <c r="J175" s="168"/>
      <c r="K175" s="11"/>
      <c r="L175" s="117"/>
      <c r="N175" s="11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f t="shared" si="7"/>
        <v>66</v>
      </c>
      <c r="C176" s="18" t="s">
        <v>1014</v>
      </c>
      <c r="D176" s="11"/>
      <c r="E176" s="197">
        <v>0</v>
      </c>
      <c r="F176" s="11"/>
      <c r="H176" s="58"/>
      <c r="I176" s="11"/>
      <c r="J176" s="168"/>
      <c r="K176" s="11"/>
      <c r="L176" s="117"/>
      <c r="N176" s="11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18"/>
      <c r="D177" s="11"/>
      <c r="E177" s="186"/>
      <c r="F177" s="11"/>
      <c r="H177" s="58"/>
      <c r="I177" s="11"/>
      <c r="J177" s="168"/>
      <c r="K177" s="11"/>
      <c r="L177" s="117"/>
      <c r="N177" s="11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f>+A176+1</f>
        <v>67</v>
      </c>
      <c r="C178" s="59" t="str">
        <f>"Income Tax Calculation = line "&amp;A172&amp;" * line "&amp;A183&amp;" * (1-n) "</f>
        <v xml:space="preserve">Income Tax Calculation = line 62 * line 71 * (1-n) </v>
      </c>
      <c r="D178" s="60"/>
      <c r="E178" s="186">
        <f>+E172*E183*(1-E295)</f>
        <v>4404927.9991789265</v>
      </c>
      <c r="F178" s="11"/>
      <c r="G178" s="11"/>
      <c r="H178" s="21"/>
      <c r="I178" s="11"/>
      <c r="J178" s="186">
        <f>+E178</f>
        <v>4404927.9991789265</v>
      </c>
      <c r="K178" s="11"/>
      <c r="L178" s="117"/>
      <c r="N178" s="11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f>+A178+1</f>
        <v>68</v>
      </c>
      <c r="C179" s="520" t="str">
        <f>"ITC adjustment (line "&amp;A175&amp;" * line "&amp;A176&amp;" * (1- n))"</f>
        <v>ITC adjustment (line 65 * line 66 * (1- n))</v>
      </c>
      <c r="D179" s="521"/>
      <c r="E179" s="516">
        <f>+E175*E176*(1-E295)</f>
        <v>0</v>
      </c>
      <c r="F179" s="515"/>
      <c r="G179" s="520" t="s">
        <v>60</v>
      </c>
      <c r="H179" s="745">
        <f>+H$97</f>
        <v>1</v>
      </c>
      <c r="I179" s="515"/>
      <c r="J179" s="516">
        <f>+H179*E179*(1-E295)</f>
        <v>0</v>
      </c>
      <c r="K179" s="11"/>
      <c r="L179" s="117"/>
      <c r="N179" s="11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f>+A179+1</f>
        <v>69</v>
      </c>
      <c r="C180" s="61" t="s">
        <v>78</v>
      </c>
      <c r="D180" s="1" t="str">
        <f>"(line "&amp;A178&amp;" plus line "&amp;A179&amp;")"</f>
        <v>(line 67 plus line 68)</v>
      </c>
      <c r="E180" s="196">
        <f>+E179+E178</f>
        <v>4404927.9991789265</v>
      </c>
      <c r="F180" s="11"/>
      <c r="G180" s="11" t="s">
        <v>29</v>
      </c>
      <c r="H180" s="21" t="s">
        <v>29</v>
      </c>
      <c r="I180" s="11"/>
      <c r="J180" s="196">
        <f>+J178+J179</f>
        <v>4404927.9991789265</v>
      </c>
      <c r="K180" s="11"/>
      <c r="L180" s="908"/>
      <c r="N180" s="11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c r="D181" s="63"/>
      <c r="E181" s="186"/>
      <c r="F181" s="11"/>
      <c r="G181" s="11"/>
      <c r="H181" s="21"/>
      <c r="I181" s="11"/>
      <c r="J181" s="186"/>
      <c r="K181" s="11"/>
      <c r="L181" s="908"/>
      <c r="N181" s="11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f>+A180+1</f>
        <v>70</v>
      </c>
      <c r="C182" s="18" t="s">
        <v>79</v>
      </c>
      <c r="D182" s="46"/>
      <c r="E182" s="168"/>
      <c r="H182" s="58"/>
      <c r="I182" s="11"/>
      <c r="K182" s="11"/>
      <c r="L182" s="908"/>
      <c r="N182" s="11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+A182+1</f>
        <v>71</v>
      </c>
      <c r="C183" s="61" t="str">
        <f>" [ Rate Base (line "&amp;A116&amp;") * Rate of Return (line "&amp;A236&amp;")]"</f>
        <v xml:space="preserve"> [ Rate Base (line 37) * Rate of Return (line 94)]</v>
      </c>
      <c r="D183" s="26"/>
      <c r="E183" s="186">
        <f>+K236*E116</f>
        <v>9127471.3273830935</v>
      </c>
      <c r="F183" s="11"/>
      <c r="G183" s="11" t="s">
        <v>53</v>
      </c>
      <c r="H183" s="58"/>
      <c r="I183" s="11"/>
      <c r="J183" s="186">
        <f>+J116*K236</f>
        <v>9127471.3273830935</v>
      </c>
      <c r="K183" s="11"/>
      <c r="L183" s="908"/>
      <c r="N183" s="11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18"/>
      <c r="D184" s="26"/>
      <c r="E184" s="117"/>
      <c r="F184" s="11"/>
      <c r="G184" s="11"/>
      <c r="H184" s="58"/>
      <c r="I184" s="11"/>
      <c r="J184" s="898"/>
      <c r="K184" s="11"/>
      <c r="L184" s="908"/>
      <c r="N184" s="11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88">
        <f>+A183+1</f>
        <v>72</v>
      </c>
      <c r="C185" s="18" t="str">
        <f>"Rev Requirement before Incentive Projects  (sum lines "&amp;A152&amp;", "&amp;A158&amp;", "&amp;A168&amp;", "&amp;A180&amp;", "&amp;A183&amp;")"</f>
        <v>Rev Requirement before Incentive Projects  (sum lines 45, 50, 59, 69, 71)</v>
      </c>
      <c r="D185" s="26"/>
      <c r="E185" s="898">
        <f>+E152+E158+E168+E180+E183</f>
        <v>25185200.343228687</v>
      </c>
      <c r="F185" s="974"/>
      <c r="G185" s="974"/>
      <c r="H185" s="975"/>
      <c r="I185" s="974"/>
      <c r="J185" s="898">
        <f>+J152+J158+J168+J180+J183</f>
        <v>25185200.343228687</v>
      </c>
      <c r="L185" s="908"/>
      <c r="N185" s="11">
        <f>+J183+J180</f>
        <v>13532399.326562021</v>
      </c>
      <c r="O185" s="160" t="s">
        <v>1039</v>
      </c>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88"/>
      <c r="C186" s="18"/>
      <c r="D186" s="26"/>
      <c r="E186" s="927"/>
      <c r="F186" s="117"/>
      <c r="G186" s="117"/>
      <c r="H186" s="899"/>
      <c r="I186" s="117"/>
      <c r="J186" s="898"/>
      <c r="K186" s="11"/>
      <c r="L186" s="908"/>
      <c r="M186" s="117"/>
      <c r="N186" s="33"/>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88">
        <f>+A185+1</f>
        <v>73</v>
      </c>
      <c r="C187" s="18" t="s">
        <v>579</v>
      </c>
      <c r="D187" s="26"/>
      <c r="E187" s="158">
        <f>+'4 - Incentives'!I133</f>
        <v>535111.66773835442</v>
      </c>
      <c r="F187" s="11"/>
      <c r="G187" s="11" t="s">
        <v>158</v>
      </c>
      <c r="H187" s="900">
        <v>1</v>
      </c>
      <c r="I187" s="11"/>
      <c r="J187" s="898">
        <f>+H187*E187</f>
        <v>535111.66773835442</v>
      </c>
      <c r="K187" s="11"/>
      <c r="L187" s="117"/>
      <c r="M187" s="117"/>
      <c r="N187" s="33"/>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c r="C188" s="18"/>
      <c r="D188" s="26"/>
      <c r="E188" s="117"/>
      <c r="F188" s="11"/>
      <c r="G188" s="11"/>
      <c r="H188" s="58"/>
      <c r="I188" s="11"/>
      <c r="J188" s="898"/>
      <c r="K188" s="11"/>
      <c r="L188" s="117"/>
      <c r="M188" s="117"/>
      <c r="N188" s="33"/>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ht="15.6" thickBot="1">
      <c r="A189" s="12">
        <f>+A187+1</f>
        <v>74</v>
      </c>
      <c r="C189" s="18" t="str">
        <f>"Total Revenue Requirement  (sum lines "&amp;A185&amp;" &amp; "&amp;A187&amp;")"</f>
        <v>Total Revenue Requirement  (sum lines 72 &amp; 73)</v>
      </c>
      <c r="D189" s="11"/>
      <c r="E189" s="187">
        <f>+E183+E180+E168+E158+E152+E187</f>
        <v>25720312.010967042</v>
      </c>
      <c r="F189" s="11"/>
      <c r="G189" s="11"/>
      <c r="H189" s="11"/>
      <c r="I189" s="11"/>
      <c r="J189" s="187">
        <f>+J183+J180+J168+J158+J152+J187</f>
        <v>25720312.010967042</v>
      </c>
      <c r="K189" s="11"/>
      <c r="L189" s="529"/>
      <c r="M189" s="117"/>
      <c r="N189" s="34"/>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ht="15.6" thickTop="1">
      <c r="A190" s="12"/>
      <c r="C190" s="65"/>
      <c r="D190" s="65"/>
      <c r="E190" s="65"/>
      <c r="F190" s="65"/>
      <c r="G190" s="65"/>
      <c r="H190" s="65"/>
      <c r="I190" s="65"/>
      <c r="J190" s="65"/>
      <c r="K190" s="152"/>
      <c r="L190" s="151"/>
      <c r="M190" s="151"/>
      <c r="N190" s="65"/>
      <c r="O190" s="65"/>
      <c r="P190" s="65"/>
      <c r="Q190" s="65"/>
    </row>
    <row r="191" spans="1:61">
      <c r="A191" s="12"/>
      <c r="C191" s="26"/>
      <c r="D191" s="65"/>
      <c r="E191" s="65"/>
      <c r="F191" s="65"/>
      <c r="G191" s="65"/>
      <c r="H191" s="65"/>
      <c r="I191" s="65"/>
      <c r="J191" s="65"/>
      <c r="K191" s="65"/>
      <c r="L191" s="152"/>
      <c r="M191" s="152"/>
      <c r="N191" s="65"/>
      <c r="O191" s="65"/>
      <c r="P191" s="65"/>
      <c r="Q191" s="65"/>
    </row>
    <row r="192" spans="1:61">
      <c r="A192" s="12"/>
      <c r="C192" s="107"/>
      <c r="D192" s="65"/>
      <c r="E192" s="65"/>
      <c r="F192" s="65"/>
      <c r="G192" s="65"/>
      <c r="H192" s="65"/>
      <c r="I192" s="65"/>
      <c r="J192" s="65"/>
      <c r="K192" s="65"/>
      <c r="L192" s="152"/>
      <c r="M192" s="152"/>
      <c r="N192" s="65"/>
      <c r="O192" s="65"/>
      <c r="P192" s="65"/>
      <c r="Q192" s="65"/>
    </row>
    <row r="193" spans="1:61">
      <c r="A193" s="12"/>
      <c r="C193" s="109"/>
      <c r="D193" s="65"/>
      <c r="E193" s="65"/>
      <c r="F193" s="65"/>
      <c r="G193" s="65"/>
      <c r="H193" s="65"/>
      <c r="I193" s="65"/>
      <c r="J193" s="65"/>
      <c r="K193" s="65"/>
      <c r="L193" s="152"/>
      <c r="M193" s="152"/>
      <c r="N193" s="65"/>
      <c r="O193" s="65"/>
      <c r="P193" s="65"/>
      <c r="Q193" s="65"/>
    </row>
    <row r="194" spans="1:61">
      <c r="A194" s="12"/>
      <c r="C194" s="109"/>
      <c r="D194" s="65"/>
      <c r="E194" s="65"/>
      <c r="F194" s="65"/>
      <c r="G194" s="65"/>
      <c r="H194" s="65"/>
      <c r="I194" s="65"/>
      <c r="J194" s="65"/>
      <c r="K194" s="65"/>
      <c r="L194" s="65"/>
      <c r="M194" s="65"/>
      <c r="N194" s="65"/>
      <c r="O194" s="65"/>
      <c r="P194" s="65"/>
      <c r="Q194" s="65"/>
    </row>
    <row r="195" spans="1:61">
      <c r="A195" s="12"/>
      <c r="C195" s="109"/>
      <c r="D195" s="65"/>
      <c r="E195" s="65"/>
      <c r="F195" s="65"/>
      <c r="G195" s="65"/>
      <c r="H195" s="65"/>
      <c r="I195" s="65"/>
      <c r="J195" s="65"/>
      <c r="K195" s="65"/>
      <c r="L195" s="65"/>
      <c r="M195" s="65"/>
      <c r="N195" s="65"/>
      <c r="O195" s="65"/>
      <c r="P195" s="65"/>
      <c r="Q195" s="65"/>
    </row>
    <row r="196" spans="1:61">
      <c r="A196" s="12"/>
      <c r="C196" s="104"/>
      <c r="D196" s="65"/>
      <c r="E196" s="65"/>
      <c r="F196" s="65"/>
      <c r="G196" s="65"/>
      <c r="H196" s="65"/>
      <c r="I196" s="65"/>
      <c r="J196" s="65"/>
      <c r="K196" s="65"/>
      <c r="L196" s="65"/>
      <c r="M196" s="65"/>
      <c r="N196" s="65"/>
      <c r="O196" s="65"/>
      <c r="P196" s="65"/>
      <c r="Q196" s="65"/>
    </row>
    <row r="197" spans="1:61">
      <c r="A197" s="12"/>
      <c r="C197" s="104"/>
      <c r="D197" s="65"/>
      <c r="E197" s="65"/>
      <c r="F197" s="65"/>
      <c r="G197" s="65"/>
      <c r="H197" s="65"/>
      <c r="I197" s="65"/>
      <c r="J197" s="65"/>
      <c r="K197" s="65"/>
      <c r="L197" s="65"/>
      <c r="M197" s="65"/>
      <c r="N197" s="65"/>
      <c r="O197" s="65"/>
      <c r="P197" s="65"/>
      <c r="Q197" s="65"/>
    </row>
    <row r="198" spans="1:61">
      <c r="A198" s="12"/>
      <c r="C198" s="66"/>
      <c r="D198" s="65"/>
      <c r="E198" s="65"/>
      <c r="F198" s="65"/>
      <c r="G198" s="65"/>
      <c r="H198" s="65"/>
      <c r="I198" s="65"/>
      <c r="J198" s="65"/>
      <c r="K198" s="65"/>
      <c r="L198" s="65"/>
      <c r="M198" s="65"/>
      <c r="N198" s="65"/>
      <c r="O198" s="65"/>
      <c r="P198" s="65"/>
      <c r="Q198" s="65"/>
    </row>
    <row r="199" spans="1:61">
      <c r="A199" s="12"/>
      <c r="C199" s="107"/>
      <c r="D199" s="65"/>
      <c r="E199" s="65"/>
      <c r="F199" s="65"/>
      <c r="G199" s="65"/>
      <c r="H199" s="65"/>
      <c r="I199" s="65"/>
      <c r="J199" s="65"/>
      <c r="K199" s="65"/>
      <c r="L199" s="65"/>
      <c r="M199" s="65"/>
      <c r="N199" s="65"/>
      <c r="O199" s="65"/>
      <c r="P199" s="65"/>
      <c r="Q199" s="65"/>
    </row>
    <row r="200" spans="1:61">
      <c r="A200" s="12"/>
      <c r="C200" s="104"/>
      <c r="D200" s="65"/>
      <c r="E200" s="65"/>
      <c r="F200" s="65"/>
      <c r="G200" s="65"/>
      <c r="H200" s="65"/>
      <c r="I200" s="65"/>
      <c r="J200" s="65"/>
      <c r="K200" s="65"/>
      <c r="L200" s="65"/>
      <c r="M200" s="65"/>
      <c r="N200" s="65"/>
      <c r="O200" s="65"/>
      <c r="P200" s="65"/>
      <c r="Q200" s="65"/>
    </row>
    <row r="201" spans="1:61">
      <c r="A201" s="12"/>
      <c r="C201" s="26"/>
      <c r="D201" s="65"/>
      <c r="E201" s="65"/>
      <c r="F201" s="65"/>
      <c r="G201" s="65"/>
      <c r="H201" s="65"/>
      <c r="I201" s="65"/>
      <c r="J201" s="65"/>
      <c r="K201" s="65"/>
      <c r="L201" s="65"/>
      <c r="M201" s="65"/>
      <c r="N201" s="65"/>
      <c r="O201" s="65"/>
      <c r="P201" s="65"/>
      <c r="Q201" s="65"/>
    </row>
    <row r="202" spans="1:61">
      <c r="A202" s="12"/>
      <c r="C202" s="2"/>
      <c r="D202" s="2"/>
      <c r="E202" s="3"/>
      <c r="F202" s="2"/>
      <c r="G202" s="2"/>
      <c r="H202" s="2"/>
      <c r="I202" s="2"/>
      <c r="J202" s="2"/>
      <c r="K202" s="4"/>
      <c r="L202" s="4"/>
      <c r="M202" s="5"/>
      <c r="N202" s="6"/>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c r="C203" s="2"/>
      <c r="D203" s="2"/>
      <c r="E203" s="3"/>
      <c r="F203" s="2"/>
      <c r="G203" s="2"/>
      <c r="H203" s="2"/>
      <c r="I203" s="8"/>
      <c r="J203" s="5"/>
      <c r="K203" s="5"/>
      <c r="L203" s="5"/>
      <c r="M203" s="5" t="s">
        <v>432</v>
      </c>
      <c r="N203" s="6"/>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c r="C204" s="2"/>
      <c r="D204" s="2"/>
      <c r="E204" s="3"/>
      <c r="F204" s="2"/>
      <c r="G204" s="2"/>
      <c r="H204" s="2"/>
      <c r="I204" s="8"/>
      <c r="J204" s="9"/>
      <c r="K204" s="9"/>
      <c r="L204" s="9"/>
      <c r="M204" s="9" t="s">
        <v>435</v>
      </c>
      <c r="N204" s="6"/>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12"/>
      <c r="C205" s="2"/>
      <c r="D205" s="2"/>
      <c r="E205" s="3"/>
      <c r="F205" s="2"/>
      <c r="G205" s="2"/>
      <c r="H205" s="2"/>
      <c r="I205" s="8"/>
      <c r="J205" s="8"/>
      <c r="K205" s="10"/>
      <c r="L205" s="9"/>
      <c r="M205" s="9"/>
      <c r="N205" s="6"/>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c r="A206" s="12"/>
      <c r="C206" s="2"/>
      <c r="D206" s="2"/>
      <c r="E206" s="3"/>
      <c r="F206" s="2"/>
      <c r="G206" s="2"/>
      <c r="H206" s="2"/>
      <c r="I206" s="8"/>
      <c r="J206" s="8"/>
      <c r="K206" s="10"/>
      <c r="L206" s="9"/>
      <c r="M206" s="6"/>
      <c r="N206" s="6"/>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12"/>
      <c r="C207" s="2" t="s">
        <v>28</v>
      </c>
      <c r="D207" s="110"/>
      <c r="E207" s="4" t="s">
        <v>131</v>
      </c>
      <c r="F207" s="2"/>
      <c r="G207" s="2"/>
      <c r="H207" s="2"/>
      <c r="I207" s="8"/>
      <c r="K207" s="10"/>
      <c r="L207" s="10"/>
      <c r="M207" s="6"/>
      <c r="N207" s="6"/>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12"/>
      <c r="C208" s="2"/>
      <c r="D208" s="11"/>
      <c r="E208" s="81" t="s">
        <v>30</v>
      </c>
      <c r="F208" s="11"/>
      <c r="G208" s="11"/>
      <c r="H208" s="11"/>
      <c r="I208" s="8"/>
      <c r="J208" s="8"/>
      <c r="K208" s="10"/>
      <c r="L208" s="10"/>
      <c r="M208" s="6"/>
      <c r="N208" s="6"/>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12"/>
      <c r="C209" s="26"/>
      <c r="D209" s="26"/>
      <c r="E209" s="26"/>
      <c r="F209" s="26"/>
      <c r="G209" s="26"/>
      <c r="H209" s="26"/>
      <c r="I209" s="26"/>
      <c r="J209" s="26"/>
      <c r="K209" s="330"/>
      <c r="L209" s="331"/>
      <c r="M209" s="329" t="str">
        <f>+M135</f>
        <v>For the 12 months ended 12/31/____</v>
      </c>
      <c r="N209" s="34"/>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ht="15.6">
      <c r="A210" s="12"/>
      <c r="D210" s="26"/>
      <c r="E210" s="41" t="str">
        <f>E9</f>
        <v>New York Transco LLC</v>
      </c>
      <c r="F210" s="26"/>
      <c r="G210" s="26"/>
      <c r="H210" s="26"/>
      <c r="I210" s="26"/>
      <c r="J210" s="26"/>
      <c r="K210" s="11"/>
      <c r="M210" s="523"/>
      <c r="N210" s="34"/>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ht="15.6">
      <c r="A211" s="12"/>
      <c r="C211" s="26"/>
      <c r="E211" s="52" t="s">
        <v>308</v>
      </c>
      <c r="F211" s="10"/>
      <c r="G211" s="10"/>
      <c r="H211" s="10"/>
      <c r="I211" s="10"/>
      <c r="J211" s="10"/>
      <c r="K211" s="11"/>
      <c r="L211" s="11"/>
      <c r="M211" s="6"/>
      <c r="N211" s="34"/>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15.6">
      <c r="A212" s="12"/>
      <c r="C212" s="44"/>
      <c r="D212" s="10"/>
      <c r="E212" s="10"/>
      <c r="F212" s="10"/>
      <c r="G212" s="10"/>
      <c r="H212" s="10"/>
      <c r="I212" s="10"/>
      <c r="J212" s="10"/>
      <c r="K212" s="11"/>
      <c r="L212" s="11"/>
      <c r="M212" s="6"/>
      <c r="N212" s="34"/>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12">
        <f>+A189+1</f>
        <v>75</v>
      </c>
      <c r="C213" s="67" t="s">
        <v>312</v>
      </c>
      <c r="D213" s="68"/>
      <c r="E213" s="68"/>
      <c r="F213" s="68"/>
      <c r="G213" s="68"/>
      <c r="H213" s="68"/>
      <c r="I213" s="69"/>
      <c r="J213" s="70"/>
      <c r="K213" s="62"/>
      <c r="L213" s="62"/>
      <c r="M213" s="72"/>
      <c r="N213" s="34"/>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12"/>
      <c r="C214" s="67"/>
      <c r="D214" s="68"/>
      <c r="E214" s="68"/>
      <c r="F214" s="68"/>
      <c r="G214" s="68"/>
      <c r="H214" s="68"/>
      <c r="I214" s="68"/>
      <c r="J214" s="62"/>
      <c r="K214" s="62"/>
      <c r="L214" s="62"/>
      <c r="M214" s="71"/>
      <c r="N214" s="73"/>
      <c r="O214" s="74"/>
      <c r="P214" s="74"/>
      <c r="Q214" s="74"/>
      <c r="R214" s="74"/>
      <c r="S214" s="74"/>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12">
        <f>+A213+1</f>
        <v>76</v>
      </c>
      <c r="C215" s="28" t="str">
        <f>"Total transmission plant    (line "&amp;A80&amp;", column 3)"</f>
        <v>Total transmission plant    (line 7, column 3)</v>
      </c>
      <c r="D215" s="68"/>
      <c r="E215" s="19"/>
      <c r="F215" s="19"/>
      <c r="G215" s="19"/>
      <c r="H215" s="19"/>
      <c r="I215" s="19"/>
      <c r="J215" s="743">
        <f>+E80</f>
        <v>34461538.461538464</v>
      </c>
      <c r="K215" s="19"/>
      <c r="L215" s="19"/>
      <c r="M215" s="19"/>
      <c r="N215" s="73"/>
      <c r="O215" s="74"/>
      <c r="P215" s="74"/>
      <c r="Q215" s="74"/>
      <c r="R215" s="74"/>
      <c r="S215" s="74"/>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12">
        <f>+A215+1</f>
        <v>77</v>
      </c>
      <c r="C216" s="28" t="str">
        <f>"Less transmission plant excluded from RTO rates       (Note "&amp;A303&amp;")"</f>
        <v>Less transmission plant excluded from RTO rates       (Note H)</v>
      </c>
      <c r="D216" s="64"/>
      <c r="E216" s="64" t="s">
        <v>889</v>
      </c>
      <c r="F216" s="64"/>
      <c r="G216" s="64"/>
      <c r="H216" s="64"/>
      <c r="I216" s="64"/>
      <c r="J216" s="743">
        <f>+'3 - Cost Support'!G90</f>
        <v>0</v>
      </c>
      <c r="K216" s="19"/>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ht="15.6" thickBot="1">
      <c r="A217" s="12">
        <f>+A216+1</f>
        <v>78</v>
      </c>
      <c r="C217" s="75" t="str">
        <f>"Less transmission plant included in OATT Ancillary Services    (Note "&amp;A303&amp;")"</f>
        <v>Less transmission plant included in OATT Ancillary Services    (Note H)</v>
      </c>
      <c r="D217" s="76"/>
      <c r="E217" s="64" t="s">
        <v>889</v>
      </c>
      <c r="F217" s="19"/>
      <c r="G217" s="19"/>
      <c r="H217" s="77"/>
      <c r="I217" s="19"/>
      <c r="J217" s="743">
        <f>+'3 - Cost Support'!H90</f>
        <v>0</v>
      </c>
      <c r="K217" s="19"/>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A218" s="12">
        <f>+A217+1</f>
        <v>79</v>
      </c>
      <c r="C218" s="28" t="str">
        <f>"Transmission plant included in RTO rates  (line "&amp;A215&amp;" less lines "&amp;A216&amp;" &amp; "&amp;A217&amp;")"</f>
        <v>Transmission plant included in RTO rates  (line 76 less lines 77 &amp; 78)</v>
      </c>
      <c r="D218" s="68"/>
      <c r="E218" s="19"/>
      <c r="F218" s="19"/>
      <c r="G218" s="19"/>
      <c r="H218" s="77"/>
      <c r="I218" s="19"/>
      <c r="J218" s="743">
        <f>SUM(J215:J217)</f>
        <v>34461538.461538464</v>
      </c>
      <c r="K218" s="19"/>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c r="A219" s="12"/>
      <c r="C219" s="64"/>
      <c r="D219" s="68"/>
      <c r="E219" s="19"/>
      <c r="F219" s="19"/>
      <c r="G219" s="19"/>
      <c r="H219" s="77"/>
      <c r="I219" s="19"/>
      <c r="J219" s="69"/>
      <c r="K219" s="19"/>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12">
        <f>+A218+1</f>
        <v>80</v>
      </c>
      <c r="C220" s="28" t="str">
        <f>"Percentage of transmission plant included in RTO Rates (line "&amp;A218&amp;" divided by line "&amp;A215&amp;") [If line "&amp;A215&amp;" equal zero, enter 1)"</f>
        <v>Percentage of transmission plant included in RTO Rates (line 79 divided by line 76) [If line 76 equal zero, enter 1)</v>
      </c>
      <c r="D220" s="78"/>
      <c r="E220" s="79"/>
      <c r="F220" s="79"/>
      <c r="G220" s="79"/>
      <c r="H220" s="80"/>
      <c r="I220" s="19" t="s">
        <v>81</v>
      </c>
      <c r="J220" s="528">
        <f>IF(J215=0,1,J218/J215)</f>
        <v>1</v>
      </c>
      <c r="K220" s="4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A221" s="12"/>
      <c r="C221" s="69"/>
      <c r="D221" s="69"/>
      <c r="E221" s="69"/>
      <c r="F221" s="69"/>
      <c r="G221" s="69"/>
      <c r="H221" s="69"/>
      <c r="I221" s="69"/>
      <c r="J221" s="69"/>
      <c r="K221" s="19"/>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f>+A220+1</f>
        <v>81</v>
      </c>
      <c r="C222" s="18" t="s">
        <v>323</v>
      </c>
      <c r="D222" s="11"/>
      <c r="F222" s="11"/>
      <c r="G222" s="11"/>
      <c r="H222" s="19"/>
      <c r="I222" s="62"/>
      <c r="J222" s="82"/>
      <c r="K222" s="69"/>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6" thickBot="1">
      <c r="A223" s="12">
        <f t="shared" ref="A223:A228" si="8">+A222+1</f>
        <v>82</v>
      </c>
      <c r="C223" s="18"/>
      <c r="D223" s="24" t="s">
        <v>82</v>
      </c>
      <c r="E223" s="83" t="s">
        <v>83</v>
      </c>
      <c r="F223" s="83" t="s">
        <v>44</v>
      </c>
      <c r="G223" s="11"/>
      <c r="H223" s="83" t="s">
        <v>84</v>
      </c>
      <c r="I223" s="11"/>
      <c r="J223" s="69"/>
      <c r="K223" s="69"/>
      <c r="L223" s="69"/>
      <c r="M223" s="57"/>
      <c r="N223" s="34"/>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f t="shared" si="8"/>
        <v>83</v>
      </c>
      <c r="C224" s="18" t="s">
        <v>52</v>
      </c>
      <c r="D224" s="11" t="s">
        <v>85</v>
      </c>
      <c r="E224" s="746">
        <v>0</v>
      </c>
      <c r="F224" s="84">
        <v>0</v>
      </c>
      <c r="G224" s="84"/>
      <c r="H224" s="739">
        <f>+F224*E224</f>
        <v>0</v>
      </c>
      <c r="I224" s="11"/>
      <c r="J224" s="69"/>
      <c r="K224" s="19"/>
      <c r="L224" s="19"/>
      <c r="M224" s="57"/>
      <c r="N224" s="85"/>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A225" s="12">
        <f t="shared" si="8"/>
        <v>84</v>
      </c>
      <c r="C225" s="18" t="s">
        <v>54</v>
      </c>
      <c r="D225" s="11" t="s">
        <v>297</v>
      </c>
      <c r="E225" s="746">
        <v>1</v>
      </c>
      <c r="F225" s="747">
        <f>+J220</f>
        <v>1</v>
      </c>
      <c r="H225" s="739">
        <f>+F225*E225</f>
        <v>1</v>
      </c>
      <c r="I225" s="11"/>
      <c r="J225" s="69"/>
      <c r="K225" s="19"/>
      <c r="L225" s="19"/>
      <c r="M225" s="57"/>
      <c r="N225" s="85"/>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c r="A226" s="12">
        <f t="shared" si="8"/>
        <v>85</v>
      </c>
      <c r="C226" s="18" t="s">
        <v>55</v>
      </c>
      <c r="D226" s="11" t="s">
        <v>298</v>
      </c>
      <c r="E226" s="746">
        <v>0</v>
      </c>
      <c r="F226" s="84">
        <v>0</v>
      </c>
      <c r="G226" s="84"/>
      <c r="H226" s="739">
        <f>+F226*E226</f>
        <v>0</v>
      </c>
      <c r="I226" s="11"/>
      <c r="J226" s="86" t="s">
        <v>86</v>
      </c>
      <c r="K226" s="19"/>
      <c r="L226" s="19"/>
      <c r="M226" s="57"/>
      <c r="N226" s="85"/>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6" thickBot="1">
      <c r="A227" s="12">
        <f t="shared" si="8"/>
        <v>86</v>
      </c>
      <c r="C227" s="18" t="s">
        <v>87</v>
      </c>
      <c r="D227" s="11" t="s">
        <v>299</v>
      </c>
      <c r="E227" s="748">
        <v>0</v>
      </c>
      <c r="F227" s="84">
        <v>0</v>
      </c>
      <c r="G227" s="84"/>
      <c r="H227" s="749">
        <f>+F227*E227</f>
        <v>0</v>
      </c>
      <c r="I227" s="11"/>
      <c r="J227" s="87" t="s">
        <v>88</v>
      </c>
      <c r="K227" s="19"/>
      <c r="L227" s="19"/>
      <c r="M227" s="57"/>
      <c r="N227" s="34"/>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c r="A228" s="12">
        <f t="shared" si="8"/>
        <v>87</v>
      </c>
      <c r="C228" s="18" t="str">
        <f>"  Total  (sum lines "&amp;A224&amp;"-"&amp;A227&amp;") [TP equals 1 if there are no wages &amp; salaries]"</f>
        <v xml:space="preserve">  Total  (sum lines 83-86) [TP equals 1 if there are no wages &amp; salaries]</v>
      </c>
      <c r="D228" s="11"/>
      <c r="E228" s="739">
        <f>SUM(E224:E227)</f>
        <v>1</v>
      </c>
      <c r="F228" s="11"/>
      <c r="G228" s="11"/>
      <c r="H228" s="739">
        <f>SUM(H224:H227)</f>
        <v>1</v>
      </c>
      <c r="I228" s="35" t="s">
        <v>89</v>
      </c>
      <c r="J228" s="744">
        <f>IF(E228=0,0,H228/E228)</f>
        <v>1</v>
      </c>
      <c r="K228" s="77" t="s">
        <v>89</v>
      </c>
      <c r="L228" s="77" t="s">
        <v>90</v>
      </c>
      <c r="M228" s="57"/>
      <c r="N228" s="34"/>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c r="A229" s="12"/>
      <c r="B229" s="49"/>
      <c r="C229" s="2"/>
      <c r="D229" s="11"/>
      <c r="E229" s="11"/>
      <c r="F229" s="11"/>
      <c r="G229" s="11"/>
      <c r="H229" s="11"/>
      <c r="I229" s="11"/>
      <c r="J229" s="11"/>
      <c r="K229" s="11"/>
      <c r="L229" s="155"/>
      <c r="M229" s="146"/>
      <c r="N229" s="73"/>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c r="A230" s="12">
        <f>+A228+1</f>
        <v>88</v>
      </c>
      <c r="B230" s="49"/>
      <c r="C230" s="67" t="str">
        <f>"RETURN (R)      (Note "&amp;A307&amp;")"</f>
        <v>RETURN (R)      (Note J)</v>
      </c>
      <c r="D230" s="19"/>
      <c r="E230" s="111"/>
      <c r="F230" s="111"/>
      <c r="G230" s="49"/>
      <c r="H230" s="49"/>
      <c r="I230" s="49"/>
      <c r="J230" s="11"/>
      <c r="K230" s="11"/>
      <c r="L230" s="117"/>
      <c r="M230" s="135"/>
      <c r="N230" s="34"/>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c r="A231" s="12">
        <f t="shared" ref="A231:A236" si="9">+A230+1</f>
        <v>89</v>
      </c>
      <c r="C231" s="54"/>
      <c r="D231" s="19"/>
      <c r="E231" s="11"/>
      <c r="F231" s="11"/>
      <c r="G231" s="11"/>
      <c r="I231" s="11"/>
      <c r="J231" s="11"/>
      <c r="K231" s="11"/>
      <c r="L231" s="117"/>
      <c r="M231" s="135"/>
      <c r="N231" s="34"/>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5.6" thickBot="1">
      <c r="A232" s="12">
        <f t="shared" si="9"/>
        <v>90</v>
      </c>
      <c r="C232" s="54"/>
      <c r="D232" s="19"/>
      <c r="F232" s="16" t="s">
        <v>83</v>
      </c>
      <c r="G232" s="16" t="s">
        <v>92</v>
      </c>
      <c r="H232" s="11"/>
      <c r="I232" s="83" t="s">
        <v>91</v>
      </c>
      <c r="J232" s="11"/>
      <c r="K232" s="16" t="s">
        <v>93</v>
      </c>
      <c r="L232" s="11"/>
      <c r="M232" s="135"/>
      <c r="N232" s="34"/>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5.6">
      <c r="A233" s="12">
        <f t="shared" si="9"/>
        <v>91</v>
      </c>
      <c r="C233" s="67" t="s">
        <v>580</v>
      </c>
      <c r="D233" s="19" t="s">
        <v>891</v>
      </c>
      <c r="F233" s="750">
        <f>+'3 - Cost Support (cont.)'!Q14</f>
        <v>0</v>
      </c>
      <c r="G233" s="1194">
        <v>0.47</v>
      </c>
      <c r="H233" s="89"/>
      <c r="I233" s="1192">
        <v>3.85E-2</v>
      </c>
      <c r="K233" s="740">
        <f>+I233*G233</f>
        <v>1.8095E-2</v>
      </c>
      <c r="L233" s="90" t="s">
        <v>94</v>
      </c>
      <c r="M233" s="1008"/>
      <c r="N233" s="85"/>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c r="A234" s="12">
        <f t="shared" si="9"/>
        <v>92</v>
      </c>
      <c r="C234" s="67" t="s">
        <v>243</v>
      </c>
      <c r="D234" s="19" t="s">
        <v>893</v>
      </c>
      <c r="F234" s="743">
        <f>+'3 - Cost Support (cont.)'!Q16</f>
        <v>0</v>
      </c>
      <c r="G234" s="1193">
        <f>IF(F$236=0,0,F234/F$236)</f>
        <v>0</v>
      </c>
      <c r="H234" s="89"/>
      <c r="I234" s="1193">
        <f>+'3 - Cost Support (cont.)'!P40</f>
        <v>0</v>
      </c>
      <c r="K234" s="740">
        <f>+I234*G234</f>
        <v>0</v>
      </c>
      <c r="L234" s="11"/>
      <c r="M234" s="135"/>
      <c r="N234" s="34"/>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5.6" thickBot="1">
      <c r="A235" s="12">
        <f t="shared" si="9"/>
        <v>93</v>
      </c>
      <c r="C235" s="67" t="str">
        <f>"  Common Stock "</f>
        <v xml:space="preserve">  Common Stock </v>
      </c>
      <c r="D235" s="19" t="s">
        <v>892</v>
      </c>
      <c r="F235" s="751">
        <f>+'3 - Cost Support (cont.)'!Q22</f>
        <v>0</v>
      </c>
      <c r="G235" s="1194">
        <v>0.53</v>
      </c>
      <c r="H235" s="89"/>
      <c r="I235" s="1133">
        <v>9.5000000000000001E-2</v>
      </c>
      <c r="K235" s="752">
        <f>+I235*G235</f>
        <v>5.0350000000000006E-2</v>
      </c>
      <c r="L235" s="11"/>
      <c r="M235" s="135"/>
      <c r="N235" s="85"/>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c r="A236" s="12">
        <f t="shared" si="9"/>
        <v>94</v>
      </c>
      <c r="C236" s="18" t="str">
        <f>"Total  (sum lines "&amp;A233&amp;"-"&amp;A235&amp;")"</f>
        <v>Total  (sum lines 91-93)</v>
      </c>
      <c r="F236" s="739">
        <f>SUM(F233:F235)</f>
        <v>0</v>
      </c>
      <c r="G236" s="11" t="s">
        <v>29</v>
      </c>
      <c r="H236" s="11"/>
      <c r="I236" s="11"/>
      <c r="J236" s="11"/>
      <c r="K236" s="740">
        <f>SUM(K233:K235)</f>
        <v>6.8445000000000006E-2</v>
      </c>
      <c r="L236" s="90" t="s">
        <v>95</v>
      </c>
      <c r="M236" s="135"/>
      <c r="N236" s="33"/>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c r="F237" s="11"/>
      <c r="G237" s="11"/>
      <c r="H237" s="11"/>
      <c r="I237" s="11"/>
      <c r="L237" s="1274"/>
      <c r="M237" s="135"/>
      <c r="N237" s="33"/>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c r="F238" s="11"/>
      <c r="G238" s="11"/>
      <c r="H238" s="11"/>
      <c r="I238" s="11"/>
      <c r="L238" s="114"/>
      <c r="M238" s="135"/>
      <c r="N238" s="34"/>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ht="15.6">
      <c r="A239" s="69"/>
      <c r="B239" s="69"/>
      <c r="C239" s="793" t="s">
        <v>983</v>
      </c>
      <c r="D239" s="69"/>
      <c r="F239" s="19"/>
      <c r="G239" s="19"/>
      <c r="H239" s="77" t="s">
        <v>467</v>
      </c>
      <c r="I239" s="77"/>
      <c r="J239" s="925" t="s">
        <v>468</v>
      </c>
      <c r="K239" s="766"/>
      <c r="L239" s="120"/>
      <c r="M239" s="925" t="s">
        <v>494</v>
      </c>
      <c r="N239" s="34"/>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ht="60">
      <c r="A240" s="836"/>
      <c r="B240" s="69"/>
      <c r="C240" s="766"/>
      <c r="D240" s="766" t="s">
        <v>982</v>
      </c>
      <c r="F240" s="77"/>
      <c r="G240" s="77"/>
      <c r="H240" s="1347" t="s">
        <v>896</v>
      </c>
      <c r="I240" s="69"/>
      <c r="J240" s="1346" t="s">
        <v>897</v>
      </c>
      <c r="K240" s="69"/>
      <c r="L240" s="120"/>
      <c r="M240" s="160" t="s">
        <v>42</v>
      </c>
      <c r="N240" s="33"/>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c r="A241" s="836">
        <f>+A236+1</f>
        <v>95</v>
      </c>
      <c r="B241" s="69"/>
      <c r="C241" s="74" t="s">
        <v>1030</v>
      </c>
      <c r="D241" s="74" t="str">
        <f>"(Line "&amp;A94&amp;" and Transmission CIACs)"</f>
        <v>(Line 19 and Transmission CIACs)</v>
      </c>
      <c r="F241" s="19"/>
      <c r="G241" s="19"/>
      <c r="H241" s="1424">
        <f>+'4 - Incentives'!C116</f>
        <v>6952421.9585062265</v>
      </c>
      <c r="I241" s="19"/>
      <c r="J241" s="1424">
        <f>'4 - Incentives'!C115</f>
        <v>121934785.11841685</v>
      </c>
      <c r="K241" s="69"/>
      <c r="L241" s="120"/>
      <c r="M241" s="963">
        <f>+N97</f>
        <v>128887207.07692307</v>
      </c>
      <c r="N241" s="34"/>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c r="A242" s="836">
        <f t="shared" ref="A242:A248" si="10">+A241+1</f>
        <v>96</v>
      </c>
      <c r="B242" s="69"/>
      <c r="C242" s="766" t="s">
        <v>532</v>
      </c>
      <c r="D242" s="69" t="str">
        <f>"(Line "&amp;A102&amp;")"</f>
        <v>(Line 26)</v>
      </c>
      <c r="F242" s="19"/>
      <c r="G242" s="19"/>
      <c r="H242" s="1424">
        <v>0</v>
      </c>
      <c r="J242" s="1193">
        <v>0</v>
      </c>
      <c r="K242" s="69"/>
      <c r="L242" s="120"/>
      <c r="M242" s="963">
        <f>+J102</f>
        <v>0</v>
      </c>
      <c r="N242" s="34"/>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c r="A243" s="836">
        <f t="shared" si="10"/>
        <v>97</v>
      </c>
      <c r="B243" s="69"/>
      <c r="C243" s="769" t="s">
        <v>24</v>
      </c>
      <c r="D243" s="69" t="str">
        <f>"(Line "&amp;A105&amp;")"</f>
        <v>(Line 29)</v>
      </c>
      <c r="F243" s="19"/>
      <c r="G243" s="19"/>
      <c r="H243" s="1424">
        <v>0</v>
      </c>
      <c r="I243" s="19"/>
      <c r="J243" s="69"/>
      <c r="K243" s="69"/>
      <c r="L243" s="120"/>
      <c r="M243" s="963">
        <f>+J105</f>
        <v>0</v>
      </c>
      <c r="N243" s="34"/>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c r="A244" s="836">
        <f t="shared" si="10"/>
        <v>98</v>
      </c>
      <c r="B244" s="69"/>
      <c r="C244" s="769" t="s">
        <v>421</v>
      </c>
      <c r="D244" s="69" t="str">
        <f>"(Line "&amp;A104&amp;")"</f>
        <v>(Line 28)</v>
      </c>
      <c r="F244" s="19"/>
      <c r="G244" s="19"/>
      <c r="H244" s="1424">
        <f>+J104</f>
        <v>4603042.7846153844</v>
      </c>
      <c r="I244" s="19"/>
      <c r="J244" s="69"/>
      <c r="L244" s="120"/>
      <c r="M244" s="963">
        <f>+J104</f>
        <v>4603042.7846153844</v>
      </c>
      <c r="N244" s="34"/>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27.75" customHeight="1">
      <c r="A245" s="836">
        <f t="shared" si="10"/>
        <v>99</v>
      </c>
      <c r="B245" s="69"/>
      <c r="C245" s="870" t="str">
        <f>+C239</f>
        <v>Development of Base Carrying charge and Summary of Incentive and Non-Incentive Investments</v>
      </c>
      <c r="D245" s="69"/>
      <c r="F245" s="19"/>
      <c r="G245" s="19"/>
      <c r="H245" s="1425">
        <v>0</v>
      </c>
      <c r="I245" s="19"/>
      <c r="J245" s="1425">
        <v>0</v>
      </c>
      <c r="K245" s="1426"/>
      <c r="L245" s="1426"/>
      <c r="M245" s="963">
        <f>SUM(M241:M244)</f>
        <v>133490249.86153845</v>
      </c>
      <c r="N245" s="34"/>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c r="A246" s="836">
        <f t="shared" si="10"/>
        <v>100</v>
      </c>
      <c r="B246" s="69"/>
      <c r="C246" s="74" t="s">
        <v>1027</v>
      </c>
      <c r="D246" s="74" t="s">
        <v>1029</v>
      </c>
      <c r="E246" s="69"/>
      <c r="F246" s="19"/>
      <c r="G246" s="19"/>
      <c r="H246" s="19"/>
      <c r="I246" s="19"/>
      <c r="K246" s="69"/>
      <c r="L246" s="120"/>
      <c r="M246" s="768">
        <f>+J180+J183</f>
        <v>13532399.326562021</v>
      </c>
      <c r="N246" s="34"/>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c r="A247" s="836">
        <f t="shared" si="10"/>
        <v>101</v>
      </c>
      <c r="B247" s="69"/>
      <c r="C247" s="74" t="str">
        <f>+C19</f>
        <v>Total Revenue Credits</v>
      </c>
      <c r="D247" s="1459" t="s">
        <v>1028</v>
      </c>
      <c r="E247" s="69"/>
      <c r="F247" s="19"/>
      <c r="G247" s="19"/>
      <c r="H247" s="19"/>
      <c r="I247" s="19"/>
      <c r="K247" s="69"/>
      <c r="L247" s="120"/>
      <c r="M247" s="768">
        <f>+J19</f>
        <v>0</v>
      </c>
      <c r="N247" s="34"/>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c r="A248" s="836">
        <f t="shared" si="10"/>
        <v>102</v>
      </c>
      <c r="B248" s="69"/>
      <c r="C248" s="766" t="s">
        <v>992</v>
      </c>
      <c r="D248" s="160" t="s">
        <v>541</v>
      </c>
      <c r="E248" s="69"/>
      <c r="F248" s="19"/>
      <c r="G248" s="19"/>
      <c r="H248" s="19"/>
      <c r="I248" s="19"/>
      <c r="K248" s="69"/>
      <c r="L248" s="120"/>
      <c r="M248" s="756">
        <f>IF(M245=0,0,(M246-M247)/M245)</f>
        <v>0.10137369089201929</v>
      </c>
      <c r="N248" s="34"/>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c r="A249" s="69"/>
      <c r="B249" s="69"/>
      <c r="C249" s="770"/>
      <c r="D249" s="770"/>
      <c r="E249" s="770"/>
      <c r="F249" s="19"/>
      <c r="G249" s="19"/>
      <c r="H249" s="771"/>
      <c r="I249" s="19"/>
      <c r="J249" s="772"/>
      <c r="K249" s="69"/>
      <c r="L249" s="120"/>
      <c r="M249" s="773"/>
      <c r="N249" s="34"/>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c r="A250" s="69"/>
      <c r="B250" s="69"/>
      <c r="C250" s="69"/>
      <c r="D250" s="69"/>
      <c r="E250" s="756"/>
      <c r="F250" s="19"/>
      <c r="G250" s="19"/>
      <c r="H250" s="113"/>
      <c r="I250" s="19"/>
      <c r="J250" s="69"/>
      <c r="K250" s="69"/>
      <c r="L250" s="120"/>
      <c r="M250" s="767"/>
      <c r="N250" s="34"/>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c r="A251" s="69"/>
      <c r="B251" s="69"/>
      <c r="C251" s="69"/>
      <c r="D251" s="69"/>
      <c r="E251" s="69"/>
      <c r="F251" s="19"/>
      <c r="G251" s="19"/>
      <c r="H251" s="19"/>
      <c r="I251" s="19"/>
      <c r="J251" s="69"/>
      <c r="K251" s="69"/>
      <c r="L251" s="120"/>
      <c r="M251" s="767"/>
      <c r="N251" s="34"/>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c r="A252" s="12"/>
      <c r="C252" s="26"/>
      <c r="E252" s="26"/>
      <c r="F252" s="26"/>
      <c r="G252" s="26"/>
      <c r="H252" s="26"/>
      <c r="I252" s="26"/>
      <c r="J252" s="26"/>
      <c r="K252" s="26"/>
      <c r="L252" s="11"/>
      <c r="M252" s="33"/>
      <c r="N252" s="34"/>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7.399999999999999">
      <c r="A253" s="94"/>
      <c r="B253" s="94"/>
      <c r="C253" s="95"/>
      <c r="D253" s="65"/>
      <c r="E253" s="65"/>
      <c r="F253" s="65"/>
      <c r="G253" s="65"/>
      <c r="H253" s="65"/>
      <c r="I253" s="65"/>
      <c r="J253" s="65"/>
      <c r="K253" s="65"/>
      <c r="M253" s="114"/>
    </row>
    <row r="254" spans="1:61">
      <c r="C254" s="2"/>
      <c r="D254" s="2"/>
      <c r="E254" s="3"/>
      <c r="F254" s="2"/>
      <c r="G254" s="2"/>
      <c r="H254" s="2"/>
      <c r="I254" s="2"/>
      <c r="J254" s="2"/>
      <c r="K254" s="4"/>
      <c r="L254" s="4"/>
      <c r="M254" s="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c r="C255" s="2"/>
      <c r="D255" s="2"/>
      <c r="E255" s="3"/>
      <c r="F255" s="2"/>
      <c r="G255" s="2"/>
      <c r="H255" s="2"/>
      <c r="I255" s="8"/>
      <c r="J255" s="5"/>
      <c r="K255" s="5"/>
      <c r="L255" s="5"/>
      <c r="M255" s="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c r="C256" s="2"/>
      <c r="D256" s="2"/>
      <c r="E256" s="3"/>
      <c r="F256" s="2"/>
      <c r="G256" s="2"/>
      <c r="H256" s="2"/>
      <c r="I256" s="8"/>
      <c r="J256" s="9"/>
      <c r="K256" s="9"/>
      <c r="L256" s="9"/>
      <c r="M256" s="5" t="s">
        <v>432</v>
      </c>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61">
      <c r="C257" s="2"/>
      <c r="D257" s="2"/>
      <c r="E257" s="3"/>
      <c r="F257" s="2"/>
      <c r="G257" s="2"/>
      <c r="H257" s="2"/>
      <c r="I257" s="8"/>
      <c r="J257" s="8"/>
      <c r="K257" s="10"/>
      <c r="L257" s="9"/>
      <c r="M257" s="9" t="s">
        <v>434</v>
      </c>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61" ht="15.6">
      <c r="C258" s="2"/>
      <c r="D258" s="44" t="s">
        <v>80</v>
      </c>
      <c r="F258" s="2"/>
      <c r="G258" s="2"/>
      <c r="H258" s="2"/>
      <c r="I258" s="8"/>
      <c r="J258" s="8"/>
      <c r="K258" s="10"/>
      <c r="L258" s="9"/>
      <c r="M258" s="6"/>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61">
      <c r="C259" s="2" t="s">
        <v>28</v>
      </c>
      <c r="D259" s="110"/>
      <c r="E259" s="110" t="s">
        <v>130</v>
      </c>
      <c r="F259" s="2"/>
      <c r="G259" s="2"/>
      <c r="H259" s="2"/>
      <c r="I259" s="8"/>
      <c r="K259" s="10"/>
      <c r="L259" s="10"/>
      <c r="M259" s="6"/>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61">
      <c r="C260" s="2"/>
      <c r="D260" s="11" t="s">
        <v>29</v>
      </c>
      <c r="E260" s="11" t="s">
        <v>30</v>
      </c>
      <c r="F260" s="11"/>
      <c r="G260" s="11"/>
      <c r="H260" s="11"/>
      <c r="I260" s="8"/>
      <c r="J260" s="8"/>
      <c r="K260" s="10"/>
      <c r="L260" s="10"/>
      <c r="M260" s="6"/>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61">
      <c r="A261" s="12"/>
      <c r="C261" s="26"/>
      <c r="D261" s="26"/>
      <c r="E261" s="26"/>
      <c r="F261" s="26"/>
      <c r="G261" s="26"/>
      <c r="H261" s="26"/>
      <c r="I261" s="26"/>
      <c r="J261" s="26"/>
      <c r="K261" s="330"/>
      <c r="L261" s="331"/>
      <c r="M261" s="329" t="str">
        <f>+M209</f>
        <v>For the 12 months ended 12/31/____</v>
      </c>
      <c r="N261" s="34"/>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61" ht="15.6">
      <c r="A262" s="12"/>
      <c r="D262" s="26"/>
      <c r="E262" s="38" t="str">
        <f>E9</f>
        <v>New York Transco LLC</v>
      </c>
      <c r="F262" s="26"/>
      <c r="G262" s="26"/>
      <c r="H262" s="26"/>
      <c r="I262" s="26"/>
      <c r="J262" s="26"/>
      <c r="K262" s="11"/>
      <c r="M262" s="523"/>
      <c r="N262" s="34"/>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61">
      <c r="A263" s="12"/>
      <c r="C263" s="26"/>
      <c r="D263" s="4"/>
      <c r="F263" s="10"/>
      <c r="G263" s="10"/>
      <c r="H263" s="10"/>
      <c r="I263" s="10"/>
      <c r="J263" s="10"/>
      <c r="K263" s="11"/>
      <c r="L263" s="11"/>
      <c r="M263" s="6"/>
      <c r="N263" s="34"/>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61" ht="15.6">
      <c r="A264" s="12"/>
      <c r="B264" s="49"/>
      <c r="C264" s="93"/>
      <c r="D264" s="4"/>
      <c r="E264" s="11"/>
      <c r="F264" s="11"/>
      <c r="G264" s="11"/>
      <c r="H264" s="11"/>
      <c r="I264" s="8"/>
      <c r="J264" s="157"/>
      <c r="K264" s="92"/>
      <c r="L264" s="96"/>
      <c r="M264" s="97"/>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61" s="94" customFormat="1" ht="18">
      <c r="A265" s="98"/>
      <c r="B265" s="99"/>
      <c r="C265" s="1209"/>
      <c r="F265" s="1210"/>
      <c r="G265" s="1210"/>
      <c r="H265" s="1210"/>
      <c r="I265" s="1211"/>
      <c r="J265" s="1212"/>
      <c r="K265" s="1213"/>
      <c r="L265" s="1214"/>
      <c r="M265" s="102"/>
      <c r="N265" s="1215"/>
    </row>
    <row r="266" spans="1:61" s="94" customFormat="1" ht="18">
      <c r="A266" s="98"/>
      <c r="B266" s="99"/>
      <c r="C266" s="1209"/>
      <c r="D266" s="1216"/>
      <c r="E266" s="1210"/>
      <c r="F266" s="1210"/>
      <c r="G266" s="1210"/>
      <c r="H266" s="1210"/>
      <c r="I266" s="1211"/>
      <c r="J266" s="1212"/>
      <c r="K266" s="1213"/>
      <c r="L266" s="1214"/>
      <c r="M266" s="102"/>
      <c r="N266" s="1215"/>
    </row>
    <row r="267" spans="1:61" s="94" customFormat="1" ht="18">
      <c r="A267" s="98"/>
      <c r="B267" s="99"/>
      <c r="C267" s="100" t="s">
        <v>96</v>
      </c>
      <c r="D267" s="98"/>
      <c r="E267" s="101"/>
      <c r="F267" s="101"/>
      <c r="G267" s="101"/>
      <c r="H267" s="101"/>
      <c r="I267" s="99"/>
      <c r="J267" s="101"/>
      <c r="K267" s="99"/>
      <c r="L267" s="101"/>
      <c r="M267" s="102"/>
      <c r="N267" s="1215"/>
    </row>
    <row r="268" spans="1:61" s="94" customFormat="1" ht="18">
      <c r="A268" s="98"/>
      <c r="B268" s="99"/>
      <c r="C268" s="100" t="s">
        <v>97</v>
      </c>
      <c r="D268" s="98"/>
      <c r="E268" s="101"/>
      <c r="F268" s="101"/>
      <c r="G268" s="101"/>
      <c r="H268" s="101"/>
      <c r="I268" s="99"/>
      <c r="J268" s="101"/>
      <c r="K268" s="99"/>
      <c r="L268" s="101"/>
      <c r="M268" s="102"/>
      <c r="N268" s="1215"/>
    </row>
    <row r="269" spans="1:61" s="94" customFormat="1" ht="18">
      <c r="A269" s="98" t="s">
        <v>98</v>
      </c>
      <c r="B269" s="99"/>
      <c r="C269" s="100"/>
      <c r="D269" s="99"/>
      <c r="E269" s="101"/>
      <c r="F269" s="101"/>
      <c r="G269" s="101"/>
      <c r="H269" s="101"/>
      <c r="I269" s="99"/>
      <c r="J269" s="101"/>
      <c r="K269" s="99"/>
      <c r="L269" s="101"/>
      <c r="M269" s="102"/>
      <c r="N269" s="1215"/>
    </row>
    <row r="270" spans="1:61" s="94" customFormat="1" ht="18.600000000000001" thickBot="1">
      <c r="A270" s="103" t="s">
        <v>99</v>
      </c>
      <c r="B270" s="99"/>
      <c r="C270" s="100"/>
      <c r="D270" s="99"/>
      <c r="E270" s="101"/>
      <c r="F270" s="101"/>
      <c r="G270" s="101"/>
      <c r="H270" s="101"/>
      <c r="I270" s="99"/>
      <c r="J270" s="101"/>
      <c r="K270" s="99"/>
      <c r="L270" s="101"/>
      <c r="M270" s="102"/>
      <c r="N270" s="1215"/>
    </row>
    <row r="271" spans="1:61" s="94" customFormat="1" ht="18">
      <c r="A271" s="1200" t="s">
        <v>100</v>
      </c>
      <c r="B271" s="1201"/>
      <c r="C271" s="666" t="s">
        <v>640</v>
      </c>
      <c r="D271" s="666"/>
      <c r="E271" s="666"/>
      <c r="F271" s="666"/>
      <c r="G271" s="666"/>
      <c r="H271" s="666"/>
      <c r="I271" s="666"/>
      <c r="J271" s="666"/>
      <c r="K271" s="666"/>
      <c r="L271" s="666"/>
      <c r="M271" s="1202"/>
      <c r="N271" s="1215"/>
    </row>
    <row r="272" spans="1:61" s="94" customFormat="1" ht="18">
      <c r="A272" s="1200"/>
      <c r="B272" s="1201"/>
      <c r="C272" s="666" t="s">
        <v>786</v>
      </c>
      <c r="D272" s="666"/>
      <c r="E272" s="666"/>
      <c r="F272" s="666"/>
      <c r="G272" s="666"/>
      <c r="H272" s="666"/>
      <c r="I272" s="666"/>
      <c r="J272" s="666"/>
      <c r="K272" s="666"/>
      <c r="L272" s="666"/>
      <c r="M272" s="1202"/>
      <c r="N272" s="1215"/>
    </row>
    <row r="273" spans="1:14" s="94" customFormat="1" ht="18">
      <c r="A273" s="1200"/>
      <c r="B273" s="1201"/>
      <c r="C273" s="666" t="str">
        <f>"   is reduced by prior flow throughs and excluded if the utility chose to utilize amortization of tax credits against taxable income as discussed in Note "&amp;A286&amp;".  Account 281 is not allocated."</f>
        <v xml:space="preserve">   is reduced by prior flow throughs and excluded if the utility chose to utilize amortization of tax credits against taxable income as discussed in Note F.  Account 281 is not allocated.</v>
      </c>
      <c r="D273" s="666"/>
      <c r="E273" s="666"/>
      <c r="F273" s="666"/>
      <c r="G273" s="666"/>
      <c r="H273" s="666"/>
      <c r="I273" s="666"/>
      <c r="J273" s="666"/>
      <c r="K273" s="666"/>
      <c r="L273" s="666"/>
      <c r="M273" s="1202"/>
      <c r="N273" s="1215"/>
    </row>
    <row r="274" spans="1:14" s="94" customFormat="1" ht="18">
      <c r="A274" s="1200" t="s">
        <v>101</v>
      </c>
      <c r="B274" s="1201"/>
      <c r="C274" s="666" t="s">
        <v>107</v>
      </c>
      <c r="D274" s="666"/>
      <c r="E274" s="666"/>
      <c r="F274" s="666"/>
      <c r="G274" s="666"/>
      <c r="H274" s="666"/>
      <c r="I274" s="666"/>
      <c r="J274" s="666"/>
      <c r="K274" s="666"/>
      <c r="L274" s="666"/>
      <c r="M274" s="1202"/>
      <c r="N274" s="1215"/>
    </row>
    <row r="275" spans="1:14" s="94" customFormat="1" ht="18">
      <c r="A275" s="1200" t="s">
        <v>102</v>
      </c>
      <c r="B275" s="1201"/>
      <c r="C275" s="666" t="s">
        <v>246</v>
      </c>
      <c r="D275" s="666"/>
      <c r="E275" s="666"/>
      <c r="F275" s="666"/>
      <c r="G275" s="666"/>
      <c r="H275" s="666"/>
      <c r="I275" s="666"/>
      <c r="J275" s="666"/>
      <c r="K275" s="666"/>
      <c r="L275" s="666"/>
      <c r="M275" s="1202"/>
      <c r="N275" s="1215"/>
    </row>
    <row r="276" spans="1:14" s="94" customFormat="1" ht="18">
      <c r="A276" s="1200"/>
      <c r="B276" s="1201"/>
      <c r="C276" s="666" t="s">
        <v>109</v>
      </c>
      <c r="D276" s="666"/>
      <c r="E276" s="666"/>
      <c r="F276" s="666"/>
      <c r="G276" s="666"/>
      <c r="H276" s="666"/>
      <c r="I276" s="666"/>
      <c r="J276" s="666"/>
      <c r="K276" s="666"/>
      <c r="L276" s="666"/>
      <c r="M276" s="1202"/>
      <c r="N276" s="1215"/>
    </row>
    <row r="277" spans="1:14" s="95" customFormat="1" ht="18">
      <c r="A277" s="1202" t="s">
        <v>103</v>
      </c>
      <c r="B277" s="666"/>
      <c r="C277" s="762" t="s">
        <v>898</v>
      </c>
      <c r="D277" s="666"/>
      <c r="E277" s="666"/>
      <c r="F277" s="666"/>
      <c r="G277" s="666"/>
      <c r="H277" s="666"/>
      <c r="I277" s="666"/>
      <c r="J277" s="666"/>
      <c r="K277" s="762"/>
      <c r="L277" s="666"/>
      <c r="M277" s="1202"/>
      <c r="N277" s="677"/>
    </row>
    <row r="278" spans="1:14" s="95" customFormat="1" ht="18">
      <c r="A278" s="1202"/>
      <c r="B278" s="666"/>
      <c r="C278" s="762" t="s">
        <v>899</v>
      </c>
      <c r="D278" s="666"/>
      <c r="E278" s="666"/>
      <c r="F278" s="666"/>
      <c r="G278" s="666"/>
      <c r="H278" s="666"/>
      <c r="I278" s="666"/>
      <c r="J278" s="666"/>
      <c r="K278" s="762"/>
      <c r="L278" s="666"/>
      <c r="M278" s="1202"/>
      <c r="N278" s="677"/>
    </row>
    <row r="279" spans="1:14" s="95" customFormat="1" ht="18">
      <c r="A279" s="1202"/>
      <c r="B279" s="666"/>
      <c r="C279" s="762" t="s">
        <v>900</v>
      </c>
      <c r="D279" s="666"/>
      <c r="E279" s="666"/>
      <c r="F279" s="666"/>
      <c r="G279" s="666"/>
      <c r="H279" s="666"/>
      <c r="I279" s="666"/>
      <c r="J279" s="666"/>
      <c r="K279" s="666"/>
      <c r="L279" s="666"/>
      <c r="M279" s="1202"/>
      <c r="N279" s="667"/>
    </row>
    <row r="280" spans="1:14" s="94" customFormat="1" ht="18">
      <c r="A280" s="1200"/>
      <c r="B280" s="1201"/>
      <c r="C280" s="762" t="s">
        <v>1020</v>
      </c>
      <c r="D280" s="666"/>
      <c r="E280" s="666"/>
      <c r="F280" s="666"/>
      <c r="G280" s="666"/>
      <c r="H280" s="666"/>
      <c r="I280" s="666"/>
      <c r="J280" s="666"/>
      <c r="K280" s="667"/>
      <c r="L280" s="666"/>
      <c r="M280" s="1202"/>
      <c r="N280" s="677"/>
    </row>
    <row r="281" spans="1:14" s="94" customFormat="1" ht="18">
      <c r="A281" s="1200"/>
      <c r="B281" s="1201"/>
      <c r="C281" s="762" t="s">
        <v>901</v>
      </c>
      <c r="D281" s="666"/>
      <c r="E281" s="666"/>
      <c r="F281" s="666"/>
      <c r="G281" s="666"/>
      <c r="H281" s="666"/>
      <c r="I281" s="666"/>
      <c r="J281" s="666"/>
      <c r="K281" s="666"/>
      <c r="L281" s="666"/>
      <c r="M281" s="1202"/>
      <c r="N281" s="677"/>
    </row>
    <row r="282" spans="1:14" s="94" customFormat="1" ht="18">
      <c r="A282" s="1200"/>
      <c r="B282" s="1201"/>
      <c r="C282" s="762" t="s">
        <v>551</v>
      </c>
      <c r="D282" s="666"/>
      <c r="E282" s="666"/>
      <c r="F282" s="666"/>
      <c r="G282" s="666"/>
      <c r="H282" s="666"/>
      <c r="I282" s="666"/>
      <c r="J282" s="666"/>
      <c r="K282" s="666"/>
      <c r="L282" s="666"/>
      <c r="M282" s="1202"/>
      <c r="N282" s="677"/>
    </row>
    <row r="283" spans="1:14" s="94" customFormat="1" ht="18">
      <c r="A283" s="1200" t="s">
        <v>104</v>
      </c>
      <c r="B283" s="1201"/>
      <c r="C283" s="666" t="s">
        <v>112</v>
      </c>
      <c r="D283" s="666"/>
      <c r="E283" s="666"/>
      <c r="F283" s="666"/>
      <c r="G283" s="666"/>
      <c r="H283" s="666"/>
      <c r="I283" s="666"/>
      <c r="J283" s="666"/>
      <c r="K283" s="666"/>
      <c r="L283" s="666"/>
      <c r="M283" s="1202"/>
      <c r="N283" s="1215"/>
    </row>
    <row r="284" spans="1:14" s="94" customFormat="1" ht="18">
      <c r="A284" s="1200"/>
      <c r="B284" s="1201"/>
      <c r="C284" s="666" t="s">
        <v>113</v>
      </c>
      <c r="D284" s="666"/>
      <c r="E284" s="666"/>
      <c r="F284" s="666"/>
      <c r="G284" s="666"/>
      <c r="H284" s="666"/>
      <c r="I284" s="666"/>
      <c r="J284" s="666"/>
      <c r="K284" s="666"/>
      <c r="L284" s="666"/>
      <c r="M284" s="1202"/>
      <c r="N284" s="1215"/>
    </row>
    <row r="285" spans="1:14" s="94" customFormat="1" ht="18">
      <c r="A285" s="1200"/>
      <c r="B285" s="1201"/>
      <c r="C285" s="666" t="s">
        <v>114</v>
      </c>
      <c r="D285" s="666"/>
      <c r="E285" s="666"/>
      <c r="F285" s="666"/>
      <c r="G285" s="666"/>
      <c r="H285" s="666"/>
      <c r="I285" s="666"/>
      <c r="J285" s="666"/>
      <c r="K285" s="666"/>
      <c r="L285" s="666"/>
      <c r="M285" s="1202"/>
      <c r="N285" s="1215"/>
    </row>
    <row r="286" spans="1:14" s="94" customFormat="1" ht="18">
      <c r="A286" s="1200" t="s">
        <v>105</v>
      </c>
      <c r="B286" s="1201"/>
      <c r="C286" s="666" t="s">
        <v>115</v>
      </c>
      <c r="D286" s="666"/>
      <c r="E286" s="666"/>
      <c r="F286" s="666"/>
      <c r="G286" s="666"/>
      <c r="H286" s="666"/>
      <c r="I286" s="666"/>
      <c r="J286" s="666"/>
      <c r="K286" s="666"/>
      <c r="L286" s="666"/>
      <c r="M286" s="1202"/>
      <c r="N286" s="1215"/>
    </row>
    <row r="287" spans="1:14" s="94" customFormat="1" ht="18">
      <c r="A287" s="1200"/>
      <c r="B287" s="1201"/>
      <c r="C287" s="666" t="s">
        <v>116</v>
      </c>
      <c r="D287" s="666"/>
      <c r="E287" s="666"/>
      <c r="F287" s="666"/>
      <c r="G287" s="666"/>
      <c r="H287" s="666"/>
      <c r="I287" s="666"/>
      <c r="J287" s="666"/>
      <c r="K287" s="666"/>
      <c r="L287" s="666"/>
      <c r="M287" s="1202"/>
      <c r="N287" s="1215"/>
    </row>
    <row r="288" spans="1:14" s="94" customFormat="1" ht="18">
      <c r="A288" s="1200"/>
      <c r="B288" s="1201"/>
      <c r="C288" s="666" t="s">
        <v>117</v>
      </c>
      <c r="D288" s="666"/>
      <c r="E288" s="666"/>
      <c r="F288" s="666"/>
      <c r="G288" s="666"/>
      <c r="H288" s="666"/>
      <c r="I288" s="666"/>
      <c r="J288" s="666"/>
      <c r="K288" s="666"/>
      <c r="L288" s="666"/>
      <c r="M288" s="1202"/>
      <c r="N288" s="1215"/>
    </row>
    <row r="289" spans="1:14" s="94" customFormat="1" ht="18">
      <c r="A289" s="1200"/>
      <c r="B289" s="1201"/>
      <c r="C289" s="666" t="s">
        <v>118</v>
      </c>
      <c r="D289" s="666"/>
      <c r="E289" s="666"/>
      <c r="F289" s="666"/>
      <c r="G289" s="666"/>
      <c r="H289" s="666"/>
      <c r="I289" s="666"/>
      <c r="J289" s="666"/>
      <c r="K289" s="666"/>
      <c r="L289" s="666"/>
      <c r="M289" s="1202"/>
      <c r="N289" s="1215"/>
    </row>
    <row r="290" spans="1:14" s="94" customFormat="1" ht="18">
      <c r="A290" s="1200"/>
      <c r="B290" s="1201"/>
      <c r="C290" s="666" t="s">
        <v>564</v>
      </c>
      <c r="D290" s="666"/>
      <c r="E290" s="666"/>
      <c r="F290" s="666"/>
      <c r="G290" s="666"/>
      <c r="H290" s="666"/>
      <c r="I290" s="666"/>
      <c r="J290" s="666"/>
      <c r="K290" s="666"/>
      <c r="L290" s="666"/>
      <c r="M290" s="1202"/>
      <c r="N290" s="1215"/>
    </row>
    <row r="291" spans="1:14" s="94" customFormat="1" ht="18">
      <c r="A291" s="1200"/>
      <c r="B291" s="1201"/>
      <c r="C291" s="666" t="s">
        <v>318</v>
      </c>
      <c r="D291" s="666"/>
      <c r="E291" s="986"/>
      <c r="F291" s="986"/>
      <c r="G291" s="986"/>
      <c r="H291" s="986"/>
      <c r="I291" s="986"/>
      <c r="J291" s="666"/>
      <c r="K291" s="986"/>
      <c r="L291" s="935"/>
      <c r="M291" s="1203"/>
      <c r="N291" s="1215"/>
    </row>
    <row r="292" spans="1:14" s="94" customFormat="1" ht="18">
      <c r="A292" s="1200" t="s">
        <v>29</v>
      </c>
      <c r="B292" s="1201"/>
      <c r="C292" s="666" t="s">
        <v>119</v>
      </c>
      <c r="D292" s="666" t="s">
        <v>120</v>
      </c>
      <c r="E292" s="753">
        <v>0.35</v>
      </c>
      <c r="F292" s="666"/>
      <c r="G292" s="666"/>
      <c r="H292" s="666"/>
      <c r="I292" s="666"/>
      <c r="J292" s="666"/>
      <c r="K292" s="666"/>
      <c r="L292" s="666"/>
      <c r="M292" s="1202"/>
      <c r="N292" s="1215"/>
    </row>
    <row r="293" spans="1:14" s="94" customFormat="1" ht="18">
      <c r="A293" s="1200"/>
      <c r="B293" s="1201"/>
      <c r="C293" s="666"/>
      <c r="D293" s="666" t="s">
        <v>121</v>
      </c>
      <c r="E293" s="940">
        <v>7.0999999999999994E-2</v>
      </c>
      <c r="F293" s="666" t="s">
        <v>576</v>
      </c>
      <c r="G293" s="666"/>
      <c r="H293" s="666"/>
      <c r="I293" s="666"/>
      <c r="J293" s="666"/>
      <c r="K293" s="666"/>
      <c r="L293" s="666"/>
      <c r="M293" s="1217"/>
      <c r="N293" s="1218"/>
    </row>
    <row r="294" spans="1:14" s="94" customFormat="1" ht="18">
      <c r="A294" s="1200"/>
      <c r="B294" s="1201"/>
      <c r="C294" s="666"/>
      <c r="D294" s="666" t="s">
        <v>122</v>
      </c>
      <c r="E294" s="753">
        <v>0</v>
      </c>
      <c r="F294" s="666" t="s">
        <v>123</v>
      </c>
      <c r="G294" s="666"/>
      <c r="H294" s="666"/>
      <c r="I294" s="666"/>
      <c r="J294" s="666"/>
      <c r="K294" s="666"/>
      <c r="L294" s="666"/>
      <c r="M294" s="1202"/>
      <c r="N294" s="1215"/>
    </row>
    <row r="295" spans="1:14" s="94" customFormat="1" ht="18">
      <c r="A295" s="1200"/>
      <c r="B295" s="1201"/>
      <c r="C295" s="666"/>
      <c r="D295" s="666" t="s">
        <v>481</v>
      </c>
      <c r="E295" s="940">
        <v>0</v>
      </c>
      <c r="F295" s="666" t="s">
        <v>482</v>
      </c>
      <c r="G295" s="666"/>
      <c r="H295" s="666"/>
      <c r="I295" s="666"/>
      <c r="J295" s="666"/>
      <c r="K295" s="935"/>
      <c r="L295" s="666"/>
      <c r="M295" s="986"/>
      <c r="N295" s="666"/>
    </row>
    <row r="296" spans="1:14" s="94" customFormat="1" ht="18">
      <c r="A296" s="1200"/>
      <c r="B296" s="1201"/>
      <c r="C296" s="762" t="s">
        <v>22</v>
      </c>
      <c r="D296" s="666"/>
      <c r="E296" s="763"/>
      <c r="F296" s="666"/>
      <c r="G296" s="666"/>
      <c r="H296" s="666"/>
      <c r="I296" s="666"/>
      <c r="J296" s="666"/>
      <c r="K296" s="666"/>
      <c r="L296" s="666"/>
      <c r="M296" s="1202"/>
      <c r="N296" s="1215"/>
    </row>
    <row r="297" spans="1:14" s="94" customFormat="1" ht="18">
      <c r="A297" s="1200"/>
      <c r="B297" s="1201"/>
      <c r="C297" s="666" t="s">
        <v>23</v>
      </c>
      <c r="D297" s="666"/>
      <c r="E297" s="763"/>
      <c r="F297" s="666"/>
      <c r="G297" s="666"/>
      <c r="H297" s="666"/>
      <c r="I297" s="666"/>
      <c r="J297" s="666"/>
      <c r="K297" s="666"/>
      <c r="L297" s="666"/>
      <c r="M297" s="1202"/>
      <c r="N297" s="1215"/>
    </row>
    <row r="298" spans="1:14" s="94" customFormat="1" ht="18">
      <c r="A298" s="1200"/>
      <c r="B298" s="1201"/>
      <c r="C298" s="666" t="s">
        <v>392</v>
      </c>
      <c r="D298" s="666"/>
      <c r="E298" s="763"/>
      <c r="F298" s="666"/>
      <c r="G298" s="666"/>
      <c r="H298" s="666"/>
      <c r="I298" s="666"/>
      <c r="J298" s="666"/>
      <c r="K298" s="666"/>
      <c r="L298" s="666"/>
      <c r="M298" s="1202"/>
      <c r="N298" s="1215"/>
    </row>
    <row r="299" spans="1:14" s="94" customFormat="1" ht="18">
      <c r="A299" s="1200" t="s">
        <v>106</v>
      </c>
      <c r="B299" s="1201"/>
      <c r="C299" s="762" t="s">
        <v>535</v>
      </c>
      <c r="D299" s="731"/>
      <c r="E299" s="764"/>
      <c r="F299" s="764"/>
      <c r="G299" s="1414"/>
      <c r="H299" s="1415"/>
      <c r="I299" s="666"/>
      <c r="J299" s="666"/>
      <c r="K299" s="666"/>
      <c r="L299" s="666"/>
      <c r="M299" s="1202"/>
      <c r="N299" s="1215"/>
    </row>
    <row r="300" spans="1:14" s="94" customFormat="1" ht="18">
      <c r="A300" s="1200"/>
      <c r="B300" s="1201"/>
      <c r="C300" s="667" t="s">
        <v>1023</v>
      </c>
      <c r="D300" s="731"/>
      <c r="E300" s="764"/>
      <c r="F300" s="764"/>
      <c r="G300" s="1414"/>
      <c r="H300" s="1415"/>
      <c r="I300" s="765"/>
      <c r="J300" s="765"/>
      <c r="K300" s="765"/>
      <c r="L300" s="765"/>
      <c r="M300" s="1202"/>
      <c r="N300" s="1215"/>
    </row>
    <row r="301" spans="1:14" s="94" customFormat="1" ht="18">
      <c r="A301" s="1200"/>
      <c r="B301" s="1201"/>
      <c r="C301" s="667" t="s">
        <v>536</v>
      </c>
      <c r="D301" s="731"/>
      <c r="E301" s="764"/>
      <c r="F301" s="764"/>
      <c r="G301" s="1414"/>
      <c r="H301" s="1415"/>
      <c r="I301" s="765"/>
      <c r="J301" s="765"/>
      <c r="K301" s="765"/>
      <c r="L301" s="765"/>
      <c r="M301" s="1202"/>
      <c r="N301" s="1215"/>
    </row>
    <row r="302" spans="1:14" s="94" customFormat="1" ht="18">
      <c r="A302" s="1200"/>
      <c r="B302" s="1201"/>
      <c r="C302" s="667" t="s">
        <v>963</v>
      </c>
      <c r="D302" s="731"/>
      <c r="E302" s="764"/>
      <c r="F302" s="764"/>
      <c r="G302" s="1414"/>
      <c r="H302" s="1415"/>
      <c r="I302" s="765"/>
      <c r="J302" s="765"/>
      <c r="K302" s="765"/>
      <c r="L302" s="765"/>
      <c r="M302" s="1202"/>
      <c r="N302" s="1215"/>
    </row>
    <row r="303" spans="1:14" s="94" customFormat="1" ht="18">
      <c r="A303" s="1200" t="s">
        <v>108</v>
      </c>
      <c r="B303" s="1201"/>
      <c r="C303" s="666" t="s">
        <v>124</v>
      </c>
      <c r="D303" s="666"/>
      <c r="E303" s="666"/>
      <c r="F303" s="666"/>
      <c r="G303" s="666"/>
      <c r="H303" s="666"/>
      <c r="I303" s="666"/>
      <c r="J303" s="666"/>
      <c r="K303" s="666"/>
      <c r="L303" s="666"/>
      <c r="M303" s="1202"/>
      <c r="N303" s="1215"/>
    </row>
    <row r="304" spans="1:14" s="94" customFormat="1" ht="18">
      <c r="A304" s="1200"/>
      <c r="B304" s="1201"/>
      <c r="C304" s="666" t="s">
        <v>125</v>
      </c>
      <c r="D304" s="666"/>
      <c r="E304" s="666"/>
      <c r="F304" s="666"/>
      <c r="G304" s="666"/>
      <c r="H304" s="666"/>
      <c r="I304" s="666"/>
      <c r="J304" s="666"/>
      <c r="K304" s="666"/>
      <c r="L304" s="666"/>
      <c r="M304" s="1202"/>
      <c r="N304" s="1215"/>
    </row>
    <row r="305" spans="1:256" s="94" customFormat="1" ht="18">
      <c r="A305" s="1200"/>
      <c r="B305" s="1201"/>
      <c r="C305" s="666" t="s">
        <v>126</v>
      </c>
      <c r="D305" s="666"/>
      <c r="E305" s="666"/>
      <c r="F305" s="666"/>
      <c r="G305" s="666"/>
      <c r="H305" s="666"/>
      <c r="I305" s="666"/>
      <c r="J305" s="666"/>
      <c r="K305" s="666"/>
      <c r="L305" s="666"/>
      <c r="M305" s="1202"/>
      <c r="N305" s="1215"/>
    </row>
    <row r="306" spans="1:256" s="94" customFormat="1" ht="18">
      <c r="A306" s="1200" t="s">
        <v>110</v>
      </c>
      <c r="B306" s="1201"/>
      <c r="C306" s="666" t="s">
        <v>127</v>
      </c>
      <c r="D306" s="666"/>
      <c r="E306" s="666"/>
      <c r="F306" s="666"/>
      <c r="G306" s="666"/>
      <c r="H306" s="666"/>
      <c r="I306" s="666"/>
      <c r="J306" s="666"/>
      <c r="K306" s="666"/>
      <c r="L306" s="666"/>
      <c r="M306" s="1202"/>
      <c r="N306" s="1215"/>
    </row>
    <row r="307" spans="1:256" s="94" customFormat="1" ht="18">
      <c r="A307" s="1200" t="s">
        <v>111</v>
      </c>
      <c r="B307" s="666"/>
      <c r="C307" s="910" t="s">
        <v>470</v>
      </c>
      <c r="D307" s="666"/>
      <c r="E307" s="666"/>
      <c r="F307" s="666"/>
      <c r="G307" s="666"/>
      <c r="H307" s="666"/>
      <c r="I307" s="666"/>
      <c r="J307" s="666"/>
      <c r="K307" s="666"/>
      <c r="L307" s="666"/>
      <c r="M307" s="1202"/>
      <c r="N307" s="1215"/>
    </row>
    <row r="308" spans="1:256" s="94" customFormat="1" ht="13.5" customHeight="1">
      <c r="A308" s="731"/>
      <c r="B308" s="731"/>
      <c r="C308" s="1468" t="s">
        <v>964</v>
      </c>
      <c r="D308" s="1468"/>
      <c r="E308" s="1468"/>
      <c r="F308" s="1468"/>
      <c r="G308" s="1468"/>
      <c r="H308" s="1468"/>
      <c r="I308" s="1468"/>
      <c r="J308" s="1468"/>
      <c r="K308" s="1468"/>
      <c r="L308" s="1468"/>
      <c r="M308" s="731"/>
      <c r="N308" s="1219"/>
      <c r="O308" s="1219"/>
      <c r="P308" s="1219"/>
      <c r="Q308" s="1219"/>
      <c r="R308" s="1219"/>
      <c r="S308" s="1219"/>
      <c r="T308" s="1219"/>
      <c r="U308" s="1219"/>
      <c r="V308" s="1219"/>
      <c r="W308" s="1219"/>
      <c r="X308" s="1219"/>
      <c r="Y308" s="1219"/>
      <c r="Z308" s="1219"/>
      <c r="AA308" s="1219"/>
      <c r="AB308" s="1219"/>
      <c r="AC308" s="1219"/>
      <c r="AD308" s="1219"/>
      <c r="AE308" s="1219"/>
      <c r="AF308" s="1219"/>
      <c r="AG308" s="1219"/>
      <c r="AH308" s="1219"/>
      <c r="AI308" s="1219"/>
      <c r="AJ308" s="1219"/>
      <c r="AK308" s="1219"/>
      <c r="AL308" s="1219"/>
      <c r="AM308" s="1219"/>
      <c r="AN308" s="1219"/>
      <c r="AO308" s="1219"/>
      <c r="AP308" s="1219"/>
      <c r="AQ308" s="1219"/>
      <c r="AR308" s="1219"/>
      <c r="AS308" s="1219"/>
      <c r="AT308" s="1219"/>
      <c r="AU308" s="1219"/>
      <c r="AV308" s="1219"/>
      <c r="AW308" s="1219"/>
      <c r="AX308" s="1219"/>
      <c r="AY308" s="1219"/>
      <c r="AZ308" s="1219"/>
      <c r="BA308" s="1219"/>
      <c r="BB308" s="1219"/>
      <c r="BC308" s="1219"/>
      <c r="BD308" s="1219"/>
      <c r="BE308" s="1219"/>
      <c r="BF308" s="1219"/>
      <c r="BG308" s="1219"/>
      <c r="BH308" s="1219"/>
      <c r="BI308" s="1219"/>
      <c r="BJ308" s="1219"/>
      <c r="BK308" s="1219"/>
      <c r="BL308" s="1219"/>
      <c r="BM308" s="1219"/>
      <c r="BN308" s="1219"/>
      <c r="BO308" s="1219"/>
      <c r="BP308" s="1219"/>
      <c r="BQ308" s="1219"/>
      <c r="BR308" s="1219"/>
      <c r="BS308" s="1219"/>
      <c r="BT308" s="1219"/>
      <c r="BU308" s="1219"/>
      <c r="BV308" s="1219"/>
      <c r="BW308" s="1219"/>
      <c r="BX308" s="1219"/>
      <c r="BY308" s="1219"/>
      <c r="BZ308" s="1219"/>
      <c r="CA308" s="1219"/>
      <c r="CB308" s="1219"/>
      <c r="CC308" s="1219"/>
      <c r="CD308" s="1219"/>
      <c r="CE308" s="1219"/>
      <c r="CF308" s="1219"/>
      <c r="CG308" s="1219"/>
      <c r="CH308" s="1219"/>
      <c r="CI308" s="1219"/>
      <c r="CJ308" s="1219"/>
      <c r="CK308" s="1219"/>
      <c r="CL308" s="1219"/>
      <c r="CM308" s="1219"/>
      <c r="CN308" s="1219"/>
      <c r="CO308" s="1219"/>
      <c r="CP308" s="1219"/>
      <c r="CQ308" s="1219"/>
      <c r="CR308" s="1219"/>
      <c r="CS308" s="1219"/>
      <c r="CT308" s="1219"/>
      <c r="CU308" s="1219"/>
      <c r="CV308" s="1219"/>
      <c r="CW308" s="1219"/>
      <c r="CX308" s="1219"/>
      <c r="CY308" s="1219"/>
      <c r="CZ308" s="1219"/>
      <c r="DA308" s="1219"/>
      <c r="DB308" s="1219"/>
      <c r="DC308" s="1219"/>
      <c r="DD308" s="1219"/>
      <c r="DE308" s="1219"/>
      <c r="DF308" s="1219"/>
      <c r="DG308" s="1219"/>
      <c r="DH308" s="1219"/>
      <c r="DI308" s="1219"/>
      <c r="DJ308" s="1219"/>
      <c r="DK308" s="1219"/>
      <c r="DL308" s="1219"/>
      <c r="DM308" s="1219"/>
      <c r="DN308" s="1219"/>
      <c r="DO308" s="1219"/>
      <c r="DP308" s="1219"/>
      <c r="DQ308" s="1219"/>
      <c r="DR308" s="1219"/>
      <c r="DS308" s="1219"/>
      <c r="DT308" s="1219"/>
      <c r="DU308" s="1219"/>
      <c r="DV308" s="1219"/>
      <c r="DW308" s="1219"/>
      <c r="DX308" s="1219"/>
      <c r="DY308" s="1219"/>
      <c r="DZ308" s="1219"/>
      <c r="EA308" s="1219"/>
      <c r="EB308" s="1219"/>
      <c r="EC308" s="1219"/>
      <c r="ED308" s="1219"/>
      <c r="EE308" s="1219"/>
      <c r="EF308" s="1219"/>
      <c r="EG308" s="1219"/>
      <c r="EH308" s="1219"/>
      <c r="EI308" s="1219"/>
      <c r="EJ308" s="1219"/>
      <c r="EK308" s="1219"/>
      <c r="EL308" s="1219"/>
      <c r="EM308" s="1219"/>
      <c r="EN308" s="1219"/>
      <c r="EO308" s="1219"/>
      <c r="EP308" s="1219"/>
      <c r="EQ308" s="1219"/>
      <c r="ER308" s="1219"/>
      <c r="ES308" s="1219"/>
      <c r="ET308" s="1219"/>
      <c r="EU308" s="1219"/>
      <c r="EV308" s="1219"/>
      <c r="EW308" s="1219"/>
      <c r="EX308" s="1219"/>
      <c r="EY308" s="1219"/>
      <c r="EZ308" s="1219"/>
      <c r="FA308" s="1219"/>
      <c r="FB308" s="1219"/>
      <c r="FC308" s="1219"/>
      <c r="FD308" s="1219"/>
      <c r="FE308" s="1219"/>
      <c r="FF308" s="1219"/>
      <c r="FG308" s="1219"/>
      <c r="FH308" s="1219"/>
      <c r="FI308" s="1219"/>
      <c r="FJ308" s="1219"/>
      <c r="FK308" s="1219"/>
      <c r="FL308" s="1219"/>
      <c r="FM308" s="1219"/>
      <c r="FN308" s="1219"/>
      <c r="FO308" s="1219"/>
      <c r="FP308" s="1219"/>
      <c r="FQ308" s="1219"/>
      <c r="FR308" s="1219"/>
      <c r="FS308" s="1219"/>
      <c r="FT308" s="1219"/>
      <c r="FU308" s="1219"/>
      <c r="FV308" s="1219"/>
      <c r="FW308" s="1219"/>
      <c r="FX308" s="1219"/>
      <c r="FY308" s="1219"/>
      <c r="FZ308" s="1219"/>
      <c r="GA308" s="1219"/>
      <c r="GB308" s="1219"/>
      <c r="GC308" s="1219"/>
      <c r="GD308" s="1219"/>
      <c r="GE308" s="1219"/>
      <c r="GF308" s="1219"/>
      <c r="GG308" s="1219"/>
      <c r="GH308" s="1219"/>
      <c r="GI308" s="1219"/>
      <c r="GJ308" s="1219"/>
      <c r="GK308" s="1219"/>
      <c r="GL308" s="1219"/>
      <c r="GM308" s="1219"/>
      <c r="GN308" s="1219"/>
      <c r="GO308" s="1219"/>
      <c r="GP308" s="1219"/>
      <c r="GQ308" s="1219"/>
      <c r="GR308" s="1219"/>
      <c r="GS308" s="1219"/>
      <c r="GT308" s="1219"/>
      <c r="GU308" s="1219"/>
      <c r="GV308" s="1219"/>
      <c r="GW308" s="1219"/>
      <c r="GX308" s="1219"/>
      <c r="GY308" s="1219"/>
      <c r="GZ308" s="1219"/>
      <c r="HA308" s="1219"/>
      <c r="HB308" s="1219"/>
      <c r="HC308" s="1219"/>
      <c r="HD308" s="1219"/>
      <c r="HE308" s="1219"/>
      <c r="HF308" s="1219"/>
      <c r="HG308" s="1219"/>
      <c r="HH308" s="1219"/>
      <c r="HI308" s="1219"/>
      <c r="HJ308" s="1219"/>
      <c r="HK308" s="1219"/>
      <c r="HL308" s="1219"/>
      <c r="HM308" s="1219"/>
      <c r="HN308" s="1219"/>
      <c r="HO308" s="1219"/>
      <c r="HP308" s="1219"/>
      <c r="HQ308" s="1219"/>
      <c r="HR308" s="1219"/>
      <c r="HS308" s="1219"/>
      <c r="HT308" s="1219"/>
      <c r="HU308" s="1219"/>
      <c r="HV308" s="1219"/>
      <c r="HW308" s="1219"/>
      <c r="HX308" s="1219"/>
      <c r="HY308" s="1219"/>
      <c r="HZ308" s="1219"/>
      <c r="IA308" s="1219"/>
      <c r="IB308" s="1219"/>
      <c r="IC308" s="1219"/>
      <c r="ID308" s="1219"/>
      <c r="IE308" s="1219"/>
      <c r="IF308" s="1219"/>
      <c r="IG308" s="1219"/>
      <c r="IH308" s="1219"/>
      <c r="II308" s="1219"/>
      <c r="IJ308" s="1219"/>
      <c r="IK308" s="1219"/>
      <c r="IL308" s="1219"/>
      <c r="IM308" s="1219"/>
      <c r="IN308" s="1219"/>
      <c r="IO308" s="1219"/>
      <c r="IP308" s="1219"/>
      <c r="IQ308" s="1219"/>
      <c r="IR308" s="1219"/>
      <c r="IS308" s="1219"/>
      <c r="IT308" s="1219"/>
      <c r="IU308" s="1219"/>
      <c r="IV308" s="1219"/>
    </row>
    <row r="309" spans="1:256" s="94" customFormat="1" ht="24" customHeight="1">
      <c r="A309" s="731"/>
      <c r="B309" s="731"/>
      <c r="C309" s="1468"/>
      <c r="D309" s="1468"/>
      <c r="E309" s="1468"/>
      <c r="F309" s="1468"/>
      <c r="G309" s="1468"/>
      <c r="H309" s="1468"/>
      <c r="I309" s="1468"/>
      <c r="J309" s="1468"/>
      <c r="K309" s="1468"/>
      <c r="L309" s="1468"/>
      <c r="M309" s="731"/>
      <c r="N309" s="1219"/>
      <c r="O309" s="1219"/>
      <c r="P309" s="1219"/>
      <c r="Q309" s="1219"/>
      <c r="R309" s="1219"/>
      <c r="S309" s="1219"/>
      <c r="T309" s="1219"/>
      <c r="U309" s="1219"/>
      <c r="V309" s="1219"/>
      <c r="W309" s="1219"/>
      <c r="X309" s="1219"/>
      <c r="Y309" s="1219"/>
      <c r="Z309" s="1219"/>
      <c r="AA309" s="1219"/>
      <c r="AB309" s="1219"/>
      <c r="AC309" s="1219"/>
      <c r="AD309" s="1219"/>
      <c r="AE309" s="1219"/>
      <c r="AF309" s="1219"/>
      <c r="AG309" s="1219"/>
      <c r="AH309" s="1219"/>
      <c r="AI309" s="1219"/>
      <c r="AJ309" s="1219"/>
      <c r="AK309" s="1219"/>
      <c r="AL309" s="1219"/>
      <c r="AM309" s="1219"/>
      <c r="AN309" s="1219"/>
      <c r="AO309" s="1219"/>
      <c r="AP309" s="1219"/>
      <c r="AQ309" s="1219"/>
      <c r="AR309" s="1219"/>
      <c r="AS309" s="1219"/>
      <c r="AT309" s="1219"/>
      <c r="AU309" s="1219"/>
      <c r="AV309" s="1219"/>
      <c r="AW309" s="1219"/>
      <c r="AX309" s="1219"/>
      <c r="AY309" s="1219"/>
      <c r="AZ309" s="1219"/>
      <c r="BA309" s="1219"/>
      <c r="BB309" s="1219"/>
      <c r="BC309" s="1219"/>
      <c r="BD309" s="1219"/>
      <c r="BE309" s="1219"/>
      <c r="BF309" s="1219"/>
      <c r="BG309" s="1219"/>
      <c r="BH309" s="1219"/>
      <c r="BI309" s="1219"/>
      <c r="BJ309" s="1219"/>
      <c r="BK309" s="1219"/>
      <c r="BL309" s="1219"/>
      <c r="BM309" s="1219"/>
      <c r="BN309" s="1219"/>
      <c r="BO309" s="1219"/>
      <c r="BP309" s="1219"/>
      <c r="BQ309" s="1219"/>
      <c r="BR309" s="1219"/>
      <c r="BS309" s="1219"/>
      <c r="BT309" s="1219"/>
      <c r="BU309" s="1219"/>
      <c r="BV309" s="1219"/>
      <c r="BW309" s="1219"/>
      <c r="BX309" s="1219"/>
      <c r="BY309" s="1219"/>
      <c r="BZ309" s="1219"/>
      <c r="CA309" s="1219"/>
      <c r="CB309" s="1219"/>
      <c r="CC309" s="1219"/>
      <c r="CD309" s="1219"/>
      <c r="CE309" s="1219"/>
      <c r="CF309" s="1219"/>
      <c r="CG309" s="1219"/>
      <c r="CH309" s="1219"/>
      <c r="CI309" s="1219"/>
      <c r="CJ309" s="1219"/>
      <c r="CK309" s="1219"/>
      <c r="CL309" s="1219"/>
      <c r="CM309" s="1219"/>
      <c r="CN309" s="1219"/>
      <c r="CO309" s="1219"/>
      <c r="CP309" s="1219"/>
      <c r="CQ309" s="1219"/>
      <c r="CR309" s="1219"/>
      <c r="CS309" s="1219"/>
      <c r="CT309" s="1219"/>
      <c r="CU309" s="1219"/>
      <c r="CV309" s="1219"/>
      <c r="CW309" s="1219"/>
      <c r="CX309" s="1219"/>
      <c r="CY309" s="1219"/>
      <c r="CZ309" s="1219"/>
      <c r="DA309" s="1219"/>
      <c r="DB309" s="1219"/>
      <c r="DC309" s="1219"/>
      <c r="DD309" s="1219"/>
      <c r="DE309" s="1219"/>
      <c r="DF309" s="1219"/>
      <c r="DG309" s="1219"/>
      <c r="DH309" s="1219"/>
      <c r="DI309" s="1219"/>
      <c r="DJ309" s="1219"/>
      <c r="DK309" s="1219"/>
      <c r="DL309" s="1219"/>
      <c r="DM309" s="1219"/>
      <c r="DN309" s="1219"/>
      <c r="DO309" s="1219"/>
      <c r="DP309" s="1219"/>
      <c r="DQ309" s="1219"/>
      <c r="DR309" s="1219"/>
      <c r="DS309" s="1219"/>
      <c r="DT309" s="1219"/>
      <c r="DU309" s="1219"/>
      <c r="DV309" s="1219"/>
      <c r="DW309" s="1219"/>
      <c r="DX309" s="1219"/>
      <c r="DY309" s="1219"/>
      <c r="DZ309" s="1219"/>
      <c r="EA309" s="1219"/>
      <c r="EB309" s="1219"/>
      <c r="EC309" s="1219"/>
      <c r="ED309" s="1219"/>
      <c r="EE309" s="1219"/>
      <c r="EF309" s="1219"/>
      <c r="EG309" s="1219"/>
      <c r="EH309" s="1219"/>
      <c r="EI309" s="1219"/>
      <c r="EJ309" s="1219"/>
      <c r="EK309" s="1219"/>
      <c r="EL309" s="1219"/>
      <c r="EM309" s="1219"/>
      <c r="EN309" s="1219"/>
      <c r="EO309" s="1219"/>
      <c r="EP309" s="1219"/>
      <c r="EQ309" s="1219"/>
      <c r="ER309" s="1219"/>
      <c r="ES309" s="1219"/>
      <c r="ET309" s="1219"/>
      <c r="EU309" s="1219"/>
      <c r="EV309" s="1219"/>
      <c r="EW309" s="1219"/>
      <c r="EX309" s="1219"/>
      <c r="EY309" s="1219"/>
      <c r="EZ309" s="1219"/>
      <c r="FA309" s="1219"/>
      <c r="FB309" s="1219"/>
      <c r="FC309" s="1219"/>
      <c r="FD309" s="1219"/>
      <c r="FE309" s="1219"/>
      <c r="FF309" s="1219"/>
      <c r="FG309" s="1219"/>
      <c r="FH309" s="1219"/>
      <c r="FI309" s="1219"/>
      <c r="FJ309" s="1219"/>
      <c r="FK309" s="1219"/>
      <c r="FL309" s="1219"/>
      <c r="FM309" s="1219"/>
      <c r="FN309" s="1219"/>
      <c r="FO309" s="1219"/>
      <c r="FP309" s="1219"/>
      <c r="FQ309" s="1219"/>
      <c r="FR309" s="1219"/>
      <c r="FS309" s="1219"/>
      <c r="FT309" s="1219"/>
      <c r="FU309" s="1219"/>
      <c r="FV309" s="1219"/>
      <c r="FW309" s="1219"/>
      <c r="FX309" s="1219"/>
      <c r="FY309" s="1219"/>
      <c r="FZ309" s="1219"/>
      <c r="GA309" s="1219"/>
      <c r="GB309" s="1219"/>
      <c r="GC309" s="1219"/>
      <c r="GD309" s="1219"/>
      <c r="GE309" s="1219"/>
      <c r="GF309" s="1219"/>
      <c r="GG309" s="1219"/>
      <c r="GH309" s="1219"/>
      <c r="GI309" s="1219"/>
      <c r="GJ309" s="1219"/>
      <c r="GK309" s="1219"/>
      <c r="GL309" s="1219"/>
      <c r="GM309" s="1219"/>
      <c r="GN309" s="1219"/>
      <c r="GO309" s="1219"/>
      <c r="GP309" s="1219"/>
      <c r="GQ309" s="1219"/>
      <c r="GR309" s="1219"/>
      <c r="GS309" s="1219"/>
      <c r="GT309" s="1219"/>
      <c r="GU309" s="1219"/>
      <c r="GV309" s="1219"/>
      <c r="GW309" s="1219"/>
      <c r="GX309" s="1219"/>
      <c r="GY309" s="1219"/>
      <c r="GZ309" s="1219"/>
      <c r="HA309" s="1219"/>
      <c r="HB309" s="1219"/>
      <c r="HC309" s="1219"/>
      <c r="HD309" s="1219"/>
      <c r="HE309" s="1219"/>
      <c r="HF309" s="1219"/>
      <c r="HG309" s="1219"/>
      <c r="HH309" s="1219"/>
      <c r="HI309" s="1219"/>
      <c r="HJ309" s="1219"/>
      <c r="HK309" s="1219"/>
      <c r="HL309" s="1219"/>
      <c r="HM309" s="1219"/>
      <c r="HN309" s="1219"/>
      <c r="HO309" s="1219"/>
      <c r="HP309" s="1219"/>
      <c r="HQ309" s="1219"/>
      <c r="HR309" s="1219"/>
      <c r="HS309" s="1219"/>
      <c r="HT309" s="1219"/>
      <c r="HU309" s="1219"/>
      <c r="HV309" s="1219"/>
      <c r="HW309" s="1219"/>
      <c r="HX309" s="1219"/>
      <c r="HY309" s="1219"/>
      <c r="HZ309" s="1219"/>
      <c r="IA309" s="1219"/>
      <c r="IB309" s="1219"/>
      <c r="IC309" s="1219"/>
      <c r="ID309" s="1219"/>
      <c r="IE309" s="1219"/>
      <c r="IF309" s="1219"/>
      <c r="IG309" s="1219"/>
      <c r="IH309" s="1219"/>
      <c r="II309" s="1219"/>
      <c r="IJ309" s="1219"/>
      <c r="IK309" s="1219"/>
      <c r="IL309" s="1219"/>
      <c r="IM309" s="1219"/>
      <c r="IN309" s="1219"/>
      <c r="IO309" s="1219"/>
      <c r="IP309" s="1219"/>
      <c r="IQ309" s="1219"/>
      <c r="IR309" s="1219"/>
      <c r="IS309" s="1219"/>
      <c r="IT309" s="1219"/>
      <c r="IU309" s="1219"/>
      <c r="IV309" s="1219"/>
    </row>
    <row r="310" spans="1:256" s="94" customFormat="1" ht="15.75" hidden="1" customHeight="1">
      <c r="A310" s="731"/>
      <c r="B310" s="731"/>
      <c r="C310" s="909"/>
      <c r="D310" s="909"/>
      <c r="E310" s="909"/>
      <c r="F310" s="909"/>
      <c r="G310" s="909"/>
      <c r="H310" s="909"/>
      <c r="I310" s="909"/>
      <c r="J310" s="909"/>
      <c r="K310" s="909"/>
      <c r="L310" s="909"/>
      <c r="M310" s="731"/>
      <c r="N310" s="1220"/>
      <c r="O310" s="1220"/>
      <c r="P310" s="1220"/>
      <c r="Q310" s="1220"/>
      <c r="R310" s="1220"/>
      <c r="S310" s="1220"/>
      <c r="T310" s="1220"/>
      <c r="U310" s="1220"/>
      <c r="V310" s="1220"/>
      <c r="W310" s="1220"/>
      <c r="X310" s="1220"/>
      <c r="Y310" s="1220"/>
      <c r="Z310" s="1220"/>
      <c r="AA310" s="1220"/>
      <c r="AB310" s="1220"/>
      <c r="AC310" s="1220"/>
      <c r="AD310" s="1220"/>
      <c r="AE310" s="1220"/>
      <c r="AF310" s="1220"/>
      <c r="AG310" s="1220"/>
      <c r="AH310" s="1220"/>
      <c r="AI310" s="1220"/>
      <c r="AJ310" s="1220"/>
      <c r="AK310" s="1220"/>
      <c r="AL310" s="1220"/>
      <c r="AM310" s="1220"/>
      <c r="AN310" s="1220"/>
      <c r="AO310" s="1220"/>
      <c r="AP310" s="1220"/>
      <c r="AQ310" s="1220"/>
      <c r="AR310" s="1220"/>
      <c r="AS310" s="1220"/>
      <c r="AT310" s="1220"/>
      <c r="AU310" s="1220"/>
      <c r="AV310" s="1220"/>
      <c r="AW310" s="1220"/>
      <c r="AX310" s="1220"/>
      <c r="AY310" s="1220"/>
      <c r="AZ310" s="1220"/>
      <c r="BA310" s="1220"/>
      <c r="BB310" s="1220"/>
      <c r="BC310" s="1220"/>
      <c r="BD310" s="1220"/>
      <c r="BE310" s="1220"/>
      <c r="BF310" s="1220"/>
      <c r="BG310" s="1220"/>
      <c r="BH310" s="1220"/>
      <c r="BI310" s="1220"/>
      <c r="BJ310" s="1220"/>
      <c r="BK310" s="1220"/>
      <c r="BL310" s="1220"/>
      <c r="BM310" s="1220"/>
      <c r="BN310" s="1220"/>
      <c r="BO310" s="1220"/>
      <c r="BP310" s="1220"/>
      <c r="BQ310" s="1220"/>
      <c r="BR310" s="1220"/>
      <c r="BS310" s="1220"/>
      <c r="BT310" s="1220"/>
      <c r="BU310" s="1220"/>
      <c r="BV310" s="1220"/>
      <c r="BW310" s="1220"/>
      <c r="BX310" s="1220"/>
      <c r="BY310" s="1220"/>
      <c r="BZ310" s="1220"/>
      <c r="CA310" s="1220"/>
      <c r="CB310" s="1220"/>
      <c r="CC310" s="1220"/>
      <c r="CD310" s="1220"/>
      <c r="CE310" s="1220"/>
      <c r="CF310" s="1220"/>
      <c r="CG310" s="1220"/>
      <c r="CH310" s="1220"/>
      <c r="CI310" s="1220"/>
      <c r="CJ310" s="1220"/>
      <c r="CK310" s="1220"/>
      <c r="CL310" s="1220"/>
      <c r="CM310" s="1220"/>
      <c r="CN310" s="1220"/>
      <c r="CO310" s="1220"/>
      <c r="CP310" s="1220"/>
      <c r="CQ310" s="1220"/>
      <c r="CR310" s="1220"/>
      <c r="CS310" s="1220"/>
      <c r="CT310" s="1220"/>
      <c r="CU310" s="1220"/>
      <c r="CV310" s="1220"/>
      <c r="CW310" s="1220"/>
      <c r="CX310" s="1220"/>
      <c r="CY310" s="1220"/>
      <c r="CZ310" s="1220"/>
      <c r="DA310" s="1220"/>
      <c r="DB310" s="1220"/>
      <c r="DC310" s="1220"/>
      <c r="DD310" s="1220"/>
      <c r="DE310" s="1220"/>
      <c r="DF310" s="1220"/>
      <c r="DG310" s="1220"/>
      <c r="DH310" s="1220"/>
      <c r="DI310" s="1220"/>
      <c r="DJ310" s="1220"/>
      <c r="DK310" s="1220"/>
      <c r="DL310" s="1220"/>
      <c r="DM310" s="1220"/>
      <c r="DN310" s="1220"/>
      <c r="DO310" s="1220"/>
      <c r="DP310" s="1220"/>
      <c r="DQ310" s="1220"/>
      <c r="DR310" s="1220"/>
      <c r="DS310" s="1220"/>
      <c r="DT310" s="1220"/>
      <c r="DU310" s="1220"/>
      <c r="DV310" s="1220"/>
      <c r="DW310" s="1220"/>
      <c r="DX310" s="1220"/>
      <c r="DY310" s="1220"/>
      <c r="DZ310" s="1220"/>
      <c r="EA310" s="1220"/>
      <c r="EB310" s="1220"/>
      <c r="EC310" s="1220"/>
      <c r="ED310" s="1220"/>
      <c r="EE310" s="1220"/>
      <c r="EF310" s="1220"/>
      <c r="EG310" s="1220"/>
      <c r="EH310" s="1220"/>
      <c r="EI310" s="1220"/>
      <c r="EJ310" s="1220"/>
      <c r="EK310" s="1220"/>
      <c r="EL310" s="1220"/>
      <c r="EM310" s="1220"/>
      <c r="EN310" s="1220"/>
      <c r="EO310" s="1220"/>
      <c r="EP310" s="1220"/>
      <c r="EQ310" s="1220"/>
      <c r="ER310" s="1220"/>
      <c r="ES310" s="1220"/>
      <c r="ET310" s="1220"/>
      <c r="EU310" s="1220"/>
      <c r="EV310" s="1220"/>
      <c r="EW310" s="1220"/>
      <c r="EX310" s="1220"/>
      <c r="EY310" s="1220"/>
      <c r="EZ310" s="1220"/>
      <c r="FA310" s="1220"/>
      <c r="FB310" s="1220"/>
      <c r="FC310" s="1220"/>
      <c r="FD310" s="1220"/>
      <c r="FE310" s="1220"/>
      <c r="FF310" s="1220"/>
      <c r="FG310" s="1220"/>
      <c r="FH310" s="1220"/>
      <c r="FI310" s="1220"/>
      <c r="FJ310" s="1220"/>
      <c r="FK310" s="1220"/>
      <c r="FL310" s="1220"/>
      <c r="FM310" s="1220"/>
      <c r="FN310" s="1220"/>
      <c r="FO310" s="1220"/>
      <c r="FP310" s="1220"/>
      <c r="FQ310" s="1220"/>
      <c r="FR310" s="1220"/>
      <c r="FS310" s="1220"/>
      <c r="FT310" s="1220"/>
      <c r="FU310" s="1220"/>
      <c r="FV310" s="1220"/>
      <c r="FW310" s="1220"/>
      <c r="FX310" s="1220"/>
      <c r="FY310" s="1220"/>
      <c r="FZ310" s="1220"/>
      <c r="GA310" s="1220"/>
      <c r="GB310" s="1220"/>
      <c r="GC310" s="1220"/>
      <c r="GD310" s="1220"/>
      <c r="GE310" s="1220"/>
      <c r="GF310" s="1220"/>
      <c r="GG310" s="1220"/>
      <c r="GH310" s="1220"/>
      <c r="GI310" s="1220"/>
      <c r="GJ310" s="1220"/>
      <c r="GK310" s="1220"/>
      <c r="GL310" s="1220"/>
      <c r="GM310" s="1220"/>
      <c r="GN310" s="1220"/>
      <c r="GO310" s="1220"/>
      <c r="GP310" s="1220"/>
      <c r="GQ310" s="1220"/>
      <c r="GR310" s="1220"/>
      <c r="GS310" s="1220"/>
      <c r="GT310" s="1220"/>
      <c r="GU310" s="1220"/>
      <c r="GV310" s="1220"/>
      <c r="GW310" s="1220"/>
      <c r="GX310" s="1220"/>
      <c r="GY310" s="1220"/>
      <c r="GZ310" s="1220"/>
      <c r="HA310" s="1220"/>
      <c r="HB310" s="1220"/>
      <c r="HC310" s="1220"/>
      <c r="HD310" s="1220"/>
      <c r="HE310" s="1220"/>
      <c r="HF310" s="1220"/>
      <c r="HG310" s="1220"/>
      <c r="HH310" s="1220"/>
      <c r="HI310" s="1220"/>
      <c r="HJ310" s="1220"/>
      <c r="HK310" s="1220"/>
      <c r="HL310" s="1220"/>
      <c r="HM310" s="1220"/>
      <c r="HN310" s="1220"/>
      <c r="HO310" s="1220"/>
      <c r="HP310" s="1220"/>
      <c r="HQ310" s="1220"/>
      <c r="HR310" s="1220"/>
      <c r="HS310" s="1220"/>
      <c r="HT310" s="1220"/>
      <c r="HU310" s="1220"/>
      <c r="HV310" s="1220"/>
      <c r="HW310" s="1220"/>
      <c r="HX310" s="1220"/>
      <c r="HY310" s="1220"/>
      <c r="HZ310" s="1220"/>
      <c r="IA310" s="1220"/>
      <c r="IB310" s="1220"/>
      <c r="IC310" s="1220"/>
      <c r="ID310" s="1220"/>
      <c r="IE310" s="1220"/>
      <c r="IF310" s="1220"/>
      <c r="IG310" s="1220"/>
      <c r="IH310" s="1220"/>
      <c r="II310" s="1220"/>
      <c r="IJ310" s="1220"/>
      <c r="IK310" s="1220"/>
      <c r="IL310" s="1220"/>
      <c r="IM310" s="1220"/>
      <c r="IN310" s="1220"/>
      <c r="IO310" s="1220"/>
      <c r="IP310" s="1220"/>
      <c r="IQ310" s="1220"/>
      <c r="IR310" s="1220"/>
      <c r="IS310" s="1220"/>
      <c r="IT310" s="1220"/>
      <c r="IU310" s="1220"/>
      <c r="IV310" s="1220"/>
    </row>
    <row r="311" spans="1:256" s="94" customFormat="1" ht="58.5" customHeight="1">
      <c r="A311" s="1221" t="s">
        <v>353</v>
      </c>
      <c r="B311" s="731"/>
      <c r="C311" s="1467" t="s">
        <v>493</v>
      </c>
      <c r="D311" s="1467"/>
      <c r="E311" s="1467"/>
      <c r="F311" s="1467"/>
      <c r="G311" s="1467"/>
      <c r="H311" s="1467"/>
      <c r="I311" s="1467"/>
      <c r="J311" s="1467"/>
      <c r="K311" s="1467"/>
      <c r="L311" s="1467"/>
      <c r="M311" s="731"/>
      <c r="N311" s="1220"/>
      <c r="O311" s="1220"/>
      <c r="P311" s="1220"/>
      <c r="Q311" s="1220"/>
      <c r="R311" s="1220"/>
      <c r="S311" s="1220"/>
      <c r="T311" s="1220"/>
      <c r="U311" s="1220"/>
      <c r="V311" s="1220"/>
      <c r="W311" s="1220"/>
      <c r="X311" s="1220"/>
      <c r="Y311" s="1220"/>
      <c r="Z311" s="1220"/>
      <c r="AA311" s="1220"/>
      <c r="AB311" s="1220"/>
      <c r="AC311" s="1220"/>
      <c r="AD311" s="1220"/>
      <c r="AE311" s="1220"/>
      <c r="AF311" s="1220"/>
      <c r="AG311" s="1220"/>
      <c r="AH311" s="1220"/>
      <c r="AI311" s="1220"/>
      <c r="AJ311" s="1220"/>
      <c r="AK311" s="1220"/>
      <c r="AL311" s="1220"/>
      <c r="AM311" s="1220"/>
      <c r="AN311" s="1220"/>
      <c r="AO311" s="1220"/>
      <c r="AP311" s="1220"/>
      <c r="AQ311" s="1220"/>
      <c r="AR311" s="1220"/>
      <c r="AS311" s="1220"/>
      <c r="AT311" s="1220"/>
      <c r="AU311" s="1220"/>
      <c r="AV311" s="1220"/>
      <c r="AW311" s="1220"/>
      <c r="AX311" s="1220"/>
      <c r="AY311" s="1220"/>
      <c r="AZ311" s="1220"/>
      <c r="BA311" s="1220"/>
      <c r="BB311" s="1220"/>
      <c r="BC311" s="1220"/>
      <c r="BD311" s="1220"/>
      <c r="BE311" s="1220"/>
      <c r="BF311" s="1220"/>
      <c r="BG311" s="1220"/>
      <c r="BH311" s="1220"/>
      <c r="BI311" s="1220"/>
      <c r="BJ311" s="1220"/>
      <c r="BK311" s="1220"/>
      <c r="BL311" s="1220"/>
      <c r="BM311" s="1220"/>
      <c r="BN311" s="1220"/>
      <c r="BO311" s="1220"/>
      <c r="BP311" s="1220"/>
      <c r="BQ311" s="1220"/>
      <c r="BR311" s="1220"/>
      <c r="BS311" s="1220"/>
      <c r="BT311" s="1220"/>
      <c r="BU311" s="1220"/>
      <c r="BV311" s="1220"/>
      <c r="BW311" s="1220"/>
      <c r="BX311" s="1220"/>
      <c r="BY311" s="1220"/>
      <c r="BZ311" s="1220"/>
      <c r="CA311" s="1220"/>
      <c r="CB311" s="1220"/>
      <c r="CC311" s="1220"/>
      <c r="CD311" s="1220"/>
      <c r="CE311" s="1220"/>
      <c r="CF311" s="1220"/>
      <c r="CG311" s="1220"/>
      <c r="CH311" s="1220"/>
      <c r="CI311" s="1220"/>
      <c r="CJ311" s="1220"/>
      <c r="CK311" s="1220"/>
      <c r="CL311" s="1220"/>
      <c r="CM311" s="1220"/>
      <c r="CN311" s="1220"/>
      <c r="CO311" s="1220"/>
      <c r="CP311" s="1220"/>
      <c r="CQ311" s="1220"/>
      <c r="CR311" s="1220"/>
      <c r="CS311" s="1220"/>
      <c r="CT311" s="1220"/>
      <c r="CU311" s="1220"/>
      <c r="CV311" s="1220"/>
      <c r="CW311" s="1220"/>
      <c r="CX311" s="1220"/>
      <c r="CY311" s="1220"/>
      <c r="CZ311" s="1220"/>
      <c r="DA311" s="1220"/>
      <c r="DB311" s="1220"/>
      <c r="DC311" s="1220"/>
      <c r="DD311" s="1220"/>
      <c r="DE311" s="1220"/>
      <c r="DF311" s="1220"/>
      <c r="DG311" s="1220"/>
      <c r="DH311" s="1220"/>
      <c r="DI311" s="1220"/>
      <c r="DJ311" s="1220"/>
      <c r="DK311" s="1220"/>
      <c r="DL311" s="1220"/>
      <c r="DM311" s="1220"/>
      <c r="DN311" s="1220"/>
      <c r="DO311" s="1220"/>
      <c r="DP311" s="1220"/>
      <c r="DQ311" s="1220"/>
      <c r="DR311" s="1220"/>
      <c r="DS311" s="1220"/>
      <c r="DT311" s="1220"/>
      <c r="DU311" s="1220"/>
      <c r="DV311" s="1220"/>
      <c r="DW311" s="1220"/>
      <c r="DX311" s="1220"/>
      <c r="DY311" s="1220"/>
      <c r="DZ311" s="1220"/>
      <c r="EA311" s="1220"/>
      <c r="EB311" s="1220"/>
      <c r="EC311" s="1220"/>
      <c r="ED311" s="1220"/>
      <c r="EE311" s="1220"/>
      <c r="EF311" s="1220"/>
      <c r="EG311" s="1220"/>
      <c r="EH311" s="1220"/>
      <c r="EI311" s="1220"/>
      <c r="EJ311" s="1220"/>
      <c r="EK311" s="1220"/>
      <c r="EL311" s="1220"/>
      <c r="EM311" s="1220"/>
      <c r="EN311" s="1220"/>
      <c r="EO311" s="1220"/>
      <c r="EP311" s="1220"/>
      <c r="EQ311" s="1220"/>
      <c r="ER311" s="1220"/>
      <c r="ES311" s="1220"/>
      <c r="ET311" s="1220"/>
      <c r="EU311" s="1220"/>
      <c r="EV311" s="1220"/>
      <c r="EW311" s="1220"/>
      <c r="EX311" s="1220"/>
      <c r="EY311" s="1220"/>
      <c r="EZ311" s="1220"/>
      <c r="FA311" s="1220"/>
      <c r="FB311" s="1220"/>
      <c r="FC311" s="1220"/>
      <c r="FD311" s="1220"/>
      <c r="FE311" s="1220"/>
      <c r="FF311" s="1220"/>
      <c r="FG311" s="1220"/>
      <c r="FH311" s="1220"/>
      <c r="FI311" s="1220"/>
      <c r="FJ311" s="1220"/>
      <c r="FK311" s="1220"/>
      <c r="FL311" s="1220"/>
      <c r="FM311" s="1220"/>
      <c r="FN311" s="1220"/>
      <c r="FO311" s="1220"/>
      <c r="FP311" s="1220"/>
      <c r="FQ311" s="1220"/>
      <c r="FR311" s="1220"/>
      <c r="FS311" s="1220"/>
      <c r="FT311" s="1220"/>
      <c r="FU311" s="1220"/>
      <c r="FV311" s="1220"/>
      <c r="FW311" s="1220"/>
      <c r="FX311" s="1220"/>
      <c r="FY311" s="1220"/>
      <c r="FZ311" s="1220"/>
      <c r="GA311" s="1220"/>
      <c r="GB311" s="1220"/>
      <c r="GC311" s="1220"/>
      <c r="GD311" s="1220"/>
      <c r="GE311" s="1220"/>
      <c r="GF311" s="1220"/>
      <c r="GG311" s="1220"/>
      <c r="GH311" s="1220"/>
      <c r="GI311" s="1220"/>
      <c r="GJ311" s="1220"/>
      <c r="GK311" s="1220"/>
      <c r="GL311" s="1220"/>
      <c r="GM311" s="1220"/>
      <c r="GN311" s="1220"/>
      <c r="GO311" s="1220"/>
      <c r="GP311" s="1220"/>
      <c r="GQ311" s="1220"/>
      <c r="GR311" s="1220"/>
      <c r="GS311" s="1220"/>
      <c r="GT311" s="1220"/>
      <c r="GU311" s="1220"/>
      <c r="GV311" s="1220"/>
      <c r="GW311" s="1220"/>
      <c r="GX311" s="1220"/>
      <c r="GY311" s="1220"/>
      <c r="GZ311" s="1220"/>
      <c r="HA311" s="1220"/>
      <c r="HB311" s="1220"/>
      <c r="HC311" s="1220"/>
      <c r="HD311" s="1220"/>
      <c r="HE311" s="1220"/>
      <c r="HF311" s="1220"/>
      <c r="HG311" s="1220"/>
      <c r="HH311" s="1220"/>
      <c r="HI311" s="1220"/>
      <c r="HJ311" s="1220"/>
      <c r="HK311" s="1220"/>
      <c r="HL311" s="1220"/>
      <c r="HM311" s="1220"/>
      <c r="HN311" s="1220"/>
      <c r="HO311" s="1220"/>
      <c r="HP311" s="1220"/>
      <c r="HQ311" s="1220"/>
      <c r="HR311" s="1220"/>
      <c r="HS311" s="1220"/>
      <c r="HT311" s="1220"/>
      <c r="HU311" s="1220"/>
      <c r="HV311" s="1220"/>
      <c r="HW311" s="1220"/>
      <c r="HX311" s="1220"/>
      <c r="HY311" s="1220"/>
      <c r="HZ311" s="1220"/>
      <c r="IA311" s="1220"/>
      <c r="IB311" s="1220"/>
      <c r="IC311" s="1220"/>
      <c r="ID311" s="1220"/>
      <c r="IE311" s="1220"/>
      <c r="IF311" s="1220"/>
      <c r="IG311" s="1220"/>
      <c r="IH311" s="1220"/>
      <c r="II311" s="1220"/>
      <c r="IJ311" s="1220"/>
      <c r="IK311" s="1220"/>
      <c r="IL311" s="1220"/>
      <c r="IM311" s="1220"/>
      <c r="IN311" s="1220"/>
      <c r="IO311" s="1220"/>
      <c r="IP311" s="1220"/>
      <c r="IQ311" s="1220"/>
      <c r="IR311" s="1220"/>
      <c r="IS311" s="1220"/>
      <c r="IT311" s="1220"/>
      <c r="IU311" s="1220"/>
      <c r="IV311" s="1220"/>
    </row>
    <row r="312" spans="1:256" s="94" customFormat="1" ht="18">
      <c r="A312" s="1222" t="s">
        <v>533</v>
      </c>
      <c r="B312" s="731"/>
      <c r="C312" s="985" t="s">
        <v>534</v>
      </c>
      <c r="D312" s="731"/>
      <c r="E312" s="731"/>
      <c r="F312" s="731"/>
      <c r="G312" s="731"/>
      <c r="H312" s="731"/>
      <c r="I312" s="731"/>
      <c r="J312" s="731"/>
      <c r="K312" s="731"/>
      <c r="L312" s="731"/>
      <c r="M312" s="731"/>
      <c r="N312" s="1220"/>
      <c r="O312" s="1220"/>
      <c r="P312" s="1220"/>
      <c r="Q312" s="1220"/>
      <c r="R312" s="1220"/>
      <c r="S312" s="1220"/>
      <c r="T312" s="1220"/>
      <c r="U312" s="1220"/>
      <c r="V312" s="1220"/>
      <c r="W312" s="1220"/>
      <c r="X312" s="1220"/>
      <c r="Y312" s="1220"/>
      <c r="Z312" s="1220"/>
      <c r="AA312" s="1220"/>
      <c r="AB312" s="1220"/>
      <c r="AC312" s="1220"/>
      <c r="AD312" s="1220"/>
      <c r="AE312" s="1220"/>
      <c r="AF312" s="1220"/>
      <c r="AG312" s="1220"/>
      <c r="AH312" s="1220"/>
      <c r="AI312" s="1220"/>
      <c r="AJ312" s="1220"/>
      <c r="AK312" s="1220"/>
      <c r="AL312" s="1220"/>
      <c r="AM312" s="1220"/>
      <c r="AN312" s="1220"/>
      <c r="AO312" s="1220"/>
      <c r="AP312" s="1220"/>
      <c r="AQ312" s="1220"/>
      <c r="AR312" s="1220"/>
      <c r="AS312" s="1220"/>
      <c r="AT312" s="1220"/>
      <c r="AU312" s="1220"/>
      <c r="AV312" s="1220"/>
      <c r="AW312" s="1220"/>
      <c r="AX312" s="1220"/>
      <c r="AY312" s="1220"/>
      <c r="AZ312" s="1220"/>
      <c r="BA312" s="1220"/>
      <c r="BB312" s="1220"/>
      <c r="BC312" s="1220"/>
      <c r="BD312" s="1220"/>
      <c r="BE312" s="1220"/>
      <c r="BF312" s="1220"/>
      <c r="BG312" s="1220"/>
      <c r="BH312" s="1220"/>
      <c r="BI312" s="1220"/>
      <c r="BJ312" s="1220"/>
      <c r="BK312" s="1220"/>
      <c r="BL312" s="1220"/>
      <c r="BM312" s="1220"/>
      <c r="BN312" s="1220"/>
      <c r="BO312" s="1220"/>
      <c r="BP312" s="1220"/>
      <c r="BQ312" s="1220"/>
      <c r="BR312" s="1220"/>
      <c r="BS312" s="1220"/>
      <c r="BT312" s="1220"/>
      <c r="BU312" s="1220"/>
      <c r="BV312" s="1220"/>
      <c r="BW312" s="1220"/>
      <c r="BX312" s="1220"/>
      <c r="BY312" s="1220"/>
      <c r="BZ312" s="1220"/>
      <c r="CA312" s="1220"/>
      <c r="CB312" s="1220"/>
      <c r="CC312" s="1220"/>
      <c r="CD312" s="1220"/>
      <c r="CE312" s="1220"/>
      <c r="CF312" s="1220"/>
      <c r="CG312" s="1220"/>
      <c r="CH312" s="1220"/>
      <c r="CI312" s="1220"/>
      <c r="CJ312" s="1220"/>
      <c r="CK312" s="1220"/>
      <c r="CL312" s="1220"/>
      <c r="CM312" s="1220"/>
      <c r="CN312" s="1220"/>
      <c r="CO312" s="1220"/>
      <c r="CP312" s="1220"/>
      <c r="CQ312" s="1220"/>
      <c r="CR312" s="1220"/>
      <c r="CS312" s="1220"/>
      <c r="CT312" s="1220"/>
      <c r="CU312" s="1220"/>
      <c r="CV312" s="1220"/>
      <c r="CW312" s="1220"/>
      <c r="CX312" s="1220"/>
      <c r="CY312" s="1220"/>
      <c r="CZ312" s="1220"/>
      <c r="DA312" s="1220"/>
      <c r="DB312" s="1220"/>
      <c r="DC312" s="1220"/>
      <c r="DD312" s="1220"/>
      <c r="DE312" s="1220"/>
      <c r="DF312" s="1220"/>
      <c r="DG312" s="1220"/>
      <c r="DH312" s="1220"/>
      <c r="DI312" s="1220"/>
      <c r="DJ312" s="1220"/>
      <c r="DK312" s="1220"/>
      <c r="DL312" s="1220"/>
      <c r="DM312" s="1220"/>
      <c r="DN312" s="1220"/>
      <c r="DO312" s="1220"/>
      <c r="DP312" s="1220"/>
      <c r="DQ312" s="1220"/>
      <c r="DR312" s="1220"/>
      <c r="DS312" s="1220"/>
      <c r="DT312" s="1220"/>
      <c r="DU312" s="1220"/>
      <c r="DV312" s="1220"/>
      <c r="DW312" s="1220"/>
      <c r="DX312" s="1220"/>
      <c r="DY312" s="1220"/>
      <c r="DZ312" s="1220"/>
      <c r="EA312" s="1220"/>
      <c r="EB312" s="1220"/>
      <c r="EC312" s="1220"/>
      <c r="ED312" s="1220"/>
      <c r="EE312" s="1220"/>
      <c r="EF312" s="1220"/>
      <c r="EG312" s="1220"/>
      <c r="EH312" s="1220"/>
      <c r="EI312" s="1220"/>
      <c r="EJ312" s="1220"/>
      <c r="EK312" s="1220"/>
      <c r="EL312" s="1220"/>
      <c r="EM312" s="1220"/>
      <c r="EN312" s="1220"/>
      <c r="EO312" s="1220"/>
      <c r="EP312" s="1220"/>
      <c r="EQ312" s="1220"/>
      <c r="ER312" s="1220"/>
      <c r="ES312" s="1220"/>
      <c r="ET312" s="1220"/>
      <c r="EU312" s="1220"/>
      <c r="EV312" s="1220"/>
      <c r="EW312" s="1220"/>
      <c r="EX312" s="1220"/>
      <c r="EY312" s="1220"/>
      <c r="EZ312" s="1220"/>
      <c r="FA312" s="1220"/>
      <c r="FB312" s="1220"/>
      <c r="FC312" s="1220"/>
      <c r="FD312" s="1220"/>
      <c r="FE312" s="1220"/>
      <c r="FF312" s="1220"/>
      <c r="FG312" s="1220"/>
      <c r="FH312" s="1220"/>
      <c r="FI312" s="1220"/>
      <c r="FJ312" s="1220"/>
      <c r="FK312" s="1220"/>
      <c r="FL312" s="1220"/>
      <c r="FM312" s="1220"/>
      <c r="FN312" s="1220"/>
      <c r="FO312" s="1220"/>
      <c r="FP312" s="1220"/>
      <c r="FQ312" s="1220"/>
      <c r="FR312" s="1220"/>
      <c r="FS312" s="1220"/>
      <c r="FT312" s="1220"/>
      <c r="FU312" s="1220"/>
      <c r="FV312" s="1220"/>
      <c r="FW312" s="1220"/>
      <c r="FX312" s="1220"/>
      <c r="FY312" s="1220"/>
      <c r="FZ312" s="1220"/>
      <c r="GA312" s="1220"/>
      <c r="GB312" s="1220"/>
      <c r="GC312" s="1220"/>
      <c r="GD312" s="1220"/>
      <c r="GE312" s="1220"/>
      <c r="GF312" s="1220"/>
      <c r="GG312" s="1220"/>
      <c r="GH312" s="1220"/>
      <c r="GI312" s="1220"/>
      <c r="GJ312" s="1220"/>
      <c r="GK312" s="1220"/>
      <c r="GL312" s="1220"/>
      <c r="GM312" s="1220"/>
      <c r="GN312" s="1220"/>
      <c r="GO312" s="1220"/>
      <c r="GP312" s="1220"/>
      <c r="GQ312" s="1220"/>
      <c r="GR312" s="1220"/>
      <c r="GS312" s="1220"/>
      <c r="GT312" s="1220"/>
      <c r="GU312" s="1220"/>
      <c r="GV312" s="1220"/>
      <c r="GW312" s="1220"/>
      <c r="GX312" s="1220"/>
      <c r="GY312" s="1220"/>
      <c r="GZ312" s="1220"/>
      <c r="HA312" s="1220"/>
      <c r="HB312" s="1220"/>
      <c r="HC312" s="1220"/>
      <c r="HD312" s="1220"/>
      <c r="HE312" s="1220"/>
      <c r="HF312" s="1220"/>
      <c r="HG312" s="1220"/>
      <c r="HH312" s="1220"/>
      <c r="HI312" s="1220"/>
      <c r="HJ312" s="1220"/>
      <c r="HK312" s="1220"/>
      <c r="HL312" s="1220"/>
      <c r="HM312" s="1220"/>
      <c r="HN312" s="1220"/>
      <c r="HO312" s="1220"/>
      <c r="HP312" s="1220"/>
      <c r="HQ312" s="1220"/>
      <c r="HR312" s="1220"/>
      <c r="HS312" s="1220"/>
      <c r="HT312" s="1220"/>
      <c r="HU312" s="1220"/>
      <c r="HV312" s="1220"/>
      <c r="HW312" s="1220"/>
      <c r="HX312" s="1220"/>
      <c r="HY312" s="1220"/>
      <c r="HZ312" s="1220"/>
      <c r="IA312" s="1220"/>
      <c r="IB312" s="1220"/>
      <c r="IC312" s="1220"/>
      <c r="ID312" s="1220"/>
      <c r="IE312" s="1220"/>
      <c r="IF312" s="1220"/>
      <c r="IG312" s="1220"/>
      <c r="IH312" s="1220"/>
      <c r="II312" s="1220"/>
      <c r="IJ312" s="1220"/>
      <c r="IK312" s="1220"/>
      <c r="IL312" s="1220"/>
      <c r="IM312" s="1220"/>
      <c r="IN312" s="1220"/>
      <c r="IO312" s="1220"/>
      <c r="IP312" s="1220"/>
      <c r="IQ312" s="1220"/>
      <c r="IR312" s="1220"/>
      <c r="IS312" s="1220"/>
      <c r="IT312" s="1220"/>
      <c r="IU312" s="1220"/>
      <c r="IV312" s="1220"/>
    </row>
    <row r="313" spans="1:256" s="94" customFormat="1" ht="18">
      <c r="A313" s="1200"/>
      <c r="B313" s="1201"/>
      <c r="C313" s="985" t="s">
        <v>776</v>
      </c>
      <c r="D313" s="666"/>
      <c r="E313" s="666"/>
      <c r="F313" s="666"/>
      <c r="G313" s="666"/>
      <c r="H313" s="666"/>
      <c r="I313" s="666"/>
      <c r="J313" s="666"/>
      <c r="K313" s="666"/>
      <c r="L313" s="666"/>
      <c r="M313" s="1202"/>
      <c r="N313" s="1215"/>
    </row>
    <row r="314" spans="1:256" s="94" customFormat="1" ht="18">
      <c r="A314" s="1200" t="s">
        <v>552</v>
      </c>
      <c r="B314" s="1201"/>
      <c r="C314" s="986" t="s">
        <v>553</v>
      </c>
      <c r="D314" s="985"/>
      <c r="E314" s="985"/>
      <c r="F314" s="985"/>
      <c r="G314" s="985"/>
      <c r="H314" s="985"/>
      <c r="I314" s="985"/>
      <c r="J314" s="985"/>
      <c r="K314" s="985"/>
      <c r="L314" s="985"/>
      <c r="M314" s="1202"/>
      <c r="N314" s="1215"/>
    </row>
    <row r="315" spans="1:256" s="94" customFormat="1" ht="18">
      <c r="A315" s="1204" t="s">
        <v>894</v>
      </c>
      <c r="B315" s="986"/>
      <c r="C315" s="985" t="s">
        <v>895</v>
      </c>
      <c r="D315" s="985"/>
      <c r="E315" s="985"/>
      <c r="F315" s="985"/>
      <c r="G315" s="985"/>
      <c r="H315" s="985"/>
      <c r="I315" s="985"/>
      <c r="J315" s="985"/>
      <c r="K315" s="985"/>
      <c r="L315" s="985"/>
      <c r="M315" s="765"/>
      <c r="N315" s="1215"/>
    </row>
    <row r="316" spans="1:256" s="94" customFormat="1" ht="18">
      <c r="A316" s="986"/>
      <c r="B316" s="986"/>
      <c r="C316" s="985"/>
      <c r="D316" s="985"/>
      <c r="E316" s="985"/>
      <c r="F316" s="985"/>
      <c r="G316" s="985"/>
      <c r="H316" s="985"/>
      <c r="I316" s="985"/>
      <c r="J316" s="985"/>
      <c r="K316" s="985"/>
      <c r="L316" s="985"/>
      <c r="M316" s="765"/>
      <c r="N316" s="1215"/>
    </row>
    <row r="317" spans="1:256" s="94" customFormat="1" ht="18">
      <c r="A317" s="986"/>
      <c r="B317" s="986"/>
      <c r="C317" s="985"/>
      <c r="D317" s="985"/>
      <c r="E317" s="985"/>
      <c r="F317" s="985"/>
      <c r="G317" s="985"/>
      <c r="H317" s="985"/>
      <c r="I317" s="985"/>
      <c r="J317" s="985"/>
      <c r="K317" s="985"/>
      <c r="L317" s="985"/>
      <c r="M317" s="765"/>
      <c r="N317" s="1215"/>
    </row>
    <row r="318" spans="1:256" s="94" customFormat="1" ht="21.75" customHeight="1">
      <c r="A318" s="986"/>
      <c r="B318" s="986"/>
      <c r="C318" s="762"/>
      <c r="D318" s="762"/>
      <c r="E318" s="762"/>
      <c r="F318" s="762"/>
      <c r="G318" s="762"/>
      <c r="H318" s="762"/>
      <c r="I318" s="762"/>
      <c r="J318" s="762"/>
      <c r="K318" s="985"/>
      <c r="L318" s="985"/>
      <c r="M318" s="765"/>
      <c r="N318" s="1215"/>
    </row>
    <row r="319" spans="1:256" s="94" customFormat="1" ht="18">
      <c r="A319" s="986"/>
      <c r="B319" s="986"/>
      <c r="C319" s="1205"/>
      <c r="D319" s="1206"/>
      <c r="E319" s="764"/>
      <c r="F319" s="764"/>
      <c r="G319" s="1206"/>
      <c r="H319" s="1206"/>
      <c r="I319" s="765"/>
      <c r="J319" s="765"/>
      <c r="K319" s="1223"/>
      <c r="L319" s="1223"/>
      <c r="M319" s="1223"/>
      <c r="N319" s="1215"/>
    </row>
    <row r="320" spans="1:256" s="94" customFormat="1" ht="18">
      <c r="A320" s="986"/>
      <c r="B320" s="986"/>
      <c r="C320" s="1206"/>
      <c r="D320" s="1205"/>
      <c r="E320" s="764"/>
      <c r="F320" s="764"/>
      <c r="G320" s="1206"/>
      <c r="H320" s="869"/>
      <c r="I320" s="765"/>
      <c r="J320" s="765"/>
      <c r="K320" s="1223"/>
      <c r="L320" s="1223"/>
      <c r="M320" s="1223"/>
      <c r="N320" s="1215"/>
    </row>
    <row r="321" spans="1:13" s="94" customFormat="1" ht="18">
      <c r="A321" s="986"/>
      <c r="B321" s="986"/>
      <c r="C321" s="1205"/>
      <c r="D321" s="1205"/>
      <c r="E321" s="764"/>
      <c r="F321" s="764"/>
      <c r="G321" s="1206"/>
      <c r="H321" s="1207"/>
      <c r="I321" s="667"/>
      <c r="J321" s="667"/>
      <c r="K321" s="986"/>
      <c r="L321" s="986"/>
      <c r="M321" s="986"/>
    </row>
    <row r="322" spans="1:13" s="94" customFormat="1" ht="18">
      <c r="A322" s="986"/>
      <c r="B322" s="986"/>
      <c r="C322" s="1206"/>
      <c r="D322" s="1205"/>
      <c r="E322" s="764"/>
      <c r="F322" s="764"/>
      <c r="G322" s="1206"/>
      <c r="H322" s="1208"/>
      <c r="I322" s="667"/>
      <c r="J322" s="667"/>
      <c r="K322" s="986"/>
      <c r="L322" s="986"/>
      <c r="M322" s="986"/>
    </row>
    <row r="323" spans="1:13" s="94" customFormat="1" ht="18">
      <c r="A323" s="986"/>
      <c r="B323" s="986"/>
      <c r="C323" s="667"/>
      <c r="D323" s="667"/>
      <c r="E323" s="667"/>
      <c r="F323" s="667"/>
      <c r="G323" s="667"/>
      <c r="H323" s="667"/>
      <c r="I323" s="667"/>
      <c r="J323" s="667"/>
      <c r="K323" s="986"/>
      <c r="L323" s="986"/>
      <c r="M323" s="986"/>
    </row>
    <row r="324" spans="1:13" s="94" customFormat="1" ht="18">
      <c r="A324" s="986"/>
      <c r="B324" s="986"/>
      <c r="C324" s="667"/>
      <c r="D324" s="667"/>
      <c r="E324" s="667"/>
      <c r="F324" s="667"/>
      <c r="G324" s="667"/>
      <c r="H324" s="667"/>
      <c r="I324" s="667"/>
      <c r="J324" s="667"/>
      <c r="K324" s="986"/>
      <c r="L324" s="986"/>
      <c r="M324" s="986"/>
    </row>
    <row r="325" spans="1:13" s="94" customFormat="1" ht="18">
      <c r="A325" s="986"/>
      <c r="B325" s="986"/>
      <c r="C325" s="986"/>
      <c r="D325" s="986"/>
      <c r="E325" s="986"/>
      <c r="F325" s="986"/>
      <c r="G325" s="986"/>
      <c r="H325" s="986"/>
      <c r="I325" s="986"/>
      <c r="J325" s="986"/>
      <c r="K325" s="986"/>
      <c r="L325" s="986"/>
      <c r="M325" s="986"/>
    </row>
    <row r="326" spans="1:13" s="94" customFormat="1" ht="18">
      <c r="A326" s="986"/>
      <c r="B326" s="986"/>
      <c r="C326" s="986"/>
      <c r="D326" s="986"/>
      <c r="E326" s="986"/>
      <c r="F326" s="986"/>
      <c r="G326" s="986"/>
      <c r="H326" s="986"/>
      <c r="I326" s="986"/>
      <c r="J326" s="986"/>
      <c r="K326" s="986"/>
      <c r="L326" s="986"/>
      <c r="M326" s="986"/>
    </row>
    <row r="327" spans="1:13" s="94" customFormat="1" ht="18">
      <c r="A327" s="986"/>
      <c r="B327" s="986"/>
      <c r="C327" s="986"/>
      <c r="D327" s="986"/>
      <c r="E327" s="986"/>
      <c r="F327" s="986"/>
      <c r="G327" s="986"/>
      <c r="H327" s="986"/>
      <c r="I327" s="986"/>
      <c r="J327" s="986"/>
      <c r="K327" s="986"/>
      <c r="L327" s="986"/>
      <c r="M327" s="986"/>
    </row>
    <row r="328" spans="1:13" s="94" customFormat="1" ht="18">
      <c r="A328" s="986"/>
      <c r="B328" s="986"/>
      <c r="C328" s="986"/>
      <c r="D328" s="986"/>
      <c r="E328" s="986"/>
      <c r="F328" s="986"/>
      <c r="G328" s="986"/>
      <c r="H328" s="986"/>
      <c r="I328" s="986"/>
      <c r="J328" s="986"/>
      <c r="K328" s="986"/>
      <c r="L328" s="986"/>
      <c r="M328" s="986"/>
    </row>
    <row r="329" spans="1:13" s="94" customFormat="1" ht="18">
      <c r="A329" s="986"/>
      <c r="B329" s="986"/>
      <c r="C329" s="986"/>
      <c r="D329" s="986"/>
      <c r="E329" s="986"/>
      <c r="F329" s="986"/>
      <c r="G329" s="986"/>
      <c r="H329" s="986"/>
      <c r="I329" s="986"/>
      <c r="J329" s="986"/>
      <c r="K329" s="986"/>
      <c r="L329" s="986"/>
      <c r="M329" s="986"/>
    </row>
    <row r="330" spans="1:13" s="94" customFormat="1" ht="18">
      <c r="A330" s="986"/>
      <c r="B330" s="986"/>
      <c r="C330" s="986"/>
      <c r="D330" s="986"/>
      <c r="E330" s="986"/>
      <c r="F330" s="986"/>
      <c r="G330" s="986"/>
      <c r="H330" s="986"/>
      <c r="I330" s="986"/>
      <c r="J330" s="986"/>
      <c r="K330" s="986"/>
      <c r="L330" s="986"/>
      <c r="M330" s="986"/>
    </row>
    <row r="331" spans="1:13" s="94" customFormat="1" ht="18">
      <c r="A331" s="986"/>
      <c r="B331" s="986"/>
      <c r="C331" s="986"/>
      <c r="D331" s="986"/>
      <c r="E331" s="986"/>
      <c r="F331" s="986"/>
      <c r="G331" s="986"/>
      <c r="H331" s="986"/>
      <c r="I331" s="986"/>
      <c r="J331" s="986"/>
      <c r="K331" s="986"/>
      <c r="L331" s="986"/>
      <c r="M331" s="986"/>
    </row>
    <row r="332" spans="1:13" s="94" customFormat="1" ht="18">
      <c r="A332" s="986"/>
      <c r="B332" s="986"/>
      <c r="C332" s="986"/>
      <c r="D332" s="986"/>
      <c r="E332" s="986"/>
      <c r="F332" s="986"/>
      <c r="G332" s="986"/>
      <c r="H332" s="986"/>
      <c r="I332" s="986"/>
      <c r="J332" s="986"/>
      <c r="K332" s="986"/>
      <c r="L332" s="986"/>
      <c r="M332" s="986"/>
    </row>
    <row r="333" spans="1:13" s="94" customFormat="1" ht="18">
      <c r="A333" s="986"/>
      <c r="B333" s="986"/>
      <c r="C333" s="986"/>
      <c r="D333" s="986"/>
      <c r="E333" s="986"/>
      <c r="F333" s="986"/>
      <c r="G333" s="986"/>
      <c r="H333" s="986"/>
      <c r="I333" s="986"/>
      <c r="J333" s="986"/>
      <c r="K333" s="986"/>
      <c r="L333" s="986"/>
      <c r="M333" s="986"/>
    </row>
    <row r="334" spans="1:13" s="94" customFormat="1" ht="18">
      <c r="A334" s="986"/>
      <c r="B334" s="986"/>
      <c r="C334" s="986"/>
      <c r="D334" s="986"/>
      <c r="E334" s="986"/>
      <c r="F334" s="986"/>
      <c r="G334" s="986"/>
      <c r="H334" s="986"/>
      <c r="I334" s="986"/>
      <c r="J334" s="986"/>
      <c r="K334" s="986"/>
      <c r="L334" s="986"/>
      <c r="M334" s="986"/>
    </row>
    <row r="335" spans="1:13" s="94" customFormat="1" ht="18">
      <c r="A335" s="986"/>
      <c r="B335" s="986"/>
      <c r="C335" s="986"/>
      <c r="D335" s="986"/>
      <c r="E335" s="986"/>
      <c r="F335" s="986"/>
      <c r="G335" s="986"/>
      <c r="H335" s="986"/>
      <c r="I335" s="986"/>
      <c r="J335" s="986"/>
      <c r="K335" s="986"/>
      <c r="L335" s="986"/>
      <c r="M335" s="986"/>
    </row>
    <row r="336" spans="1:13" s="94" customFormat="1" ht="18">
      <c r="A336" s="986"/>
      <c r="B336" s="986"/>
      <c r="C336" s="986"/>
      <c r="D336" s="986"/>
      <c r="E336" s="986"/>
      <c r="F336" s="986"/>
      <c r="G336" s="986"/>
      <c r="H336" s="986"/>
      <c r="I336" s="986"/>
      <c r="J336" s="986"/>
      <c r="K336" s="986"/>
      <c r="L336" s="986"/>
      <c r="M336" s="986"/>
    </row>
    <row r="337" spans="1:13" s="94" customFormat="1" ht="18">
      <c r="A337" s="986"/>
      <c r="B337" s="986"/>
      <c r="C337" s="986"/>
      <c r="D337" s="986"/>
      <c r="E337" s="986"/>
      <c r="F337" s="986"/>
      <c r="G337" s="986"/>
      <c r="H337" s="986"/>
      <c r="I337" s="986"/>
      <c r="J337" s="986"/>
      <c r="K337" s="986"/>
      <c r="L337" s="986"/>
      <c r="M337" s="986"/>
    </row>
    <row r="338" spans="1:13" s="94" customFormat="1" ht="18">
      <c r="A338" s="986"/>
      <c r="B338" s="986"/>
      <c r="C338" s="986"/>
      <c r="D338" s="986"/>
      <c r="E338" s="986"/>
      <c r="F338" s="986"/>
      <c r="G338" s="986"/>
      <c r="H338" s="986"/>
      <c r="I338" s="986"/>
      <c r="J338" s="986"/>
      <c r="K338" s="986"/>
      <c r="L338" s="986"/>
      <c r="M338" s="986"/>
    </row>
    <row r="339" spans="1:13" s="94" customFormat="1" ht="18">
      <c r="A339" s="986"/>
      <c r="B339" s="986"/>
      <c r="C339" s="986"/>
      <c r="D339" s="986"/>
      <c r="E339" s="986"/>
      <c r="F339" s="986"/>
      <c r="G339" s="986"/>
      <c r="H339" s="986"/>
      <c r="I339" s="986"/>
      <c r="J339" s="986"/>
      <c r="K339" s="986"/>
      <c r="L339" s="986"/>
      <c r="M339" s="986"/>
    </row>
    <row r="340" spans="1:13" s="94" customFormat="1" ht="18">
      <c r="A340" s="986"/>
      <c r="B340" s="986"/>
      <c r="C340" s="986"/>
      <c r="D340" s="986"/>
      <c r="E340" s="986"/>
      <c r="F340" s="986"/>
      <c r="G340" s="986"/>
      <c r="H340" s="986"/>
      <c r="I340" s="986"/>
      <c r="J340" s="986"/>
      <c r="K340" s="986"/>
      <c r="L340" s="986"/>
      <c r="M340" s="986"/>
    </row>
    <row r="341" spans="1:13" s="94" customFormat="1" ht="18">
      <c r="A341" s="986"/>
      <c r="B341" s="986"/>
      <c r="C341" s="986"/>
      <c r="D341" s="986"/>
      <c r="E341" s="986"/>
      <c r="F341" s="986"/>
      <c r="G341" s="986"/>
      <c r="H341" s="986"/>
      <c r="I341" s="986"/>
      <c r="J341" s="986"/>
      <c r="K341" s="986"/>
      <c r="L341" s="986"/>
      <c r="M341" s="986"/>
    </row>
    <row r="342" spans="1:13" s="94" customFormat="1" ht="18">
      <c r="A342" s="986"/>
      <c r="B342" s="986"/>
      <c r="C342" s="986"/>
      <c r="D342" s="986"/>
      <c r="E342" s="986"/>
      <c r="F342" s="986"/>
      <c r="G342" s="986"/>
      <c r="H342" s="986"/>
      <c r="I342" s="986"/>
      <c r="J342" s="986"/>
      <c r="K342" s="986"/>
      <c r="L342" s="986"/>
      <c r="M342" s="986"/>
    </row>
    <row r="343" spans="1:13" s="94" customFormat="1" ht="18">
      <c r="A343" s="986"/>
      <c r="B343" s="986"/>
      <c r="C343" s="986"/>
      <c r="D343" s="986"/>
      <c r="E343" s="986"/>
      <c r="F343" s="986"/>
      <c r="G343" s="986"/>
      <c r="H343" s="986"/>
      <c r="I343" s="986"/>
      <c r="J343" s="986"/>
      <c r="K343" s="986"/>
      <c r="L343" s="986"/>
      <c r="M343" s="986"/>
    </row>
    <row r="344" spans="1:13" s="94" customFormat="1" ht="18">
      <c r="A344" s="986"/>
      <c r="B344" s="986"/>
      <c r="C344" s="986"/>
      <c r="D344" s="986"/>
      <c r="E344" s="986"/>
      <c r="F344" s="986"/>
      <c r="G344" s="986"/>
      <c r="H344" s="986"/>
      <c r="I344" s="986"/>
      <c r="J344" s="986"/>
      <c r="K344" s="986"/>
      <c r="L344" s="986"/>
      <c r="M344" s="986"/>
    </row>
    <row r="345" spans="1:13" s="94" customFormat="1" ht="18">
      <c r="A345" s="986"/>
      <c r="B345" s="986"/>
      <c r="C345" s="986"/>
      <c r="D345" s="986"/>
      <c r="E345" s="986"/>
      <c r="F345" s="986"/>
      <c r="G345" s="986"/>
      <c r="H345" s="986"/>
      <c r="I345" s="986"/>
      <c r="J345" s="986"/>
      <c r="K345" s="986"/>
      <c r="L345" s="986"/>
      <c r="M345" s="986"/>
    </row>
    <row r="346" spans="1:13" s="94" customFormat="1" ht="18">
      <c r="A346" s="986"/>
      <c r="B346" s="986"/>
      <c r="C346" s="986"/>
      <c r="D346" s="986"/>
      <c r="E346" s="986"/>
      <c r="F346" s="986"/>
      <c r="G346" s="986"/>
      <c r="H346" s="986"/>
      <c r="I346" s="986"/>
      <c r="J346" s="986"/>
      <c r="K346" s="986"/>
      <c r="L346" s="986"/>
      <c r="M346" s="986"/>
    </row>
    <row r="347" spans="1:13" s="94" customFormat="1" ht="18">
      <c r="A347" s="986"/>
      <c r="B347" s="986"/>
      <c r="C347" s="986"/>
      <c r="D347" s="986"/>
      <c r="E347" s="986"/>
      <c r="F347" s="986"/>
      <c r="G347" s="986"/>
      <c r="H347" s="986"/>
      <c r="I347" s="986"/>
      <c r="J347" s="986"/>
      <c r="K347" s="986"/>
      <c r="L347" s="986"/>
      <c r="M347" s="986"/>
    </row>
    <row r="348" spans="1:13" s="94" customFormat="1" ht="18">
      <c r="A348" s="986"/>
      <c r="B348" s="986"/>
      <c r="C348" s="986"/>
      <c r="D348" s="986"/>
      <c r="E348" s="986"/>
      <c r="F348" s="986"/>
      <c r="G348" s="986"/>
      <c r="H348" s="986"/>
      <c r="I348" s="986"/>
      <c r="J348" s="986"/>
      <c r="K348" s="986"/>
      <c r="L348" s="986"/>
      <c r="M348" s="986"/>
    </row>
    <row r="349" spans="1:13" s="94" customFormat="1" ht="18">
      <c r="A349" s="986"/>
      <c r="B349" s="986"/>
      <c r="C349" s="986"/>
      <c r="D349" s="986"/>
      <c r="E349" s="986"/>
      <c r="F349" s="986"/>
      <c r="G349" s="986"/>
      <c r="H349" s="986"/>
      <c r="I349" s="986"/>
      <c r="J349" s="986"/>
      <c r="K349" s="986"/>
      <c r="L349" s="986"/>
      <c r="M349" s="986"/>
    </row>
    <row r="350" spans="1:13" s="94" customFormat="1" ht="18">
      <c r="A350" s="986"/>
      <c r="B350" s="986"/>
      <c r="C350" s="986"/>
      <c r="D350" s="986"/>
      <c r="E350" s="986"/>
      <c r="F350" s="986"/>
      <c r="G350" s="986"/>
      <c r="H350" s="986"/>
      <c r="I350" s="986"/>
      <c r="J350" s="986"/>
      <c r="K350" s="986"/>
      <c r="L350" s="986"/>
      <c r="M350" s="986"/>
    </row>
    <row r="351" spans="1:13" s="94" customFormat="1" ht="18">
      <c r="A351" s="986"/>
      <c r="B351" s="986"/>
      <c r="C351" s="986"/>
      <c r="D351" s="986"/>
      <c r="E351" s="986"/>
      <c r="F351" s="986"/>
      <c r="G351" s="986"/>
      <c r="H351" s="986"/>
      <c r="I351" s="986"/>
      <c r="J351" s="986"/>
      <c r="K351" s="986"/>
      <c r="L351" s="986"/>
      <c r="M351" s="986"/>
    </row>
    <row r="352" spans="1:13" s="94" customFormat="1" ht="18">
      <c r="A352" s="986"/>
      <c r="B352" s="986"/>
      <c r="C352" s="986"/>
      <c r="D352" s="986"/>
      <c r="E352" s="986"/>
      <c r="F352" s="986"/>
      <c r="G352" s="986"/>
      <c r="H352" s="986"/>
      <c r="I352" s="986"/>
      <c r="J352" s="986"/>
      <c r="K352" s="986"/>
      <c r="L352" s="986"/>
      <c r="M352" s="986"/>
    </row>
    <row r="353" spans="1:13" s="94" customFormat="1" ht="18">
      <c r="A353" s="986"/>
      <c r="B353" s="986"/>
      <c r="C353" s="986"/>
      <c r="D353" s="986"/>
      <c r="E353" s="986"/>
      <c r="F353" s="986"/>
      <c r="G353" s="986"/>
      <c r="H353" s="986"/>
      <c r="I353" s="986"/>
      <c r="J353" s="986"/>
      <c r="K353" s="986"/>
      <c r="L353" s="986"/>
      <c r="M353" s="986"/>
    </row>
    <row r="354" spans="1:13" s="94" customFormat="1" ht="18">
      <c r="A354" s="986"/>
      <c r="B354" s="986"/>
      <c r="C354" s="986"/>
      <c r="D354" s="986"/>
      <c r="E354" s="986"/>
      <c r="F354" s="986"/>
      <c r="G354" s="986"/>
      <c r="H354" s="986"/>
      <c r="I354" s="986"/>
      <c r="J354" s="986"/>
      <c r="K354" s="986"/>
      <c r="L354" s="986"/>
      <c r="M354" s="986"/>
    </row>
    <row r="355" spans="1:13" s="94" customFormat="1" ht="18">
      <c r="A355" s="986"/>
      <c r="B355" s="986"/>
      <c r="C355" s="986"/>
      <c r="D355" s="986"/>
      <c r="E355" s="986"/>
      <c r="F355" s="986"/>
      <c r="G355" s="986"/>
      <c r="H355" s="986"/>
      <c r="I355" s="986"/>
      <c r="J355" s="986"/>
      <c r="K355" s="986"/>
      <c r="L355" s="986"/>
      <c r="M355" s="986"/>
    </row>
    <row r="356" spans="1:13" s="94" customFormat="1" ht="18">
      <c r="A356" s="986"/>
      <c r="B356" s="986"/>
      <c r="C356" s="986"/>
      <c r="D356" s="986"/>
      <c r="E356" s="986"/>
      <c r="F356" s="986"/>
      <c r="G356" s="986"/>
      <c r="H356" s="986"/>
      <c r="I356" s="986"/>
      <c r="J356" s="986"/>
      <c r="K356" s="986"/>
      <c r="L356" s="986"/>
      <c r="M356" s="986"/>
    </row>
    <row r="357" spans="1:13" s="94" customFormat="1" ht="18">
      <c r="A357" s="986"/>
      <c r="B357" s="986"/>
      <c r="C357" s="986"/>
      <c r="D357" s="986"/>
      <c r="E357" s="986"/>
      <c r="F357" s="986"/>
      <c r="G357" s="986"/>
      <c r="H357" s="986"/>
      <c r="I357" s="986"/>
      <c r="J357" s="986"/>
      <c r="K357" s="986"/>
      <c r="L357" s="986"/>
      <c r="M357" s="986"/>
    </row>
    <row r="358" spans="1:13" s="94" customFormat="1" ht="18">
      <c r="A358" s="986"/>
      <c r="B358" s="986"/>
      <c r="C358" s="986"/>
      <c r="D358" s="986"/>
      <c r="E358" s="986"/>
      <c r="F358" s="986"/>
      <c r="G358" s="986"/>
      <c r="H358" s="986"/>
      <c r="I358" s="986"/>
      <c r="J358" s="986"/>
      <c r="K358" s="986"/>
      <c r="L358" s="986"/>
      <c r="M358" s="986"/>
    </row>
    <row r="359" spans="1:13" s="94" customFormat="1" ht="18">
      <c r="A359" s="986"/>
      <c r="B359" s="986"/>
      <c r="C359" s="986"/>
      <c r="D359" s="986"/>
      <c r="E359" s="986"/>
      <c r="F359" s="986"/>
      <c r="G359" s="986"/>
      <c r="H359" s="986"/>
      <c r="I359" s="986"/>
      <c r="J359" s="986"/>
      <c r="K359" s="986"/>
      <c r="L359" s="986"/>
      <c r="M359" s="986"/>
    </row>
    <row r="360" spans="1:13" s="94" customFormat="1" ht="18">
      <c r="A360" s="986"/>
      <c r="B360" s="986"/>
      <c r="C360" s="986"/>
      <c r="D360" s="986"/>
      <c r="E360" s="986"/>
      <c r="F360" s="986"/>
      <c r="G360" s="986"/>
      <c r="H360" s="986"/>
      <c r="I360" s="986"/>
      <c r="J360" s="986"/>
      <c r="K360" s="986"/>
      <c r="L360" s="986"/>
      <c r="M360" s="986"/>
    </row>
    <row r="361" spans="1:13" s="94" customFormat="1" ht="18">
      <c r="A361" s="986"/>
      <c r="B361" s="986"/>
      <c r="C361" s="986"/>
      <c r="D361" s="986"/>
      <c r="E361" s="986"/>
      <c r="F361" s="986"/>
      <c r="G361" s="986"/>
      <c r="H361" s="986"/>
      <c r="I361" s="986"/>
      <c r="J361" s="986"/>
      <c r="K361" s="986"/>
      <c r="L361" s="986"/>
      <c r="M361" s="986"/>
    </row>
    <row r="362" spans="1:13" s="94" customFormat="1" ht="18">
      <c r="A362" s="986"/>
      <c r="B362" s="986"/>
      <c r="C362" s="986"/>
      <c r="D362" s="986"/>
      <c r="E362" s="986"/>
      <c r="F362" s="986"/>
      <c r="G362" s="986"/>
      <c r="H362" s="986"/>
      <c r="I362" s="986"/>
      <c r="J362" s="986"/>
      <c r="K362" s="986"/>
      <c r="L362" s="986"/>
      <c r="M362" s="986"/>
    </row>
    <row r="363" spans="1:13" s="94" customFormat="1" ht="18">
      <c r="A363" s="986"/>
      <c r="B363" s="986"/>
      <c r="C363" s="986"/>
      <c r="D363" s="986"/>
      <c r="E363" s="986"/>
      <c r="F363" s="986"/>
      <c r="G363" s="986"/>
      <c r="H363" s="986"/>
      <c r="I363" s="986"/>
      <c r="J363" s="986"/>
      <c r="K363" s="986"/>
      <c r="L363" s="986"/>
      <c r="M363" s="986"/>
    </row>
    <row r="364" spans="1:13" s="94" customFormat="1" ht="18">
      <c r="A364" s="986"/>
      <c r="B364" s="986"/>
      <c r="C364" s="986"/>
      <c r="D364" s="986"/>
      <c r="E364" s="986"/>
      <c r="F364" s="986"/>
      <c r="G364" s="986"/>
      <c r="H364" s="986"/>
      <c r="I364" s="986"/>
      <c r="J364" s="986"/>
      <c r="K364" s="986"/>
      <c r="L364" s="986"/>
      <c r="M364" s="986"/>
    </row>
    <row r="365" spans="1:13" s="94" customFormat="1" ht="18">
      <c r="A365" s="986"/>
      <c r="B365" s="986"/>
      <c r="C365" s="986"/>
      <c r="D365" s="986"/>
      <c r="E365" s="986"/>
      <c r="F365" s="986"/>
      <c r="G365" s="986"/>
      <c r="H365" s="986"/>
      <c r="I365" s="986"/>
      <c r="J365" s="986"/>
      <c r="K365" s="986"/>
      <c r="L365" s="986"/>
      <c r="M365" s="986"/>
    </row>
    <row r="366" spans="1:13" s="94" customFormat="1" ht="18">
      <c r="A366" s="986"/>
      <c r="B366" s="986"/>
      <c r="C366" s="986"/>
      <c r="D366" s="986"/>
      <c r="E366" s="986"/>
      <c r="F366" s="986"/>
      <c r="G366" s="986"/>
      <c r="H366" s="986"/>
      <c r="I366" s="986"/>
      <c r="J366" s="986"/>
      <c r="K366" s="986"/>
      <c r="L366" s="986"/>
      <c r="M366" s="986"/>
    </row>
    <row r="367" spans="1:13" s="94" customFormat="1" ht="18">
      <c r="A367" s="986"/>
      <c r="B367" s="986"/>
      <c r="C367" s="986"/>
      <c r="D367" s="986"/>
      <c r="E367" s="986"/>
      <c r="F367" s="986"/>
      <c r="G367" s="986"/>
      <c r="H367" s="986"/>
      <c r="I367" s="986"/>
      <c r="J367" s="986"/>
      <c r="K367" s="986"/>
      <c r="L367" s="986"/>
      <c r="M367" s="986"/>
    </row>
    <row r="368" spans="1:13" s="94" customFormat="1" ht="18">
      <c r="A368" s="986"/>
      <c r="B368" s="986"/>
      <c r="C368" s="986"/>
      <c r="D368" s="986"/>
      <c r="E368" s="986"/>
      <c r="F368" s="986"/>
      <c r="G368" s="986"/>
      <c r="H368" s="986"/>
      <c r="I368" s="986"/>
      <c r="J368" s="986"/>
      <c r="K368" s="986"/>
      <c r="L368" s="986"/>
      <c r="M368" s="986"/>
    </row>
    <row r="369" spans="1:13" s="94" customFormat="1" ht="18">
      <c r="A369" s="986"/>
      <c r="B369" s="986"/>
      <c r="C369" s="986"/>
      <c r="D369" s="986"/>
      <c r="E369" s="986"/>
      <c r="F369" s="986"/>
      <c r="G369" s="986"/>
      <c r="H369" s="986"/>
      <c r="I369" s="986"/>
      <c r="J369" s="986"/>
      <c r="K369" s="986"/>
      <c r="L369" s="986"/>
      <c r="M369" s="986"/>
    </row>
    <row r="370" spans="1:13" s="94" customFormat="1" ht="18">
      <c r="A370" s="986"/>
      <c r="B370" s="986"/>
      <c r="C370" s="986"/>
      <c r="D370" s="986"/>
      <c r="E370" s="986"/>
      <c r="F370" s="986"/>
      <c r="G370" s="986"/>
      <c r="H370" s="986"/>
      <c r="I370" s="986"/>
      <c r="J370" s="986"/>
      <c r="K370" s="986"/>
      <c r="L370" s="986"/>
      <c r="M370" s="986"/>
    </row>
    <row r="371" spans="1:13" s="94" customFormat="1" ht="18">
      <c r="A371" s="986"/>
      <c r="B371" s="986"/>
      <c r="C371" s="986"/>
      <c r="D371" s="986"/>
      <c r="E371" s="986"/>
      <c r="F371" s="986"/>
      <c r="G371" s="986"/>
      <c r="H371" s="986"/>
      <c r="I371" s="986"/>
      <c r="J371" s="986"/>
      <c r="K371" s="986"/>
      <c r="L371" s="986"/>
      <c r="M371" s="986"/>
    </row>
    <row r="372" spans="1:13" s="94" customFormat="1" ht="18">
      <c r="A372" s="986"/>
      <c r="B372" s="986"/>
      <c r="C372" s="986"/>
      <c r="D372" s="986"/>
      <c r="E372" s="986"/>
      <c r="F372" s="986"/>
      <c r="G372" s="986"/>
      <c r="H372" s="986"/>
      <c r="I372" s="986"/>
      <c r="J372" s="986"/>
      <c r="K372" s="986"/>
      <c r="L372" s="986"/>
      <c r="M372" s="986"/>
    </row>
    <row r="373" spans="1:13" s="94" customFormat="1" ht="18">
      <c r="A373" s="986"/>
      <c r="B373" s="986"/>
      <c r="C373" s="986"/>
      <c r="D373" s="986"/>
      <c r="E373" s="986"/>
      <c r="F373" s="986"/>
      <c r="G373" s="986"/>
      <c r="H373" s="986"/>
      <c r="I373" s="986"/>
      <c r="J373" s="986"/>
      <c r="K373" s="986"/>
      <c r="L373" s="986"/>
      <c r="M373" s="986"/>
    </row>
    <row r="374" spans="1:13" s="94" customFormat="1" ht="18">
      <c r="A374" s="986"/>
      <c r="B374" s="986"/>
      <c r="C374" s="986"/>
      <c r="D374" s="986"/>
      <c r="E374" s="986"/>
      <c r="F374" s="986"/>
      <c r="G374" s="986"/>
      <c r="H374" s="986"/>
      <c r="I374" s="986"/>
      <c r="J374" s="986"/>
      <c r="K374" s="986"/>
      <c r="L374" s="986"/>
      <c r="M374" s="986"/>
    </row>
    <row r="375" spans="1:13" s="94" customFormat="1" ht="18">
      <c r="A375" s="986"/>
      <c r="B375" s="986"/>
      <c r="C375" s="986"/>
      <c r="D375" s="986"/>
      <c r="E375" s="986"/>
      <c r="F375" s="986"/>
      <c r="G375" s="986"/>
      <c r="H375" s="986"/>
      <c r="I375" s="986"/>
      <c r="J375" s="986"/>
      <c r="K375" s="986"/>
      <c r="L375" s="986"/>
      <c r="M375" s="986"/>
    </row>
    <row r="376" spans="1:13" s="94" customFormat="1" ht="18">
      <c r="A376" s="986"/>
      <c r="B376" s="986"/>
      <c r="C376" s="986"/>
      <c r="D376" s="986"/>
      <c r="E376" s="986"/>
      <c r="F376" s="986"/>
      <c r="G376" s="986"/>
      <c r="H376" s="986"/>
      <c r="I376" s="986"/>
      <c r="J376" s="986"/>
      <c r="K376" s="986"/>
      <c r="L376" s="986"/>
      <c r="M376" s="986"/>
    </row>
    <row r="377" spans="1:13" s="94" customFormat="1" ht="18">
      <c r="A377" s="986"/>
      <c r="B377" s="986"/>
      <c r="C377" s="986"/>
      <c r="D377" s="986"/>
      <c r="E377" s="986"/>
      <c r="F377" s="986"/>
      <c r="G377" s="986"/>
      <c r="H377" s="986"/>
      <c r="I377" s="986"/>
      <c r="J377" s="986"/>
      <c r="K377" s="986"/>
      <c r="L377" s="986"/>
      <c r="M377" s="986"/>
    </row>
    <row r="378" spans="1:13" s="94" customFormat="1" ht="18">
      <c r="A378" s="986"/>
      <c r="B378" s="986"/>
      <c r="C378" s="986"/>
      <c r="D378" s="986"/>
      <c r="E378" s="986"/>
      <c r="F378" s="986"/>
      <c r="G378" s="986"/>
      <c r="H378" s="986"/>
      <c r="I378" s="986"/>
      <c r="J378" s="986"/>
      <c r="K378" s="986"/>
      <c r="L378" s="986"/>
      <c r="M378" s="986"/>
    </row>
    <row r="379" spans="1:13" s="94" customFormat="1" ht="18">
      <c r="A379" s="986"/>
      <c r="B379" s="986"/>
      <c r="C379" s="986"/>
      <c r="D379" s="986"/>
      <c r="E379" s="986"/>
      <c r="F379" s="986"/>
      <c r="G379" s="986"/>
      <c r="H379" s="986"/>
      <c r="I379" s="986"/>
      <c r="J379" s="986"/>
      <c r="K379" s="986"/>
      <c r="L379" s="986"/>
      <c r="M379" s="986"/>
    </row>
    <row r="380" spans="1:13" s="94" customFormat="1" ht="18">
      <c r="A380" s="986"/>
      <c r="B380" s="986"/>
      <c r="C380" s="986"/>
      <c r="D380" s="986"/>
      <c r="E380" s="986"/>
      <c r="F380" s="986"/>
      <c r="G380" s="986"/>
      <c r="H380" s="986"/>
      <c r="I380" s="986"/>
      <c r="J380" s="986"/>
      <c r="K380" s="986"/>
      <c r="L380" s="986"/>
      <c r="M380" s="986"/>
    </row>
    <row r="381" spans="1:13" s="94" customFormat="1" ht="18">
      <c r="A381" s="986"/>
      <c r="B381" s="986"/>
      <c r="C381" s="986"/>
      <c r="D381" s="986"/>
      <c r="E381" s="986"/>
      <c r="F381" s="986"/>
      <c r="G381" s="986"/>
      <c r="H381" s="986"/>
      <c r="I381" s="986"/>
      <c r="J381" s="986"/>
      <c r="K381" s="986"/>
      <c r="L381" s="986"/>
      <c r="M381" s="986"/>
    </row>
    <row r="382" spans="1:13" s="94" customFormat="1" ht="17.399999999999999"/>
    <row r="383" spans="1:13" s="94" customFormat="1" ht="17.399999999999999"/>
    <row r="384" spans="1:13" s="94" customFormat="1" ht="17.399999999999999"/>
    <row r="385" s="94" customFormat="1" ht="17.399999999999999"/>
    <row r="386" s="94" customFormat="1" ht="17.399999999999999"/>
    <row r="387" s="94" customFormat="1" ht="17.399999999999999"/>
    <row r="388" s="94" customFormat="1" ht="17.399999999999999"/>
    <row r="389" s="94" customFormat="1" ht="17.399999999999999"/>
    <row r="390" s="94" customFormat="1" ht="17.399999999999999"/>
    <row r="391" s="94" customFormat="1" ht="17.399999999999999"/>
    <row r="392" s="94" customFormat="1" ht="17.399999999999999"/>
    <row r="393" s="94" customFormat="1" ht="17.399999999999999"/>
    <row r="394" s="94" customFormat="1" ht="17.399999999999999"/>
    <row r="395" s="94" customFormat="1" ht="17.399999999999999"/>
    <row r="396" s="94" customFormat="1" ht="17.399999999999999"/>
    <row r="397" s="94" customFormat="1" ht="17.399999999999999"/>
    <row r="398" s="94" customFormat="1" ht="17.399999999999999"/>
    <row r="399" s="94" customFormat="1" ht="17.399999999999999"/>
    <row r="400" s="94" customFormat="1" ht="17.399999999999999"/>
    <row r="401" s="94" customFormat="1" ht="17.399999999999999"/>
    <row r="402" s="94" customFormat="1" ht="17.399999999999999"/>
    <row r="403" s="94" customFormat="1" ht="17.399999999999999"/>
    <row r="404" s="94" customFormat="1" ht="17.399999999999999"/>
    <row r="405" s="94" customFormat="1" ht="17.399999999999999"/>
    <row r="406" s="94" customFormat="1" ht="17.399999999999999"/>
    <row r="407" s="94" customFormat="1" ht="17.399999999999999"/>
    <row r="408" s="94" customFormat="1" ht="17.399999999999999"/>
    <row r="409" s="94" customFormat="1" ht="17.399999999999999"/>
    <row r="410" s="94" customFormat="1" ht="17.399999999999999"/>
    <row r="411" s="94" customFormat="1" ht="17.399999999999999"/>
    <row r="412" s="94" customFormat="1" ht="17.399999999999999"/>
    <row r="413" s="94" customFormat="1" ht="17.399999999999999"/>
    <row r="414" s="94" customFormat="1" ht="17.399999999999999"/>
    <row r="415" s="94" customFormat="1" ht="17.399999999999999"/>
    <row r="416" s="94" customFormat="1" ht="17.399999999999999"/>
    <row r="417" s="94" customFormat="1" ht="17.399999999999999"/>
    <row r="418" s="94" customFormat="1" ht="17.399999999999999"/>
    <row r="419" s="94" customFormat="1" ht="17.399999999999999"/>
    <row r="420" s="94" customFormat="1" ht="17.399999999999999"/>
    <row r="421" s="94" customFormat="1" ht="17.399999999999999"/>
    <row r="422" s="94" customFormat="1" ht="17.399999999999999"/>
    <row r="423" s="94" customFormat="1" ht="17.399999999999999"/>
    <row r="424" s="94" customFormat="1" ht="17.399999999999999"/>
    <row r="425" s="94" customFormat="1" ht="17.399999999999999"/>
    <row r="426" s="94" customFormat="1" ht="17.399999999999999"/>
    <row r="427" s="94" customFormat="1" ht="17.399999999999999"/>
    <row r="428" s="94" customFormat="1" ht="17.399999999999999"/>
    <row r="429" s="94" customFormat="1" ht="17.399999999999999"/>
    <row r="430" s="94" customFormat="1" ht="17.399999999999999"/>
    <row r="431" s="94" customFormat="1" ht="17.399999999999999"/>
    <row r="432" s="94" customFormat="1" ht="17.399999999999999"/>
    <row r="433" spans="3:17" s="94" customFormat="1" ht="17.399999999999999"/>
    <row r="434" spans="3:17" s="94" customFormat="1" ht="17.399999999999999"/>
    <row r="435" spans="3:17" s="94" customFormat="1" ht="17.399999999999999"/>
    <row r="436" spans="3:17" s="94" customFormat="1" ht="17.399999999999999"/>
    <row r="437" spans="3:17" s="94" customFormat="1" ht="17.399999999999999"/>
    <row r="438" spans="3:17" s="94" customFormat="1" ht="17.399999999999999"/>
    <row r="439" spans="3:17">
      <c r="C439" s="65"/>
      <c r="D439" s="65"/>
      <c r="E439" s="65"/>
      <c r="F439" s="65"/>
      <c r="G439" s="65"/>
      <c r="H439" s="65"/>
      <c r="I439" s="65"/>
      <c r="J439" s="65"/>
      <c r="K439" s="65"/>
      <c r="L439" s="65"/>
      <c r="M439" s="65"/>
      <c r="N439" s="65"/>
      <c r="O439" s="65"/>
      <c r="P439" s="65"/>
      <c r="Q439" s="65"/>
    </row>
    <row r="440" spans="3:17">
      <c r="C440" s="65"/>
      <c r="D440" s="65"/>
      <c r="E440" s="65"/>
      <c r="F440" s="65"/>
      <c r="G440" s="65"/>
      <c r="H440" s="65"/>
      <c r="I440" s="65"/>
      <c r="J440" s="65"/>
      <c r="K440" s="65"/>
      <c r="L440" s="65"/>
      <c r="M440" s="65"/>
      <c r="N440" s="65"/>
      <c r="O440" s="65"/>
      <c r="P440" s="65"/>
      <c r="Q440" s="65"/>
    </row>
    <row r="441" spans="3:17">
      <c r="C441" s="65"/>
      <c r="D441" s="65"/>
      <c r="E441" s="65"/>
      <c r="F441" s="65"/>
      <c r="G441" s="65"/>
      <c r="H441" s="65"/>
      <c r="I441" s="65"/>
      <c r="J441" s="65"/>
      <c r="K441" s="65"/>
      <c r="L441" s="65"/>
      <c r="M441" s="65"/>
      <c r="N441" s="65"/>
      <c r="O441" s="65"/>
      <c r="P441" s="65"/>
      <c r="Q441" s="65"/>
    </row>
    <row r="442" spans="3:17">
      <c r="C442" s="65"/>
      <c r="D442" s="65"/>
      <c r="E442" s="65"/>
      <c r="F442" s="65"/>
      <c r="G442" s="65"/>
      <c r="H442" s="65"/>
      <c r="I442" s="65"/>
      <c r="J442" s="65"/>
      <c r="K442" s="65"/>
      <c r="L442" s="65"/>
      <c r="M442" s="65"/>
      <c r="N442" s="65"/>
      <c r="O442" s="65"/>
      <c r="P442" s="65"/>
      <c r="Q442" s="65"/>
    </row>
    <row r="443" spans="3:17">
      <c r="C443" s="65"/>
      <c r="D443" s="65"/>
      <c r="E443" s="65"/>
      <c r="F443" s="65"/>
      <c r="G443" s="65"/>
      <c r="H443" s="65"/>
      <c r="I443" s="65"/>
      <c r="J443" s="65"/>
      <c r="K443" s="65"/>
      <c r="L443" s="65"/>
      <c r="M443" s="65"/>
      <c r="N443" s="65"/>
      <c r="O443" s="65"/>
      <c r="P443" s="65"/>
      <c r="Q443" s="65"/>
    </row>
    <row r="444" spans="3:17">
      <c r="C444" s="65"/>
      <c r="D444" s="65"/>
      <c r="E444" s="65"/>
      <c r="F444" s="65"/>
      <c r="G444" s="65"/>
      <c r="H444" s="65"/>
      <c r="I444" s="65"/>
      <c r="J444" s="65"/>
      <c r="K444" s="65"/>
      <c r="L444" s="65"/>
      <c r="M444" s="65"/>
      <c r="N444" s="65"/>
      <c r="O444" s="65"/>
      <c r="P444" s="65"/>
      <c r="Q444" s="65"/>
    </row>
    <row r="445" spans="3:17">
      <c r="C445" s="65"/>
      <c r="D445" s="65"/>
      <c r="E445" s="65"/>
      <c r="F445" s="65"/>
      <c r="G445" s="65"/>
      <c r="H445" s="65"/>
      <c r="I445" s="65"/>
      <c r="J445" s="65"/>
      <c r="K445" s="65"/>
      <c r="L445" s="65"/>
      <c r="M445" s="65"/>
      <c r="N445" s="65"/>
      <c r="O445" s="65"/>
      <c r="P445" s="65"/>
      <c r="Q445" s="65"/>
    </row>
    <row r="446" spans="3:17">
      <c r="C446" s="65"/>
      <c r="D446" s="65"/>
      <c r="E446" s="65"/>
      <c r="F446" s="65"/>
      <c r="G446" s="65"/>
      <c r="H446" s="65"/>
      <c r="I446" s="65"/>
      <c r="J446" s="65"/>
      <c r="K446" s="65"/>
      <c r="L446" s="65"/>
      <c r="M446" s="65"/>
      <c r="N446" s="65"/>
      <c r="O446" s="65"/>
      <c r="P446" s="65"/>
      <c r="Q446" s="65"/>
    </row>
    <row r="447" spans="3:17">
      <c r="C447" s="65"/>
      <c r="D447" s="65"/>
      <c r="E447" s="65"/>
      <c r="F447" s="65"/>
      <c r="G447" s="65"/>
      <c r="H447" s="65"/>
      <c r="I447" s="65"/>
      <c r="J447" s="65"/>
      <c r="K447" s="65"/>
      <c r="L447" s="65"/>
      <c r="M447" s="65"/>
      <c r="N447" s="65"/>
      <c r="O447" s="65"/>
      <c r="P447" s="65"/>
      <c r="Q447" s="65"/>
    </row>
    <row r="448" spans="3:17">
      <c r="C448" s="65"/>
      <c r="D448" s="65"/>
      <c r="E448" s="65"/>
      <c r="F448" s="65"/>
      <c r="G448" s="65"/>
      <c r="H448" s="65"/>
      <c r="I448" s="65"/>
      <c r="J448" s="65"/>
      <c r="K448" s="65"/>
      <c r="L448" s="65"/>
      <c r="M448" s="65"/>
      <c r="N448" s="65"/>
      <c r="O448" s="65"/>
      <c r="P448" s="65"/>
      <c r="Q448" s="65"/>
    </row>
    <row r="449" spans="3:17">
      <c r="C449" s="65"/>
      <c r="D449" s="65"/>
      <c r="E449" s="65"/>
      <c r="F449" s="65"/>
      <c r="G449" s="65"/>
      <c r="H449" s="65"/>
      <c r="I449" s="65"/>
      <c r="J449" s="65"/>
      <c r="K449" s="65"/>
      <c r="L449" s="65"/>
      <c r="M449" s="65"/>
      <c r="N449" s="65"/>
      <c r="O449" s="65"/>
      <c r="P449" s="65"/>
      <c r="Q449" s="65"/>
    </row>
    <row r="450" spans="3:17">
      <c r="C450" s="65"/>
      <c r="D450" s="65"/>
      <c r="E450" s="65"/>
      <c r="F450" s="65"/>
      <c r="G450" s="65"/>
      <c r="H450" s="65"/>
      <c r="I450" s="65"/>
      <c r="J450" s="65"/>
      <c r="K450" s="65"/>
      <c r="L450" s="65"/>
      <c r="M450" s="65"/>
      <c r="N450" s="65"/>
      <c r="O450" s="65"/>
      <c r="P450" s="65"/>
      <c r="Q450" s="65"/>
    </row>
    <row r="451" spans="3:17">
      <c r="C451" s="65"/>
      <c r="D451" s="65"/>
      <c r="E451" s="65"/>
      <c r="F451" s="65"/>
      <c r="G451" s="65"/>
      <c r="H451" s="65"/>
      <c r="I451" s="65"/>
      <c r="J451" s="65"/>
      <c r="K451" s="65"/>
      <c r="L451" s="65"/>
      <c r="M451" s="65"/>
      <c r="N451" s="65"/>
      <c r="O451" s="65"/>
      <c r="P451" s="65"/>
      <c r="Q451" s="65"/>
    </row>
    <row r="452" spans="3:17">
      <c r="C452" s="65"/>
      <c r="D452" s="65"/>
      <c r="E452" s="65"/>
      <c r="F452" s="65"/>
      <c r="G452" s="65"/>
      <c r="H452" s="65"/>
      <c r="I452" s="65"/>
      <c r="J452" s="65"/>
      <c r="K452" s="65"/>
      <c r="L452" s="65"/>
      <c r="M452" s="65"/>
      <c r="N452" s="65"/>
      <c r="O452" s="65"/>
      <c r="P452" s="65"/>
      <c r="Q452" s="65"/>
    </row>
    <row r="453" spans="3:17">
      <c r="C453" s="65"/>
      <c r="D453" s="65"/>
      <c r="E453" s="65"/>
      <c r="F453" s="65"/>
      <c r="G453" s="65"/>
      <c r="H453" s="65"/>
      <c r="I453" s="65"/>
      <c r="J453" s="65"/>
      <c r="K453" s="65"/>
      <c r="L453" s="65"/>
      <c r="M453" s="65"/>
      <c r="N453" s="65"/>
      <c r="O453" s="65"/>
      <c r="P453" s="65"/>
      <c r="Q453" s="65"/>
    </row>
    <row r="454" spans="3:17">
      <c r="C454" s="65"/>
      <c r="D454" s="65"/>
      <c r="E454" s="65"/>
      <c r="F454" s="65"/>
      <c r="G454" s="65"/>
      <c r="H454" s="65"/>
      <c r="I454" s="65"/>
      <c r="J454" s="65"/>
      <c r="K454" s="65"/>
      <c r="L454" s="65"/>
      <c r="M454" s="65"/>
      <c r="N454" s="65"/>
      <c r="O454" s="65"/>
      <c r="P454" s="65"/>
      <c r="Q454" s="65"/>
    </row>
    <row r="455" spans="3:17">
      <c r="C455" s="65"/>
      <c r="D455" s="65"/>
      <c r="E455" s="65"/>
      <c r="F455" s="65"/>
      <c r="G455" s="65"/>
      <c r="H455" s="65"/>
      <c r="I455" s="65"/>
      <c r="J455" s="65"/>
      <c r="K455" s="65"/>
      <c r="L455" s="65"/>
      <c r="M455" s="65"/>
      <c r="N455" s="65"/>
      <c r="O455" s="65"/>
      <c r="P455" s="65"/>
      <c r="Q455" s="65"/>
    </row>
    <row r="456" spans="3:17">
      <c r="C456" s="65"/>
      <c r="D456" s="65"/>
      <c r="E456" s="65"/>
      <c r="F456" s="65"/>
      <c r="G456" s="65"/>
      <c r="H456" s="65"/>
      <c r="I456" s="65"/>
      <c r="J456" s="65"/>
      <c r="K456" s="65"/>
      <c r="L456" s="65"/>
      <c r="M456" s="65"/>
      <c r="N456" s="65"/>
      <c r="O456" s="65"/>
      <c r="P456" s="65"/>
      <c r="Q456" s="65"/>
    </row>
    <row r="457" spans="3:17">
      <c r="C457" s="65"/>
      <c r="D457" s="65"/>
      <c r="E457" s="65"/>
      <c r="F457" s="65"/>
      <c r="G457" s="65"/>
      <c r="H457" s="65"/>
      <c r="I457" s="65"/>
      <c r="J457" s="65"/>
      <c r="K457" s="65"/>
      <c r="L457" s="65"/>
      <c r="M457" s="65"/>
      <c r="N457" s="65"/>
      <c r="O457" s="65"/>
      <c r="P457" s="65"/>
      <c r="Q457" s="65"/>
    </row>
    <row r="458" spans="3:17">
      <c r="C458" s="65"/>
      <c r="D458" s="65"/>
      <c r="E458" s="65"/>
      <c r="F458" s="65"/>
      <c r="G458" s="65"/>
      <c r="H458" s="65"/>
      <c r="I458" s="65"/>
      <c r="J458" s="65"/>
      <c r="K458" s="65"/>
      <c r="L458" s="65"/>
      <c r="M458" s="65"/>
      <c r="N458" s="65"/>
      <c r="O458" s="65"/>
      <c r="P458" s="65"/>
      <c r="Q458" s="65"/>
    </row>
    <row r="459" spans="3:17">
      <c r="C459" s="65"/>
      <c r="D459" s="65"/>
      <c r="E459" s="65"/>
      <c r="F459" s="65"/>
      <c r="G459" s="65"/>
      <c r="H459" s="65"/>
      <c r="I459" s="65"/>
      <c r="J459" s="65"/>
      <c r="K459" s="65"/>
      <c r="L459" s="65"/>
      <c r="M459" s="65"/>
      <c r="N459" s="65"/>
      <c r="O459" s="65"/>
      <c r="P459" s="65"/>
      <c r="Q459" s="65"/>
    </row>
    <row r="460" spans="3:17">
      <c r="C460" s="65"/>
      <c r="D460" s="65"/>
      <c r="E460" s="65"/>
      <c r="F460" s="65"/>
      <c r="G460" s="65"/>
      <c r="H460" s="65"/>
      <c r="I460" s="65"/>
      <c r="J460" s="65"/>
      <c r="K460" s="65"/>
      <c r="L460" s="65"/>
      <c r="M460" s="65"/>
      <c r="N460" s="65"/>
      <c r="O460" s="65"/>
      <c r="P460" s="65"/>
      <c r="Q460" s="65"/>
    </row>
    <row r="461" spans="3:17">
      <c r="C461" s="65"/>
      <c r="D461" s="65"/>
      <c r="E461" s="65"/>
      <c r="F461" s="65"/>
      <c r="G461" s="65"/>
      <c r="H461" s="65"/>
      <c r="I461" s="65"/>
      <c r="J461" s="65"/>
      <c r="K461" s="65"/>
      <c r="L461" s="65"/>
      <c r="M461" s="65"/>
      <c r="N461" s="65"/>
      <c r="O461" s="65"/>
      <c r="P461" s="65"/>
      <c r="Q461" s="65"/>
    </row>
    <row r="462" spans="3:17">
      <c r="C462" s="65"/>
      <c r="D462" s="65"/>
      <c r="E462" s="65"/>
      <c r="F462" s="65"/>
      <c r="G462" s="65"/>
      <c r="H462" s="65"/>
      <c r="I462" s="65"/>
      <c r="J462" s="65"/>
      <c r="K462" s="65"/>
      <c r="L462" s="65"/>
      <c r="M462" s="65"/>
      <c r="N462" s="65"/>
      <c r="O462" s="65"/>
      <c r="P462" s="65"/>
      <c r="Q462" s="65"/>
    </row>
    <row r="463" spans="3:17">
      <c r="C463" s="65"/>
      <c r="D463" s="65"/>
      <c r="E463" s="65"/>
      <c r="F463" s="65"/>
      <c r="G463" s="65"/>
      <c r="H463" s="65"/>
      <c r="I463" s="65"/>
      <c r="J463" s="65"/>
      <c r="K463" s="65"/>
      <c r="L463" s="65"/>
      <c r="M463" s="65"/>
      <c r="N463" s="65"/>
      <c r="O463" s="65"/>
      <c r="P463" s="65"/>
      <c r="Q463" s="65"/>
    </row>
    <row r="464" spans="3:17">
      <c r="C464" s="65"/>
      <c r="D464" s="65"/>
      <c r="E464" s="65"/>
      <c r="F464" s="65"/>
      <c r="G464" s="65"/>
      <c r="H464" s="65"/>
      <c r="I464" s="65"/>
      <c r="J464" s="65"/>
      <c r="K464" s="65"/>
      <c r="L464" s="65"/>
      <c r="M464" s="65"/>
      <c r="N464" s="65"/>
      <c r="O464" s="65"/>
      <c r="P464" s="65"/>
      <c r="Q464" s="65"/>
    </row>
    <row r="465" spans="3:17">
      <c r="C465" s="65"/>
      <c r="D465" s="65"/>
      <c r="E465" s="65"/>
      <c r="F465" s="65"/>
      <c r="G465" s="65"/>
      <c r="H465" s="65"/>
      <c r="I465" s="65"/>
      <c r="J465" s="65"/>
      <c r="K465" s="65"/>
      <c r="L465" s="65"/>
      <c r="M465" s="65"/>
      <c r="N465" s="65"/>
      <c r="O465" s="65"/>
      <c r="P465" s="65"/>
      <c r="Q465" s="65"/>
    </row>
    <row r="466" spans="3:17">
      <c r="C466" s="65"/>
      <c r="D466" s="65"/>
      <c r="E466" s="65"/>
      <c r="F466" s="65"/>
      <c r="G466" s="65"/>
      <c r="H466" s="65"/>
      <c r="I466" s="65"/>
      <c r="J466" s="65"/>
      <c r="K466" s="65"/>
      <c r="L466" s="65"/>
      <c r="M466" s="65"/>
      <c r="N466" s="65"/>
      <c r="O466" s="65"/>
      <c r="P466" s="65"/>
      <c r="Q466" s="65"/>
    </row>
    <row r="467" spans="3:17">
      <c r="C467" s="65"/>
      <c r="D467" s="65"/>
      <c r="E467" s="65"/>
      <c r="F467" s="65"/>
      <c r="G467" s="65"/>
      <c r="H467" s="65"/>
      <c r="I467" s="65"/>
      <c r="J467" s="65"/>
      <c r="K467" s="65"/>
      <c r="L467" s="65"/>
      <c r="M467" s="65"/>
      <c r="N467" s="65"/>
      <c r="O467" s="65"/>
      <c r="P467" s="65"/>
      <c r="Q467" s="65"/>
    </row>
    <row r="468" spans="3:17">
      <c r="C468" s="65"/>
      <c r="D468" s="65"/>
      <c r="E468" s="65"/>
      <c r="F468" s="65"/>
      <c r="G468" s="65"/>
      <c r="H468" s="65"/>
      <c r="I468" s="65"/>
      <c r="J468" s="65"/>
      <c r="K468" s="65"/>
      <c r="L468" s="65"/>
      <c r="M468" s="65"/>
      <c r="N468" s="65"/>
      <c r="O468" s="65"/>
      <c r="P468" s="65"/>
      <c r="Q468" s="65"/>
    </row>
    <row r="469" spans="3:17">
      <c r="C469" s="65"/>
      <c r="D469" s="65"/>
      <c r="E469" s="65"/>
      <c r="F469" s="65"/>
      <c r="G469" s="65"/>
      <c r="H469" s="65"/>
      <c r="I469" s="65"/>
      <c r="J469" s="65"/>
      <c r="K469" s="65"/>
      <c r="L469" s="65"/>
      <c r="M469" s="65"/>
      <c r="N469" s="65"/>
      <c r="O469" s="65"/>
      <c r="P469" s="65"/>
      <c r="Q469" s="65"/>
    </row>
    <row r="470" spans="3:17">
      <c r="C470" s="65"/>
      <c r="D470" s="65"/>
      <c r="E470" s="65"/>
      <c r="F470" s="65"/>
      <c r="G470" s="65"/>
      <c r="H470" s="65"/>
      <c r="I470" s="65"/>
      <c r="J470" s="65"/>
      <c r="K470" s="65"/>
      <c r="L470" s="65"/>
      <c r="M470" s="65"/>
      <c r="N470" s="65"/>
      <c r="O470" s="65"/>
      <c r="P470" s="65"/>
      <c r="Q470" s="65"/>
    </row>
    <row r="471" spans="3:17">
      <c r="C471" s="65"/>
      <c r="D471" s="65"/>
      <c r="E471" s="65"/>
      <c r="F471" s="65"/>
      <c r="G471" s="65"/>
      <c r="H471" s="65"/>
      <c r="I471" s="65"/>
      <c r="J471" s="65"/>
      <c r="K471" s="65"/>
      <c r="L471" s="65"/>
      <c r="M471" s="65"/>
      <c r="N471" s="65"/>
      <c r="O471" s="65"/>
      <c r="P471" s="65"/>
      <c r="Q471" s="65"/>
    </row>
    <row r="472" spans="3:17">
      <c r="C472" s="65"/>
      <c r="D472" s="65"/>
      <c r="E472" s="65"/>
      <c r="F472" s="65"/>
      <c r="G472" s="65"/>
      <c r="H472" s="65"/>
      <c r="I472" s="65"/>
      <c r="J472" s="65"/>
      <c r="K472" s="65"/>
      <c r="L472" s="65"/>
      <c r="M472" s="65"/>
      <c r="N472" s="65"/>
      <c r="O472" s="65"/>
      <c r="P472" s="65"/>
      <c r="Q472" s="65"/>
    </row>
    <row r="473" spans="3:17">
      <c r="C473" s="65"/>
      <c r="D473" s="65"/>
      <c r="E473" s="65"/>
      <c r="F473" s="65"/>
      <c r="G473" s="65"/>
      <c r="H473" s="65"/>
      <c r="I473" s="65"/>
      <c r="J473" s="65"/>
      <c r="K473" s="65"/>
      <c r="L473" s="65"/>
      <c r="M473" s="65"/>
      <c r="N473" s="65"/>
      <c r="O473" s="65"/>
      <c r="P473" s="65"/>
      <c r="Q473" s="65"/>
    </row>
    <row r="474" spans="3:17">
      <c r="C474" s="65"/>
      <c r="D474" s="65"/>
      <c r="E474" s="65"/>
      <c r="F474" s="65"/>
      <c r="G474" s="65"/>
      <c r="H474" s="65"/>
      <c r="I474" s="65"/>
      <c r="J474" s="65"/>
      <c r="K474" s="65"/>
      <c r="L474" s="65"/>
      <c r="M474" s="65"/>
      <c r="N474" s="65"/>
      <c r="O474" s="65"/>
      <c r="P474" s="65"/>
      <c r="Q474" s="65"/>
    </row>
    <row r="475" spans="3:17">
      <c r="C475" s="65"/>
      <c r="D475" s="65"/>
      <c r="E475" s="65"/>
      <c r="F475" s="65"/>
      <c r="G475" s="65"/>
      <c r="H475" s="65"/>
      <c r="I475" s="65"/>
      <c r="J475" s="65"/>
      <c r="K475" s="65"/>
      <c r="L475" s="65"/>
      <c r="M475" s="65"/>
      <c r="N475" s="65"/>
      <c r="O475" s="65"/>
      <c r="P475" s="65"/>
      <c r="Q475" s="65"/>
    </row>
    <row r="476" spans="3:17">
      <c r="C476" s="65"/>
      <c r="D476" s="65"/>
      <c r="E476" s="65"/>
      <c r="F476" s="65"/>
      <c r="G476" s="65"/>
      <c r="H476" s="65"/>
      <c r="I476" s="65"/>
      <c r="J476" s="65"/>
      <c r="K476" s="65"/>
      <c r="L476" s="65"/>
      <c r="M476" s="65"/>
      <c r="N476" s="65"/>
      <c r="O476" s="65"/>
      <c r="P476" s="65"/>
      <c r="Q476" s="65"/>
    </row>
    <row r="477" spans="3:17">
      <c r="C477" s="65"/>
      <c r="D477" s="65"/>
      <c r="E477" s="65"/>
      <c r="F477" s="65"/>
      <c r="G477" s="65"/>
      <c r="H477" s="65"/>
      <c r="I477" s="65"/>
      <c r="J477" s="65"/>
      <c r="K477" s="65"/>
      <c r="L477" s="65"/>
      <c r="M477" s="65"/>
      <c r="N477" s="65"/>
      <c r="O477" s="65"/>
      <c r="P477" s="65"/>
      <c r="Q477" s="65"/>
    </row>
    <row r="478" spans="3:17">
      <c r="C478" s="65"/>
      <c r="D478" s="65"/>
      <c r="E478" s="65"/>
      <c r="F478" s="65"/>
      <c r="G478" s="65"/>
      <c r="H478" s="65"/>
      <c r="I478" s="65"/>
      <c r="J478" s="65"/>
      <c r="K478" s="65"/>
      <c r="L478" s="65"/>
      <c r="M478" s="65"/>
      <c r="N478" s="65"/>
      <c r="O478" s="65"/>
      <c r="P478" s="65"/>
      <c r="Q478" s="65"/>
    </row>
    <row r="479" spans="3:17">
      <c r="C479" s="65"/>
      <c r="D479" s="65"/>
      <c r="E479" s="65"/>
      <c r="F479" s="65"/>
      <c r="G479" s="65"/>
      <c r="H479" s="65"/>
      <c r="I479" s="65"/>
      <c r="J479" s="65"/>
      <c r="K479" s="65"/>
      <c r="L479" s="65"/>
      <c r="M479" s="65"/>
      <c r="N479" s="65"/>
      <c r="O479" s="65"/>
      <c r="P479" s="65"/>
      <c r="Q479" s="65"/>
    </row>
    <row r="480" spans="3:17">
      <c r="C480" s="65"/>
      <c r="D480" s="65"/>
      <c r="E480" s="65"/>
      <c r="F480" s="65"/>
      <c r="G480" s="65"/>
      <c r="H480" s="65"/>
      <c r="I480" s="65"/>
      <c r="J480" s="65"/>
      <c r="K480" s="65"/>
      <c r="L480" s="65"/>
      <c r="M480" s="65"/>
      <c r="N480" s="65"/>
      <c r="O480" s="65"/>
      <c r="P480" s="65"/>
      <c r="Q480" s="65"/>
    </row>
    <row r="481" spans="3:17">
      <c r="C481" s="65"/>
      <c r="D481" s="65"/>
      <c r="E481" s="65"/>
      <c r="F481" s="65"/>
      <c r="G481" s="65"/>
      <c r="H481" s="65"/>
      <c r="I481" s="65"/>
      <c r="J481" s="65"/>
      <c r="K481" s="65"/>
      <c r="L481" s="65"/>
      <c r="M481" s="65"/>
      <c r="N481" s="65"/>
      <c r="O481" s="65"/>
      <c r="P481" s="65"/>
      <c r="Q481" s="65"/>
    </row>
    <row r="482" spans="3:17">
      <c r="C482" s="65"/>
      <c r="D482" s="65"/>
      <c r="E482" s="65"/>
      <c r="F482" s="65"/>
      <c r="G482" s="65"/>
      <c r="H482" s="65"/>
      <c r="I482" s="65"/>
      <c r="J482" s="65"/>
      <c r="K482" s="65"/>
      <c r="L482" s="65"/>
      <c r="M482" s="65"/>
      <c r="N482" s="65"/>
      <c r="O482" s="65"/>
      <c r="P482" s="65"/>
      <c r="Q482" s="65"/>
    </row>
    <row r="483" spans="3:17">
      <c r="C483" s="65"/>
      <c r="D483" s="65"/>
      <c r="E483" s="65"/>
      <c r="F483" s="65"/>
      <c r="G483" s="65"/>
      <c r="H483" s="65"/>
      <c r="I483" s="65"/>
      <c r="J483" s="65"/>
      <c r="K483" s="65"/>
      <c r="L483" s="65"/>
      <c r="M483" s="65"/>
      <c r="N483" s="65"/>
      <c r="O483" s="65"/>
      <c r="P483" s="65"/>
      <c r="Q483" s="65"/>
    </row>
    <row r="484" spans="3:17">
      <c r="C484" s="65"/>
      <c r="D484" s="65"/>
      <c r="E484" s="65"/>
      <c r="F484" s="65"/>
      <c r="G484" s="65"/>
      <c r="H484" s="65"/>
      <c r="I484" s="65"/>
      <c r="J484" s="65"/>
      <c r="K484" s="65"/>
      <c r="L484" s="65"/>
      <c r="M484" s="65"/>
      <c r="N484" s="65"/>
      <c r="O484" s="65"/>
      <c r="P484" s="65"/>
      <c r="Q484" s="65"/>
    </row>
    <row r="485" spans="3:17">
      <c r="C485" s="65"/>
      <c r="D485" s="65"/>
      <c r="E485" s="65"/>
      <c r="F485" s="65"/>
      <c r="G485" s="65"/>
      <c r="H485" s="65"/>
      <c r="I485" s="65"/>
      <c r="J485" s="65"/>
      <c r="K485" s="65"/>
      <c r="L485" s="65"/>
      <c r="M485" s="65"/>
      <c r="N485" s="65"/>
      <c r="O485" s="65"/>
      <c r="P485" s="65"/>
      <c r="Q485" s="65"/>
    </row>
    <row r="486" spans="3:17">
      <c r="C486" s="65"/>
      <c r="D486" s="65"/>
      <c r="E486" s="65"/>
      <c r="F486" s="65"/>
      <c r="G486" s="65"/>
      <c r="H486" s="65"/>
      <c r="I486" s="65"/>
      <c r="J486" s="65"/>
      <c r="K486" s="65"/>
      <c r="L486" s="65"/>
      <c r="M486" s="65"/>
      <c r="N486" s="65"/>
      <c r="O486" s="65"/>
      <c r="P486" s="65"/>
      <c r="Q486" s="65"/>
    </row>
    <row r="487" spans="3:17">
      <c r="C487" s="65"/>
      <c r="D487" s="65"/>
      <c r="E487" s="65"/>
      <c r="F487" s="65"/>
      <c r="G487" s="65"/>
      <c r="H487" s="65"/>
      <c r="I487" s="65"/>
      <c r="J487" s="65"/>
      <c r="K487" s="65"/>
      <c r="L487" s="65"/>
      <c r="M487" s="65"/>
      <c r="N487" s="65"/>
      <c r="O487" s="65"/>
      <c r="P487" s="65"/>
      <c r="Q487" s="65"/>
    </row>
    <row r="488" spans="3:17">
      <c r="C488" s="65"/>
      <c r="D488" s="65"/>
      <c r="E488" s="65"/>
      <c r="F488" s="65"/>
      <c r="G488" s="65"/>
      <c r="H488" s="65"/>
      <c r="I488" s="65"/>
      <c r="J488" s="65"/>
      <c r="K488" s="65"/>
      <c r="L488" s="65"/>
      <c r="M488" s="65"/>
      <c r="N488" s="65"/>
      <c r="O488" s="65"/>
      <c r="P488" s="65"/>
      <c r="Q488" s="65"/>
    </row>
    <row r="489" spans="3:17">
      <c r="C489" s="65"/>
      <c r="D489" s="65"/>
      <c r="E489" s="65"/>
      <c r="F489" s="65"/>
      <c r="G489" s="65"/>
      <c r="H489" s="65"/>
      <c r="I489" s="65"/>
      <c r="J489" s="65"/>
      <c r="K489" s="65"/>
      <c r="L489" s="65"/>
      <c r="M489" s="65"/>
      <c r="N489" s="65"/>
      <c r="O489" s="65"/>
      <c r="P489" s="65"/>
      <c r="Q489" s="65"/>
    </row>
    <row r="490" spans="3:17">
      <c r="C490" s="65"/>
      <c r="D490" s="65"/>
      <c r="E490" s="65"/>
      <c r="F490" s="65"/>
      <c r="G490" s="65"/>
      <c r="H490" s="65"/>
      <c r="I490" s="65"/>
      <c r="J490" s="65"/>
      <c r="K490" s="65"/>
      <c r="L490" s="65"/>
      <c r="M490" s="65"/>
      <c r="N490" s="65"/>
      <c r="O490" s="65"/>
      <c r="P490" s="65"/>
      <c r="Q490" s="65"/>
    </row>
    <row r="491" spans="3:17">
      <c r="C491" s="65"/>
      <c r="D491" s="65"/>
      <c r="E491" s="65"/>
      <c r="F491" s="65"/>
      <c r="G491" s="65"/>
      <c r="H491" s="65"/>
      <c r="I491" s="65"/>
      <c r="J491" s="65"/>
      <c r="K491" s="65"/>
      <c r="L491" s="65"/>
      <c r="M491" s="65"/>
      <c r="N491" s="65"/>
      <c r="O491" s="65"/>
      <c r="P491" s="65"/>
      <c r="Q491" s="65"/>
    </row>
    <row r="492" spans="3:17">
      <c r="C492" s="65"/>
      <c r="D492" s="65"/>
      <c r="E492" s="65"/>
      <c r="F492" s="65"/>
      <c r="G492" s="65"/>
      <c r="H492" s="65"/>
      <c r="I492" s="65"/>
      <c r="J492" s="65"/>
      <c r="K492" s="65"/>
      <c r="L492" s="65"/>
      <c r="M492" s="65"/>
      <c r="N492" s="65"/>
      <c r="O492" s="65"/>
      <c r="P492" s="65"/>
      <c r="Q492" s="65"/>
    </row>
    <row r="493" spans="3:17">
      <c r="C493" s="65"/>
      <c r="D493" s="65"/>
      <c r="E493" s="65"/>
      <c r="F493" s="65"/>
      <c r="G493" s="65"/>
      <c r="H493" s="65"/>
      <c r="I493" s="65"/>
      <c r="J493" s="65"/>
      <c r="K493" s="65"/>
      <c r="L493" s="65"/>
      <c r="M493" s="65"/>
      <c r="N493" s="65"/>
      <c r="O493" s="65"/>
      <c r="P493" s="65"/>
      <c r="Q493" s="65"/>
    </row>
    <row r="494" spans="3:17">
      <c r="C494" s="65"/>
      <c r="D494" s="65"/>
      <c r="E494" s="65"/>
      <c r="F494" s="65"/>
      <c r="G494" s="65"/>
      <c r="H494" s="65"/>
      <c r="I494" s="65"/>
      <c r="J494" s="65"/>
      <c r="K494" s="65"/>
      <c r="L494" s="65"/>
      <c r="M494" s="65"/>
      <c r="N494" s="65"/>
      <c r="O494" s="65"/>
      <c r="P494" s="65"/>
      <c r="Q494" s="65"/>
    </row>
    <row r="495" spans="3:17">
      <c r="C495" s="65"/>
      <c r="D495" s="65"/>
      <c r="E495" s="65"/>
      <c r="F495" s="65"/>
      <c r="G495" s="65"/>
      <c r="H495" s="65"/>
      <c r="I495" s="65"/>
      <c r="J495" s="65"/>
      <c r="K495" s="65"/>
      <c r="L495" s="65"/>
      <c r="M495" s="65"/>
      <c r="N495" s="65"/>
      <c r="O495" s="65"/>
      <c r="P495" s="65"/>
      <c r="Q495" s="65"/>
    </row>
    <row r="496" spans="3:17">
      <c r="C496" s="65"/>
      <c r="D496" s="65"/>
      <c r="E496" s="65"/>
      <c r="F496" s="65"/>
      <c r="G496" s="65"/>
      <c r="H496" s="65"/>
      <c r="I496" s="65"/>
      <c r="J496" s="65"/>
      <c r="K496" s="65"/>
      <c r="L496" s="65"/>
      <c r="M496" s="65"/>
      <c r="N496" s="65"/>
      <c r="O496" s="65"/>
      <c r="P496" s="65"/>
      <c r="Q496" s="65"/>
    </row>
    <row r="497" spans="3:17">
      <c r="C497" s="65"/>
      <c r="D497" s="65"/>
      <c r="E497" s="65"/>
      <c r="F497" s="65"/>
      <c r="G497" s="65"/>
      <c r="H497" s="65"/>
      <c r="I497" s="65"/>
      <c r="J497" s="65"/>
      <c r="K497" s="65"/>
      <c r="L497" s="65"/>
      <c r="M497" s="65"/>
      <c r="N497" s="65"/>
      <c r="O497" s="65"/>
      <c r="P497" s="65"/>
      <c r="Q497" s="65"/>
    </row>
    <row r="498" spans="3:17">
      <c r="C498" s="65"/>
      <c r="D498" s="65"/>
      <c r="E498" s="65"/>
      <c r="F498" s="65"/>
      <c r="G498" s="65"/>
      <c r="H498" s="65"/>
      <c r="I498" s="65"/>
      <c r="J498" s="65"/>
      <c r="K498" s="65"/>
      <c r="L498" s="65"/>
      <c r="M498" s="65"/>
      <c r="N498" s="65"/>
      <c r="O498" s="65"/>
      <c r="P498" s="65"/>
      <c r="Q498" s="65"/>
    </row>
    <row r="499" spans="3:17">
      <c r="C499" s="65"/>
      <c r="D499" s="65"/>
      <c r="E499" s="65"/>
      <c r="F499" s="65"/>
      <c r="G499" s="65"/>
      <c r="H499" s="65"/>
      <c r="I499" s="65"/>
      <c r="J499" s="65"/>
      <c r="K499" s="65"/>
      <c r="L499" s="65"/>
      <c r="M499" s="65"/>
      <c r="N499" s="65"/>
      <c r="O499" s="65"/>
      <c r="P499" s="65"/>
      <c r="Q499" s="65"/>
    </row>
    <row r="500" spans="3:17">
      <c r="C500" s="65"/>
      <c r="D500" s="65"/>
      <c r="E500" s="65"/>
      <c r="F500" s="65"/>
      <c r="G500" s="65"/>
      <c r="H500" s="65"/>
      <c r="I500" s="65"/>
      <c r="J500" s="65"/>
      <c r="K500" s="65"/>
      <c r="L500" s="65"/>
      <c r="M500" s="65"/>
      <c r="N500" s="65"/>
      <c r="O500" s="65"/>
      <c r="P500" s="65"/>
      <c r="Q500" s="65"/>
    </row>
    <row r="501" spans="3:17">
      <c r="C501" s="65"/>
      <c r="D501" s="65"/>
      <c r="E501" s="65"/>
      <c r="F501" s="65"/>
      <c r="G501" s="65"/>
      <c r="H501" s="65"/>
      <c r="I501" s="65"/>
      <c r="J501" s="65"/>
      <c r="K501" s="65"/>
      <c r="L501" s="65"/>
      <c r="M501" s="65"/>
      <c r="N501" s="65"/>
      <c r="O501" s="65"/>
      <c r="P501" s="65"/>
      <c r="Q501" s="65"/>
    </row>
    <row r="502" spans="3:17">
      <c r="C502" s="65"/>
      <c r="D502" s="65"/>
      <c r="E502" s="65"/>
      <c r="F502" s="65"/>
      <c r="G502" s="65"/>
      <c r="H502" s="65"/>
      <c r="I502" s="65"/>
      <c r="J502" s="65"/>
      <c r="K502" s="65"/>
      <c r="L502" s="65"/>
      <c r="M502" s="65"/>
      <c r="N502" s="65"/>
      <c r="O502" s="65"/>
      <c r="P502" s="65"/>
      <c r="Q502" s="65"/>
    </row>
    <row r="503" spans="3:17">
      <c r="C503" s="65"/>
      <c r="D503" s="65"/>
      <c r="E503" s="65"/>
      <c r="F503" s="65"/>
      <c r="G503" s="65"/>
      <c r="H503" s="65"/>
      <c r="I503" s="65"/>
      <c r="J503" s="65"/>
      <c r="K503" s="65"/>
      <c r="L503" s="65"/>
      <c r="M503" s="65"/>
      <c r="N503" s="65"/>
      <c r="O503" s="65"/>
      <c r="P503" s="65"/>
      <c r="Q503" s="65"/>
    </row>
    <row r="504" spans="3:17">
      <c r="C504" s="65"/>
      <c r="D504" s="65"/>
      <c r="E504" s="65"/>
      <c r="F504" s="65"/>
      <c r="G504" s="65"/>
      <c r="H504" s="65"/>
      <c r="I504" s="65"/>
      <c r="J504" s="65"/>
      <c r="K504" s="65"/>
      <c r="L504" s="65"/>
      <c r="M504" s="65"/>
      <c r="N504" s="65"/>
      <c r="O504" s="65"/>
      <c r="P504" s="65"/>
      <c r="Q504" s="65"/>
    </row>
    <row r="505" spans="3:17">
      <c r="C505" s="65"/>
      <c r="D505" s="65"/>
      <c r="E505" s="65"/>
      <c r="F505" s="65"/>
      <c r="G505" s="65"/>
      <c r="H505" s="65"/>
      <c r="I505" s="65"/>
      <c r="J505" s="65"/>
      <c r="K505" s="65"/>
      <c r="L505" s="65"/>
      <c r="M505" s="65"/>
      <c r="N505" s="65"/>
      <c r="O505" s="65"/>
      <c r="P505" s="65"/>
      <c r="Q505" s="65"/>
    </row>
    <row r="506" spans="3:17">
      <c r="C506" s="65"/>
      <c r="D506" s="65"/>
      <c r="E506" s="65"/>
      <c r="F506" s="65"/>
      <c r="G506" s="65"/>
      <c r="H506" s="65"/>
      <c r="I506" s="65"/>
      <c r="J506" s="65"/>
      <c r="K506" s="65"/>
      <c r="L506" s="65"/>
      <c r="M506" s="65"/>
      <c r="N506" s="65"/>
      <c r="O506" s="65"/>
      <c r="P506" s="65"/>
      <c r="Q506" s="65"/>
    </row>
    <row r="507" spans="3:17">
      <c r="C507" s="65"/>
      <c r="D507" s="65"/>
      <c r="E507" s="65"/>
      <c r="F507" s="65"/>
      <c r="G507" s="65"/>
      <c r="H507" s="65"/>
      <c r="I507" s="65"/>
      <c r="J507" s="65"/>
      <c r="K507" s="65"/>
      <c r="L507" s="65"/>
      <c r="M507" s="65"/>
      <c r="N507" s="65"/>
      <c r="O507" s="65"/>
      <c r="P507" s="65"/>
      <c r="Q507" s="65"/>
    </row>
    <row r="508" spans="3:17">
      <c r="C508" s="65"/>
      <c r="D508" s="65"/>
      <c r="E508" s="65"/>
      <c r="F508" s="65"/>
      <c r="G508" s="65"/>
      <c r="H508" s="65"/>
      <c r="I508" s="65"/>
      <c r="J508" s="65"/>
      <c r="K508" s="65"/>
      <c r="L508" s="65"/>
      <c r="M508" s="65"/>
      <c r="N508" s="65"/>
      <c r="O508" s="65"/>
      <c r="P508" s="65"/>
      <c r="Q508" s="65"/>
    </row>
    <row r="509" spans="3:17">
      <c r="C509" s="65"/>
      <c r="D509" s="65"/>
      <c r="E509" s="65"/>
      <c r="F509" s="65"/>
      <c r="G509" s="65"/>
      <c r="H509" s="65"/>
      <c r="I509" s="65"/>
      <c r="J509" s="65"/>
      <c r="K509" s="65"/>
      <c r="L509" s="65"/>
      <c r="M509" s="65"/>
      <c r="N509" s="65"/>
      <c r="O509" s="65"/>
      <c r="P509" s="65"/>
      <c r="Q509" s="65"/>
    </row>
    <row r="510" spans="3:17">
      <c r="C510" s="65"/>
      <c r="D510" s="65"/>
      <c r="E510" s="65"/>
      <c r="F510" s="65"/>
      <c r="G510" s="65"/>
      <c r="H510" s="65"/>
      <c r="I510" s="65"/>
      <c r="J510" s="65"/>
      <c r="K510" s="65"/>
      <c r="L510" s="65"/>
      <c r="M510" s="65"/>
      <c r="N510" s="65"/>
      <c r="O510" s="65"/>
      <c r="P510" s="65"/>
      <c r="Q510" s="65"/>
    </row>
    <row r="511" spans="3:17">
      <c r="C511" s="65"/>
      <c r="D511" s="65"/>
      <c r="E511" s="65"/>
      <c r="F511" s="65"/>
      <c r="G511" s="65"/>
      <c r="H511" s="65"/>
      <c r="I511" s="65"/>
      <c r="J511" s="65"/>
      <c r="K511" s="65"/>
      <c r="L511" s="65"/>
      <c r="M511" s="65"/>
      <c r="N511" s="65"/>
      <c r="O511" s="65"/>
      <c r="P511" s="65"/>
      <c r="Q511" s="65"/>
    </row>
    <row r="512" spans="3:17">
      <c r="C512" s="65"/>
      <c r="D512" s="65"/>
      <c r="E512" s="65"/>
      <c r="F512" s="65"/>
      <c r="G512" s="65"/>
      <c r="H512" s="65"/>
      <c r="I512" s="65"/>
      <c r="J512" s="65"/>
      <c r="K512" s="65"/>
      <c r="L512" s="65"/>
      <c r="M512" s="65"/>
      <c r="N512" s="65"/>
      <c r="O512" s="65"/>
      <c r="P512" s="65"/>
      <c r="Q512" s="65"/>
    </row>
    <row r="513" spans="3:17">
      <c r="C513" s="65"/>
      <c r="D513" s="65"/>
      <c r="E513" s="65"/>
      <c r="F513" s="65"/>
      <c r="G513" s="65"/>
      <c r="H513" s="65"/>
      <c r="I513" s="65"/>
      <c r="J513" s="65"/>
      <c r="K513" s="65"/>
      <c r="L513" s="65"/>
      <c r="M513" s="65"/>
      <c r="N513" s="65"/>
      <c r="O513" s="65"/>
      <c r="P513" s="65"/>
      <c r="Q513" s="65"/>
    </row>
    <row r="514" spans="3:17">
      <c r="C514" s="65"/>
      <c r="D514" s="65"/>
      <c r="E514" s="65"/>
      <c r="F514" s="65"/>
      <c r="G514" s="65"/>
      <c r="H514" s="65"/>
      <c r="I514" s="65"/>
      <c r="J514" s="65"/>
      <c r="K514" s="65"/>
      <c r="L514" s="65"/>
      <c r="M514" s="65"/>
      <c r="N514" s="65"/>
      <c r="O514" s="65"/>
      <c r="P514" s="65"/>
      <c r="Q514" s="65"/>
    </row>
    <row r="515" spans="3:17">
      <c r="C515" s="65"/>
      <c r="D515" s="65"/>
      <c r="E515" s="65"/>
      <c r="F515" s="65"/>
      <c r="G515" s="65"/>
      <c r="H515" s="65"/>
      <c r="I515" s="65"/>
      <c r="J515" s="65"/>
      <c r="K515" s="65"/>
      <c r="L515" s="65"/>
      <c r="M515" s="65"/>
      <c r="N515" s="65"/>
      <c r="O515" s="65"/>
      <c r="P515" s="65"/>
      <c r="Q515" s="65"/>
    </row>
    <row r="516" spans="3:17">
      <c r="C516" s="65"/>
      <c r="D516" s="65"/>
      <c r="E516" s="65"/>
      <c r="F516" s="65"/>
      <c r="G516" s="65"/>
      <c r="H516" s="65"/>
      <c r="I516" s="65"/>
      <c r="J516" s="65"/>
      <c r="K516" s="65"/>
      <c r="L516" s="65"/>
      <c r="M516" s="65"/>
      <c r="N516" s="65"/>
      <c r="O516" s="65"/>
      <c r="P516" s="65"/>
      <c r="Q516" s="65"/>
    </row>
    <row r="517" spans="3:17">
      <c r="C517" s="65"/>
      <c r="D517" s="65"/>
      <c r="E517" s="65"/>
      <c r="F517" s="65"/>
      <c r="G517" s="65"/>
      <c r="H517" s="65"/>
      <c r="I517" s="65"/>
      <c r="J517" s="65"/>
      <c r="K517" s="65"/>
      <c r="L517" s="65"/>
      <c r="M517" s="65"/>
      <c r="N517" s="65"/>
      <c r="O517" s="65"/>
      <c r="P517" s="65"/>
      <c r="Q517" s="65"/>
    </row>
    <row r="518" spans="3:17">
      <c r="C518" s="65"/>
      <c r="D518" s="65"/>
      <c r="E518" s="65"/>
      <c r="F518" s="65"/>
      <c r="G518" s="65"/>
      <c r="H518" s="65"/>
      <c r="I518" s="65"/>
      <c r="J518" s="65"/>
      <c r="K518" s="65"/>
      <c r="L518" s="65"/>
      <c r="M518" s="65"/>
      <c r="N518" s="65"/>
      <c r="O518" s="65"/>
      <c r="P518" s="65"/>
      <c r="Q518" s="65"/>
    </row>
    <row r="519" spans="3:17">
      <c r="C519" s="65"/>
      <c r="D519" s="65"/>
      <c r="E519" s="65"/>
      <c r="F519" s="65"/>
      <c r="G519" s="65"/>
      <c r="H519" s="65"/>
      <c r="I519" s="65"/>
      <c r="J519" s="65"/>
      <c r="K519" s="65"/>
      <c r="L519" s="65"/>
      <c r="M519" s="65"/>
      <c r="N519" s="65"/>
      <c r="O519" s="65"/>
      <c r="P519" s="65"/>
      <c r="Q519" s="65"/>
    </row>
    <row r="520" spans="3:17">
      <c r="C520" s="65"/>
      <c r="D520" s="65"/>
      <c r="E520" s="65"/>
      <c r="F520" s="65"/>
      <c r="G520" s="65"/>
      <c r="H520" s="65"/>
      <c r="I520" s="65"/>
      <c r="J520" s="65"/>
      <c r="K520" s="65"/>
      <c r="L520" s="65"/>
      <c r="M520" s="65"/>
      <c r="N520" s="65"/>
      <c r="O520" s="65"/>
      <c r="P520" s="65"/>
      <c r="Q520" s="65"/>
    </row>
    <row r="521" spans="3:17">
      <c r="C521" s="65"/>
      <c r="D521" s="65"/>
      <c r="E521" s="65"/>
      <c r="F521" s="65"/>
      <c r="G521" s="65"/>
      <c r="H521" s="65"/>
      <c r="I521" s="65"/>
      <c r="J521" s="65"/>
      <c r="K521" s="65"/>
      <c r="L521" s="65"/>
      <c r="M521" s="65"/>
      <c r="N521" s="65"/>
      <c r="O521" s="65"/>
      <c r="P521" s="65"/>
      <c r="Q521" s="65"/>
    </row>
    <row r="522" spans="3:17">
      <c r="C522" s="65"/>
      <c r="D522" s="65"/>
      <c r="E522" s="65"/>
      <c r="F522" s="65"/>
      <c r="G522" s="65"/>
      <c r="H522" s="65"/>
      <c r="I522" s="65"/>
      <c r="J522" s="65"/>
      <c r="K522" s="65"/>
      <c r="L522" s="65"/>
      <c r="M522" s="65"/>
      <c r="N522" s="65"/>
      <c r="O522" s="65"/>
      <c r="P522" s="65"/>
      <c r="Q522" s="65"/>
    </row>
    <row r="523" spans="3:17">
      <c r="C523" s="65"/>
      <c r="D523" s="65"/>
      <c r="E523" s="65"/>
      <c r="F523" s="65"/>
      <c r="G523" s="65"/>
      <c r="H523" s="65"/>
      <c r="I523" s="65"/>
      <c r="J523" s="65"/>
      <c r="K523" s="65"/>
      <c r="L523" s="65"/>
      <c r="M523" s="65"/>
      <c r="N523" s="65"/>
      <c r="O523" s="65"/>
      <c r="P523" s="65"/>
      <c r="Q523" s="65"/>
    </row>
    <row r="524" spans="3:17">
      <c r="C524" s="65"/>
      <c r="D524" s="65"/>
      <c r="E524" s="65"/>
      <c r="F524" s="65"/>
      <c r="G524" s="65"/>
      <c r="H524" s="65"/>
      <c r="I524" s="65"/>
      <c r="J524" s="65"/>
      <c r="K524" s="65"/>
      <c r="L524" s="65"/>
      <c r="M524" s="65"/>
      <c r="N524" s="65"/>
      <c r="O524" s="65"/>
      <c r="P524" s="65"/>
      <c r="Q524" s="65"/>
    </row>
    <row r="525" spans="3:17">
      <c r="C525" s="65"/>
      <c r="D525" s="65"/>
      <c r="E525" s="65"/>
      <c r="F525" s="65"/>
      <c r="G525" s="65"/>
      <c r="H525" s="65"/>
      <c r="I525" s="65"/>
      <c r="J525" s="65"/>
      <c r="K525" s="65"/>
      <c r="L525" s="65"/>
      <c r="M525" s="65"/>
      <c r="N525" s="65"/>
      <c r="O525" s="65"/>
      <c r="P525" s="65"/>
      <c r="Q525" s="65"/>
    </row>
    <row r="526" spans="3:17">
      <c r="C526" s="65"/>
      <c r="D526" s="65"/>
      <c r="E526" s="65"/>
      <c r="F526" s="65"/>
      <c r="G526" s="65"/>
      <c r="H526" s="65"/>
      <c r="I526" s="65"/>
      <c r="J526" s="65"/>
      <c r="K526" s="65"/>
      <c r="L526" s="65"/>
      <c r="M526" s="65"/>
      <c r="N526" s="65"/>
      <c r="O526" s="65"/>
      <c r="P526" s="65"/>
      <c r="Q526" s="65"/>
    </row>
    <row r="527" spans="3:17">
      <c r="C527" s="65"/>
      <c r="D527" s="65"/>
      <c r="E527" s="65"/>
      <c r="F527" s="65"/>
      <c r="G527" s="65"/>
      <c r="H527" s="65"/>
      <c r="I527" s="65"/>
      <c r="J527" s="65"/>
      <c r="K527" s="65"/>
      <c r="L527" s="65"/>
      <c r="M527" s="65"/>
      <c r="N527" s="65"/>
      <c r="O527" s="65"/>
      <c r="P527" s="65"/>
      <c r="Q527" s="65"/>
    </row>
    <row r="528" spans="3:17">
      <c r="C528" s="65"/>
      <c r="D528" s="65"/>
      <c r="E528" s="65"/>
      <c r="F528" s="65"/>
      <c r="G528" s="65"/>
      <c r="H528" s="65"/>
      <c r="I528" s="65"/>
      <c r="J528" s="65"/>
      <c r="K528" s="65"/>
      <c r="L528" s="65"/>
      <c r="M528" s="65"/>
      <c r="N528" s="65"/>
      <c r="O528" s="65"/>
      <c r="P528" s="65"/>
      <c r="Q528" s="65"/>
    </row>
    <row r="529" spans="3:17">
      <c r="C529" s="65"/>
      <c r="D529" s="65"/>
      <c r="E529" s="65"/>
      <c r="F529" s="65"/>
      <c r="G529" s="65"/>
      <c r="H529" s="65"/>
      <c r="I529" s="65"/>
      <c r="J529" s="65"/>
      <c r="K529" s="65"/>
      <c r="L529" s="65"/>
      <c r="M529" s="65"/>
      <c r="N529" s="65"/>
      <c r="O529" s="65"/>
      <c r="P529" s="65"/>
      <c r="Q529" s="65"/>
    </row>
    <row r="530" spans="3:17">
      <c r="C530" s="65"/>
      <c r="D530" s="65"/>
      <c r="E530" s="65"/>
      <c r="F530" s="65"/>
      <c r="G530" s="65"/>
      <c r="H530" s="65"/>
      <c r="I530" s="65"/>
      <c r="J530" s="65"/>
      <c r="K530" s="65"/>
      <c r="L530" s="65"/>
      <c r="M530" s="65"/>
      <c r="N530" s="65"/>
      <c r="O530" s="65"/>
      <c r="P530" s="65"/>
      <c r="Q530" s="65"/>
    </row>
    <row r="531" spans="3:17">
      <c r="C531" s="65"/>
      <c r="D531" s="65"/>
      <c r="E531" s="65"/>
      <c r="F531" s="65"/>
      <c r="G531" s="65"/>
      <c r="H531" s="65"/>
      <c r="I531" s="65"/>
      <c r="J531" s="65"/>
      <c r="K531" s="65"/>
      <c r="L531" s="65"/>
      <c r="M531" s="65"/>
      <c r="N531" s="65"/>
      <c r="O531" s="65"/>
      <c r="P531" s="65"/>
      <c r="Q531" s="65"/>
    </row>
    <row r="532" spans="3:17">
      <c r="C532" s="65"/>
      <c r="D532" s="65"/>
      <c r="E532" s="65"/>
      <c r="F532" s="65"/>
      <c r="G532" s="65"/>
      <c r="H532" s="65"/>
      <c r="I532" s="65"/>
      <c r="J532" s="65"/>
      <c r="K532" s="65"/>
      <c r="L532" s="65"/>
      <c r="M532" s="65"/>
      <c r="N532" s="65"/>
      <c r="O532" s="65"/>
      <c r="P532" s="65"/>
      <c r="Q532" s="65"/>
    </row>
    <row r="533" spans="3:17">
      <c r="C533" s="65"/>
      <c r="D533" s="65"/>
      <c r="E533" s="65"/>
      <c r="F533" s="65"/>
      <c r="G533" s="65"/>
      <c r="H533" s="65"/>
      <c r="I533" s="65"/>
      <c r="J533" s="65"/>
      <c r="K533" s="65"/>
      <c r="L533" s="65"/>
      <c r="M533" s="65"/>
      <c r="N533" s="65"/>
      <c r="O533" s="65"/>
      <c r="P533" s="65"/>
      <c r="Q533" s="65"/>
    </row>
    <row r="534" spans="3:17">
      <c r="C534" s="65"/>
      <c r="D534" s="65"/>
      <c r="E534" s="65"/>
      <c r="F534" s="65"/>
      <c r="G534" s="65"/>
      <c r="H534" s="65"/>
      <c r="I534" s="65"/>
      <c r="J534" s="65"/>
      <c r="K534" s="65"/>
      <c r="L534" s="65"/>
      <c r="M534" s="65"/>
      <c r="N534" s="65"/>
      <c r="O534" s="65"/>
      <c r="P534" s="65"/>
      <c r="Q534" s="65"/>
    </row>
    <row r="535" spans="3:17">
      <c r="C535" s="65"/>
      <c r="D535" s="65"/>
      <c r="E535" s="65"/>
      <c r="F535" s="65"/>
      <c r="G535" s="65"/>
      <c r="H535" s="65"/>
      <c r="I535" s="65"/>
      <c r="J535" s="65"/>
      <c r="K535" s="65"/>
      <c r="L535" s="65"/>
      <c r="M535" s="65"/>
      <c r="N535" s="65"/>
      <c r="O535" s="65"/>
      <c r="P535" s="65"/>
      <c r="Q535" s="65"/>
    </row>
    <row r="536" spans="3:17">
      <c r="C536" s="65"/>
      <c r="D536" s="65"/>
      <c r="E536" s="65"/>
      <c r="F536" s="65"/>
      <c r="G536" s="65"/>
      <c r="H536" s="65"/>
      <c r="I536" s="65"/>
      <c r="J536" s="65"/>
      <c r="K536" s="65"/>
      <c r="L536" s="65"/>
      <c r="M536" s="65"/>
      <c r="N536" s="65"/>
      <c r="O536" s="65"/>
      <c r="P536" s="65"/>
      <c r="Q536" s="65"/>
    </row>
    <row r="537" spans="3:17">
      <c r="C537" s="65"/>
      <c r="D537" s="65"/>
      <c r="E537" s="65"/>
      <c r="F537" s="65"/>
      <c r="G537" s="65"/>
      <c r="H537" s="65"/>
      <c r="I537" s="65"/>
      <c r="J537" s="65"/>
      <c r="K537" s="65"/>
      <c r="L537" s="65"/>
      <c r="M537" s="65"/>
      <c r="N537" s="65"/>
      <c r="O537" s="65"/>
      <c r="P537" s="65"/>
      <c r="Q537" s="65"/>
    </row>
    <row r="538" spans="3:17">
      <c r="C538" s="65"/>
      <c r="D538" s="65"/>
      <c r="E538" s="65"/>
      <c r="F538" s="65"/>
      <c r="G538" s="65"/>
      <c r="H538" s="65"/>
      <c r="I538" s="65"/>
      <c r="J538" s="65"/>
      <c r="K538" s="65"/>
      <c r="L538" s="65"/>
      <c r="M538" s="65"/>
      <c r="N538" s="65"/>
      <c r="O538" s="65"/>
      <c r="P538" s="65"/>
      <c r="Q538" s="65"/>
    </row>
    <row r="539" spans="3:17">
      <c r="C539" s="65"/>
      <c r="D539" s="65"/>
      <c r="E539" s="65"/>
      <c r="F539" s="65"/>
      <c r="G539" s="65"/>
      <c r="H539" s="65"/>
      <c r="I539" s="65"/>
      <c r="J539" s="65"/>
      <c r="K539" s="65"/>
      <c r="L539" s="65"/>
      <c r="M539" s="65"/>
      <c r="N539" s="65"/>
      <c r="O539" s="65"/>
      <c r="P539" s="65"/>
      <c r="Q539" s="65"/>
    </row>
    <row r="540" spans="3:17">
      <c r="C540" s="65"/>
      <c r="D540" s="65"/>
      <c r="E540" s="65"/>
      <c r="F540" s="65"/>
      <c r="G540" s="65"/>
      <c r="H540" s="65"/>
      <c r="I540" s="65"/>
      <c r="J540" s="65"/>
      <c r="K540" s="65"/>
      <c r="L540" s="65"/>
      <c r="M540" s="65"/>
      <c r="N540" s="65"/>
      <c r="O540" s="65"/>
      <c r="P540" s="65"/>
      <c r="Q540" s="65"/>
    </row>
    <row r="541" spans="3:17">
      <c r="C541" s="65"/>
      <c r="D541" s="65"/>
      <c r="E541" s="65"/>
      <c r="F541" s="65"/>
      <c r="G541" s="65"/>
      <c r="H541" s="65"/>
      <c r="I541" s="65"/>
      <c r="J541" s="65"/>
      <c r="K541" s="65"/>
      <c r="L541" s="65"/>
      <c r="M541" s="65"/>
      <c r="N541" s="65"/>
      <c r="O541" s="65"/>
      <c r="P541" s="65"/>
      <c r="Q541" s="65"/>
    </row>
  </sheetData>
  <mergeCells count="3">
    <mergeCell ref="L4:M4"/>
    <mergeCell ref="C311:L311"/>
    <mergeCell ref="C308:L309"/>
  </mergeCells>
  <phoneticPr fontId="0" type="noConversion"/>
  <pageMargins left="0.52" right="0.25" top="0.77" bottom="0.75" header="0.5" footer="0.5"/>
  <pageSetup scale="43" fitToHeight="6" orientation="portrait" r:id="rId1"/>
  <headerFooter alignWithMargins="0">
    <oddHeader xml:space="preserve">&amp;R&amp;"Times New Roman,Regular"
</oddHeader>
  </headerFooter>
  <rowBreaks count="4" manualBreakCount="4">
    <brk id="62" max="16383" man="1"/>
    <brk id="126" max="16383" man="1"/>
    <brk id="201" max="12"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65"/>
  <sheetViews>
    <sheetView view="pageBreakPreview" topLeftCell="A13" zoomScale="75" zoomScaleNormal="100" zoomScaleSheetLayoutView="75" workbookViewId="0">
      <selection sqref="A1:D1"/>
    </sheetView>
  </sheetViews>
  <sheetFormatPr defaultColWidth="8.90625" defaultRowHeight="15.6"/>
  <cols>
    <col min="1" max="1" width="7.36328125" style="202" customWidth="1"/>
    <col min="2" max="2" width="57.81640625" style="202" customWidth="1"/>
    <col min="3" max="3" width="28.36328125" style="202" customWidth="1"/>
    <col min="4" max="4" width="10.90625" style="203" bestFit="1" customWidth="1"/>
    <col min="5" max="5" width="9.36328125" style="202" bestFit="1" customWidth="1"/>
    <col min="6" max="6" width="8.90625" style="202"/>
    <col min="7" max="16384" width="8.90625" style="170"/>
  </cols>
  <sheetData>
    <row r="1" spans="1:7">
      <c r="A1" s="1470" t="s">
        <v>27</v>
      </c>
      <c r="B1" s="1470"/>
      <c r="C1" s="1470"/>
      <c r="D1" s="1470"/>
    </row>
    <row r="2" spans="1:7">
      <c r="A2" s="1470" t="str">
        <f>'Appendix A'!$E$9</f>
        <v>New York Transco LLC</v>
      </c>
      <c r="B2" s="1470"/>
      <c r="C2" s="1470"/>
      <c r="D2" s="1470"/>
    </row>
    <row r="5" spans="1:7">
      <c r="A5" s="207"/>
      <c r="B5" s="215" t="s">
        <v>913</v>
      </c>
      <c r="C5" s="202" t="s">
        <v>440</v>
      </c>
    </row>
    <row r="6" spans="1:7">
      <c r="A6" s="207">
        <v>1</v>
      </c>
      <c r="B6" s="211" t="s">
        <v>315</v>
      </c>
      <c r="D6" s="209">
        <v>0</v>
      </c>
    </row>
    <row r="7" spans="1:7">
      <c r="A7" s="207"/>
      <c r="C7" s="211"/>
      <c r="D7" s="217"/>
      <c r="E7" s="207"/>
      <c r="G7" s="216"/>
    </row>
    <row r="8" spans="1:7">
      <c r="A8" s="207"/>
      <c r="B8" s="1224" t="s">
        <v>914</v>
      </c>
      <c r="C8" s="202" t="s">
        <v>440</v>
      </c>
      <c r="E8" s="207"/>
      <c r="G8" s="214"/>
    </row>
    <row r="9" spans="1:7">
      <c r="A9" s="527">
        <f>+A6+1</f>
        <v>2</v>
      </c>
      <c r="B9" s="211" t="s">
        <v>316</v>
      </c>
      <c r="C9" s="211"/>
      <c r="D9" s="209">
        <v>0</v>
      </c>
      <c r="E9" s="207"/>
      <c r="G9" s="214"/>
    </row>
    <row r="10" spans="1:7">
      <c r="A10" s="527">
        <f>+A9+1</f>
        <v>3</v>
      </c>
      <c r="B10" s="211" t="s">
        <v>438</v>
      </c>
      <c r="C10" s="208"/>
      <c r="D10" s="209">
        <v>0</v>
      </c>
      <c r="E10" s="207"/>
      <c r="F10" s="207"/>
      <c r="G10" s="212"/>
    </row>
    <row r="11" spans="1:7">
      <c r="A11" s="527">
        <f>+A10+1</f>
        <v>4</v>
      </c>
      <c r="B11" s="211" t="s">
        <v>206</v>
      </c>
      <c r="C11" s="207"/>
      <c r="D11" s="209">
        <v>0</v>
      </c>
      <c r="E11" s="207"/>
    </row>
    <row r="12" spans="1:7">
      <c r="A12" s="527">
        <f>+A11+1</f>
        <v>5</v>
      </c>
      <c r="B12" s="211" t="s">
        <v>439</v>
      </c>
      <c r="C12" s="207"/>
      <c r="D12" s="209">
        <v>0</v>
      </c>
      <c r="E12" s="207"/>
    </row>
    <row r="13" spans="1:7">
      <c r="A13" s="207"/>
      <c r="B13" s="211"/>
      <c r="D13" s="210"/>
      <c r="E13" s="207"/>
    </row>
    <row r="14" spans="1:7">
      <c r="A14" s="207">
        <f>+A12+1</f>
        <v>6</v>
      </c>
      <c r="B14" s="211" t="s">
        <v>205</v>
      </c>
      <c r="C14" s="202" t="str">
        <f>"Sum lines "&amp;A9&amp;"-"&amp;A12&amp;" + line "&amp;A6&amp;""</f>
        <v>Sum lines 2-5 + line 1</v>
      </c>
      <c r="D14" s="206">
        <f>SUM(D9:D13)+D6</f>
        <v>0</v>
      </c>
      <c r="E14" s="207"/>
    </row>
    <row r="15" spans="1:7">
      <c r="A15" s="207"/>
      <c r="C15" s="207"/>
      <c r="D15" s="206"/>
      <c r="E15" s="207"/>
    </row>
    <row r="16" spans="1:7">
      <c r="A16" s="207"/>
      <c r="B16" s="207"/>
      <c r="D16" s="1225"/>
      <c r="E16" s="679"/>
    </row>
    <row r="17" spans="1:8" s="204" customFormat="1">
      <c r="A17" s="207"/>
      <c r="B17" s="207"/>
      <c r="C17" s="207"/>
      <c r="D17" s="1227"/>
      <c r="E17" s="210"/>
      <c r="F17" s="1228"/>
    </row>
    <row r="18" spans="1:8" ht="82.5" customHeight="1">
      <c r="A18" s="527" t="s">
        <v>204</v>
      </c>
      <c r="B18" s="1471" t="s">
        <v>556</v>
      </c>
      <c r="C18" s="1471"/>
      <c r="D18" s="1471"/>
      <c r="E18" s="1471"/>
      <c r="F18" s="1471"/>
    </row>
    <row r="19" spans="1:8" ht="38.25" customHeight="1">
      <c r="A19" s="527" t="s">
        <v>203</v>
      </c>
      <c r="B19" s="1471" t="s">
        <v>327</v>
      </c>
      <c r="C19" s="1471"/>
      <c r="D19" s="1471"/>
      <c r="E19" s="1471"/>
      <c r="F19" s="1471"/>
    </row>
    <row r="20" spans="1:8">
      <c r="A20" s="207"/>
      <c r="B20" s="207"/>
    </row>
    <row r="21" spans="1:8">
      <c r="A21" s="527" t="s">
        <v>441</v>
      </c>
      <c r="B21" s="207" t="s">
        <v>202</v>
      </c>
      <c r="C21" s="207"/>
      <c r="D21" s="206"/>
    </row>
    <row r="22" spans="1:8">
      <c r="A22" s="826"/>
      <c r="B22" s="826"/>
      <c r="C22" s="826"/>
      <c r="D22" s="826"/>
      <c r="E22" s="826"/>
      <c r="F22" s="826"/>
      <c r="G22" s="546"/>
      <c r="H22" s="546"/>
    </row>
    <row r="23" spans="1:8">
      <c r="A23" s="1229" t="s">
        <v>328</v>
      </c>
      <c r="B23" s="826"/>
      <c r="C23" s="826"/>
      <c r="D23" s="826"/>
      <c r="E23" s="826"/>
      <c r="F23" s="1230"/>
      <c r="G23" s="547"/>
      <c r="H23" s="547"/>
    </row>
    <row r="24" spans="1:8">
      <c r="A24" s="1231">
        <v>1</v>
      </c>
      <c r="B24" s="207" t="s">
        <v>0</v>
      </c>
      <c r="C24" s="1232" t="s">
        <v>329</v>
      </c>
      <c r="D24" s="1232" t="s">
        <v>512</v>
      </c>
      <c r="E24" s="1232" t="s">
        <v>335</v>
      </c>
      <c r="F24" s="1232" t="s">
        <v>336</v>
      </c>
    </row>
    <row r="25" spans="1:8">
      <c r="A25" s="1233" t="s">
        <v>337</v>
      </c>
      <c r="B25" s="1234" t="s">
        <v>330</v>
      </c>
      <c r="C25" s="1168">
        <f>SUM(D25:F25)</f>
        <v>0</v>
      </c>
      <c r="D25" s="1235">
        <v>0</v>
      </c>
      <c r="E25" s="1235">
        <v>0</v>
      </c>
      <c r="F25" s="1235">
        <v>0</v>
      </c>
    </row>
    <row r="26" spans="1:8">
      <c r="A26" s="1233" t="s">
        <v>416</v>
      </c>
      <c r="B26" s="1234"/>
      <c r="C26" s="1168">
        <f>SUM(D26:F26)</f>
        <v>0</v>
      </c>
      <c r="D26" s="1235">
        <v>0</v>
      </c>
      <c r="E26" s="1235">
        <v>0</v>
      </c>
      <c r="F26" s="1235">
        <v>0</v>
      </c>
    </row>
    <row r="27" spans="1:8">
      <c r="A27" s="1233" t="s">
        <v>340</v>
      </c>
      <c r="B27" s="1234" t="s">
        <v>331</v>
      </c>
      <c r="C27" s="1168">
        <f>SUM(D27:F27)</f>
        <v>0</v>
      </c>
      <c r="D27" s="1235">
        <v>0</v>
      </c>
      <c r="E27" s="1235">
        <v>0</v>
      </c>
      <c r="F27" s="1235">
        <v>0</v>
      </c>
    </row>
    <row r="28" spans="1:8">
      <c r="A28" s="1233">
        <v>2</v>
      </c>
      <c r="B28" s="1234" t="s">
        <v>332</v>
      </c>
      <c r="C28" s="1168">
        <f>SUM(D28:F28)</f>
        <v>0</v>
      </c>
      <c r="D28" s="1235">
        <v>0</v>
      </c>
      <c r="E28" s="1235">
        <v>0</v>
      </c>
      <c r="F28" s="1235">
        <v>0</v>
      </c>
    </row>
    <row r="29" spans="1:8">
      <c r="A29" s="1231">
        <v>3</v>
      </c>
      <c r="B29" s="1236" t="s">
        <v>42</v>
      </c>
      <c r="C29" s="1237">
        <f>SUM(C25:C28)</f>
        <v>0</v>
      </c>
      <c r="D29" s="1237">
        <f t="shared" ref="D29:F29" si="0">SUM(D25:D28)</f>
        <v>0</v>
      </c>
      <c r="E29" s="1237">
        <f t="shared" si="0"/>
        <v>0</v>
      </c>
      <c r="F29" s="1237">
        <f t="shared" si="0"/>
        <v>0</v>
      </c>
    </row>
    <row r="30" spans="1:8">
      <c r="A30" s="1231">
        <v>4</v>
      </c>
      <c r="B30" s="1236" t="s">
        <v>333</v>
      </c>
      <c r="C30" s="1168"/>
      <c r="D30" s="1168"/>
      <c r="E30" s="1168"/>
      <c r="F30" s="1168"/>
    </row>
    <row r="31" spans="1:8">
      <c r="A31" s="1231">
        <v>5</v>
      </c>
      <c r="B31" s="1236" t="s">
        <v>339</v>
      </c>
      <c r="C31" s="1168">
        <f>SUM(D31:F31)</f>
        <v>0</v>
      </c>
      <c r="D31" s="1235">
        <v>0</v>
      </c>
      <c r="E31" s="1235">
        <v>0</v>
      </c>
      <c r="F31" s="1235">
        <v>0</v>
      </c>
    </row>
    <row r="32" spans="1:8">
      <c r="A32" s="1231">
        <v>6</v>
      </c>
      <c r="B32" s="1238" t="s">
        <v>334</v>
      </c>
      <c r="C32" s="1237">
        <f>+C29-C31</f>
        <v>0</v>
      </c>
      <c r="D32" s="1237">
        <f>+D29-D31</f>
        <v>0</v>
      </c>
      <c r="E32" s="1237">
        <f>+E29-E31</f>
        <v>0</v>
      </c>
      <c r="F32" s="1237">
        <f>+F29-F31</f>
        <v>0</v>
      </c>
    </row>
    <row r="33" spans="1:8">
      <c r="A33" s="1231">
        <v>7</v>
      </c>
      <c r="B33" s="1236" t="s">
        <v>338</v>
      </c>
      <c r="C33" s="1235">
        <v>0</v>
      </c>
      <c r="D33" s="1235">
        <v>0</v>
      </c>
      <c r="E33" s="1235">
        <v>0</v>
      </c>
      <c r="F33" s="1235">
        <v>0</v>
      </c>
    </row>
    <row r="34" spans="1:8">
      <c r="A34" s="679">
        <v>8</v>
      </c>
      <c r="B34" s="202" t="str">
        <f>+B46</f>
        <v>Total</v>
      </c>
      <c r="C34" s="1311">
        <f>+C32+C33</f>
        <v>0</v>
      </c>
      <c r="D34" s="1311">
        <f>+D32+D33</f>
        <v>0</v>
      </c>
      <c r="E34" s="1311">
        <f>+E32+E33</f>
        <v>0</v>
      </c>
      <c r="F34" s="1311">
        <f>+F32+F33</f>
        <v>0</v>
      </c>
      <c r="G34" s="213"/>
      <c r="H34" s="213"/>
    </row>
    <row r="35" spans="1:8">
      <c r="A35" s="679"/>
      <c r="G35" s="213"/>
      <c r="H35" s="213"/>
    </row>
    <row r="36" spans="1:8">
      <c r="A36" s="679">
        <v>9</v>
      </c>
      <c r="B36" s="207" t="s">
        <v>201</v>
      </c>
      <c r="C36" s="1239" t="s">
        <v>83</v>
      </c>
      <c r="D36" s="202"/>
      <c r="G36" s="213"/>
      <c r="H36" s="213"/>
    </row>
    <row r="37" spans="1:8">
      <c r="A37" s="679" t="s">
        <v>341</v>
      </c>
      <c r="B37" s="1240" t="s">
        <v>200</v>
      </c>
      <c r="C37" s="209">
        <v>0</v>
      </c>
      <c r="D37" s="202"/>
      <c r="G37" s="213"/>
      <c r="H37" s="213"/>
    </row>
    <row r="38" spans="1:8">
      <c r="A38" s="679" t="s">
        <v>342</v>
      </c>
      <c r="B38" s="1240" t="s">
        <v>207</v>
      </c>
      <c r="C38" s="209">
        <v>0</v>
      </c>
      <c r="D38" s="202"/>
      <c r="G38" s="213"/>
      <c r="H38" s="213"/>
    </row>
    <row r="39" spans="1:8">
      <c r="A39" s="679" t="s">
        <v>343</v>
      </c>
      <c r="B39" s="1240" t="s">
        <v>199</v>
      </c>
      <c r="C39" s="209">
        <v>0</v>
      </c>
      <c r="D39" s="202"/>
      <c r="G39" s="213"/>
      <c r="H39" s="213"/>
    </row>
    <row r="40" spans="1:8">
      <c r="A40" s="679" t="s">
        <v>344</v>
      </c>
      <c r="B40" s="1240" t="s">
        <v>198</v>
      </c>
      <c r="C40" s="209">
        <v>0</v>
      </c>
      <c r="D40" s="202"/>
      <c r="G40" s="213"/>
      <c r="H40" s="213"/>
    </row>
    <row r="41" spans="1:8">
      <c r="A41" s="679" t="s">
        <v>345</v>
      </c>
      <c r="B41" s="1240" t="s">
        <v>197</v>
      </c>
      <c r="C41" s="209">
        <v>0</v>
      </c>
      <c r="D41" s="202"/>
      <c r="G41" s="213"/>
      <c r="H41" s="213"/>
    </row>
    <row r="42" spans="1:8">
      <c r="A42" s="679" t="s">
        <v>346</v>
      </c>
      <c r="B42" s="1240"/>
      <c r="C42" s="209">
        <v>0</v>
      </c>
      <c r="D42" s="202"/>
      <c r="G42" s="213"/>
      <c r="H42" s="213"/>
    </row>
    <row r="43" spans="1:8">
      <c r="A43" s="679" t="s">
        <v>347</v>
      </c>
      <c r="B43" s="1240"/>
      <c r="C43" s="209">
        <v>0</v>
      </c>
      <c r="D43" s="202"/>
      <c r="G43" s="213"/>
      <c r="H43" s="213"/>
    </row>
    <row r="44" spans="1:8">
      <c r="A44" s="679" t="s">
        <v>416</v>
      </c>
      <c r="B44" s="1240"/>
      <c r="C44" s="209"/>
      <c r="D44" s="202"/>
      <c r="G44" s="213"/>
      <c r="H44" s="213"/>
    </row>
    <row r="45" spans="1:8">
      <c r="A45" s="679" t="s">
        <v>348</v>
      </c>
      <c r="B45" s="1240"/>
      <c r="C45" s="209">
        <v>0</v>
      </c>
      <c r="D45" s="202"/>
      <c r="G45" s="213"/>
      <c r="H45" s="213"/>
    </row>
    <row r="46" spans="1:8">
      <c r="A46" s="679">
        <v>10</v>
      </c>
      <c r="B46" s="1240" t="s">
        <v>42</v>
      </c>
      <c r="C46" s="1241">
        <f>SUM(C37:C45)</f>
        <v>0</v>
      </c>
      <c r="D46" s="202"/>
      <c r="G46" s="213"/>
      <c r="H46" s="213"/>
    </row>
    <row r="47" spans="1:8">
      <c r="G47" s="213"/>
      <c r="H47" s="213"/>
    </row>
    <row r="48" spans="1:8" ht="99" customHeight="1">
      <c r="A48" s="527"/>
      <c r="B48" s="1469"/>
      <c r="C48" s="1469"/>
      <c r="D48" s="1469"/>
      <c r="E48" s="1469"/>
      <c r="F48" s="1469"/>
    </row>
    <row r="123" spans="4:4">
      <c r="D123" s="1226"/>
    </row>
    <row r="242" spans="7:7">
      <c r="G242" s="202"/>
    </row>
    <row r="243" spans="7:7" ht="99.75" customHeight="1">
      <c r="G243" s="202"/>
    </row>
    <row r="244" spans="7:7">
      <c r="G244" s="202"/>
    </row>
    <row r="245" spans="7:7">
      <c r="G245" s="202"/>
    </row>
    <row r="246" spans="7:7">
      <c r="G246" s="202"/>
    </row>
    <row r="247" spans="7:7">
      <c r="G247" s="202"/>
    </row>
    <row r="248" spans="7:7">
      <c r="G248" s="202"/>
    </row>
    <row r="249" spans="7:7">
      <c r="G249" s="202"/>
    </row>
    <row r="250" spans="7:7">
      <c r="G250" s="202"/>
    </row>
    <row r="251" spans="7:7">
      <c r="G251" s="202"/>
    </row>
    <row r="252" spans="7:7">
      <c r="G252" s="202"/>
    </row>
    <row r="253" spans="7:7">
      <c r="G253" s="202"/>
    </row>
    <row r="254" spans="7:7">
      <c r="G254" s="202"/>
    </row>
    <row r="255" spans="7:7">
      <c r="G255" s="202"/>
    </row>
    <row r="256" spans="7:7">
      <c r="G256" s="202"/>
    </row>
    <row r="257" spans="7:7">
      <c r="G257" s="202"/>
    </row>
    <row r="258" spans="7:7">
      <c r="G258" s="202"/>
    </row>
    <row r="259" spans="7:7">
      <c r="G259" s="202"/>
    </row>
    <row r="260" spans="7:7">
      <c r="G260" s="202"/>
    </row>
    <row r="261" spans="7:7">
      <c r="G261" s="202"/>
    </row>
    <row r="262" spans="7:7">
      <c r="G262" s="202"/>
    </row>
    <row r="263" spans="7:7">
      <c r="G263" s="202"/>
    </row>
    <row r="264" spans="7:7" ht="40.5" customHeight="1">
      <c r="G264" s="202"/>
    </row>
    <row r="265" spans="7:7">
      <c r="G265" s="202"/>
    </row>
  </sheetData>
  <mergeCells count="5">
    <mergeCell ref="B48:F48"/>
    <mergeCell ref="A1:D1"/>
    <mergeCell ref="A2:D2"/>
    <mergeCell ref="B18:F18"/>
    <mergeCell ref="B19:F19"/>
  </mergeCells>
  <phoneticPr fontId="0" type="noConversion"/>
  <pageMargins left="0.75" right="0.75" top="1.28" bottom="1" header="0.5" footer="0.5"/>
  <pageSetup scale="60"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96"/>
  <sheetViews>
    <sheetView view="pageBreakPreview" topLeftCell="A28" zoomScale="85" zoomScaleNormal="100" zoomScaleSheetLayoutView="85" workbookViewId="0">
      <selection activeCell="F131" sqref="F131"/>
    </sheetView>
  </sheetViews>
  <sheetFormatPr defaultColWidth="8.90625" defaultRowHeight="15.6"/>
  <cols>
    <col min="1" max="1" width="5" style="679" customWidth="1"/>
    <col min="2" max="2" width="3.36328125" style="202" customWidth="1"/>
    <col min="3" max="3" width="48.36328125" style="202" customWidth="1"/>
    <col min="4" max="4" width="21" style="202" customWidth="1"/>
    <col min="5" max="5" width="13.6328125" style="202" customWidth="1"/>
    <col min="6" max="6" width="18.08984375" style="202" customWidth="1"/>
    <col min="7" max="7" width="15.36328125" style="213" customWidth="1"/>
    <col min="8" max="8" width="11.90625" style="1010" customWidth="1"/>
    <col min="9" max="9" width="13" style="213" customWidth="1"/>
    <col min="10" max="10" width="10.6328125" style="213" customWidth="1"/>
    <col min="11" max="11" width="9" style="213" customWidth="1"/>
    <col min="12" max="13" width="7.54296875" style="213" customWidth="1"/>
    <col min="14" max="16384" width="8.90625" style="213"/>
  </cols>
  <sheetData>
    <row r="1" spans="1:13" ht="22.5" customHeight="1">
      <c r="A1" s="1470" t="s">
        <v>418</v>
      </c>
      <c r="B1" s="1470"/>
      <c r="C1" s="1470"/>
      <c r="D1" s="1470"/>
      <c r="E1" s="1470"/>
      <c r="F1" s="1470"/>
      <c r="G1" s="877"/>
      <c r="H1" s="1009"/>
      <c r="I1" s="877"/>
      <c r="J1" s="877"/>
      <c r="K1" s="877"/>
      <c r="L1" s="877"/>
      <c r="M1" s="877"/>
    </row>
    <row r="2" spans="1:13" ht="17.399999999999999">
      <c r="A2" s="1470" t="str">
        <f>'Appendix A'!$E$9</f>
        <v>New York Transco LLC</v>
      </c>
      <c r="B2" s="1470"/>
      <c r="C2" s="1470"/>
      <c r="D2" s="1470"/>
      <c r="E2" s="1470"/>
      <c r="F2" s="1470"/>
      <c r="G2" s="877"/>
      <c r="H2" s="1009"/>
      <c r="I2" s="877"/>
      <c r="J2" s="877"/>
      <c r="K2" s="877"/>
      <c r="L2" s="877"/>
      <c r="M2" s="877"/>
    </row>
    <row r="4" spans="1:13" ht="16.2" thickBot="1">
      <c r="A4" s="680" t="s">
        <v>196</v>
      </c>
    </row>
    <row r="5" spans="1:13">
      <c r="A5" s="1474"/>
      <c r="B5" s="1475"/>
      <c r="C5" s="1475"/>
      <c r="D5" s="1475"/>
      <c r="E5" s="1475"/>
      <c r="F5" s="1476"/>
      <c r="G5" s="871"/>
      <c r="H5" s="1011"/>
      <c r="I5" s="871"/>
      <c r="J5" s="1472"/>
      <c r="K5" s="1473"/>
      <c r="L5" s="1473"/>
      <c r="M5" s="1473"/>
    </row>
    <row r="6" spans="1:13">
      <c r="A6" s="681">
        <v>1</v>
      </c>
      <c r="B6" s="682"/>
      <c r="C6" s="683" t="s">
        <v>195</v>
      </c>
      <c r="D6" s="271" t="s">
        <v>632</v>
      </c>
      <c r="E6" s="684" t="s">
        <v>156</v>
      </c>
      <c r="F6" s="1243" t="s">
        <v>151</v>
      </c>
      <c r="G6" s="872"/>
      <c r="H6" s="1012"/>
      <c r="I6" s="230"/>
      <c r="J6" s="229"/>
      <c r="K6" s="229"/>
      <c r="L6" s="229"/>
      <c r="M6" s="229"/>
    </row>
    <row r="7" spans="1:13">
      <c r="A7" s="681">
        <f t="shared" ref="A7:A20" si="0">+A6+1</f>
        <v>2</v>
      </c>
      <c r="B7" s="252"/>
      <c r="C7" s="252" t="s">
        <v>164</v>
      </c>
      <c r="D7" s="678" t="s">
        <v>194</v>
      </c>
      <c r="E7" s="1439">
        <v>2016</v>
      </c>
      <c r="F7" s="1244">
        <v>0</v>
      </c>
      <c r="G7" s="873"/>
      <c r="H7" s="1013"/>
      <c r="I7" s="231"/>
      <c r="J7" s="229"/>
      <c r="K7" s="229"/>
      <c r="L7" s="229"/>
      <c r="M7" s="229"/>
    </row>
    <row r="8" spans="1:13">
      <c r="A8" s="681">
        <f t="shared" si="0"/>
        <v>3</v>
      </c>
      <c r="B8" s="682"/>
      <c r="C8" s="1245" t="s">
        <v>174</v>
      </c>
      <c r="D8" s="271" t="s">
        <v>165</v>
      </c>
      <c r="E8" s="1439">
        <f>E7</f>
        <v>2016</v>
      </c>
      <c r="F8" s="1244">
        <v>0</v>
      </c>
      <c r="G8" s="874"/>
      <c r="H8" s="1012"/>
      <c r="I8" s="230"/>
      <c r="J8" s="229"/>
      <c r="K8" s="229"/>
      <c r="L8" s="229"/>
      <c r="M8" s="229"/>
    </row>
    <row r="9" spans="1:13">
      <c r="A9" s="681">
        <f t="shared" si="0"/>
        <v>4</v>
      </c>
      <c r="B9" s="1246"/>
      <c r="C9" s="1247" t="s">
        <v>173</v>
      </c>
      <c r="D9" s="271" t="s">
        <v>165</v>
      </c>
      <c r="E9" s="1439">
        <f>+$E$8</f>
        <v>2016</v>
      </c>
      <c r="F9" s="1244">
        <v>0</v>
      </c>
      <c r="G9" s="873"/>
      <c r="H9" s="1013"/>
      <c r="I9" s="227"/>
      <c r="J9" s="229"/>
      <c r="K9" s="229"/>
      <c r="L9" s="229"/>
      <c r="M9" s="229"/>
    </row>
    <row r="10" spans="1:13">
      <c r="A10" s="681">
        <f t="shared" si="0"/>
        <v>5</v>
      </c>
      <c r="B10" s="1246"/>
      <c r="C10" s="1247" t="s">
        <v>172</v>
      </c>
      <c r="D10" s="271" t="s">
        <v>165</v>
      </c>
      <c r="E10" s="1439">
        <f t="shared" ref="E10:E19" si="1">+$E$8</f>
        <v>2016</v>
      </c>
      <c r="F10" s="1244">
        <v>0</v>
      </c>
      <c r="G10" s="873"/>
      <c r="H10" s="1013"/>
      <c r="I10" s="227"/>
      <c r="J10" s="229"/>
      <c r="K10" s="229"/>
      <c r="L10" s="229"/>
      <c r="M10" s="229"/>
    </row>
    <row r="11" spans="1:13">
      <c r="A11" s="681">
        <f t="shared" si="0"/>
        <v>6</v>
      </c>
      <c r="B11" s="271"/>
      <c r="C11" s="1245" t="s">
        <v>155</v>
      </c>
      <c r="D11" s="271" t="s">
        <v>165</v>
      </c>
      <c r="E11" s="1439">
        <f t="shared" si="1"/>
        <v>2016</v>
      </c>
      <c r="F11" s="1244">
        <v>0</v>
      </c>
      <c r="G11" s="873"/>
      <c r="H11" s="1013"/>
      <c r="I11" s="227"/>
      <c r="J11" s="229"/>
      <c r="K11" s="229"/>
      <c r="L11" s="229"/>
      <c r="M11" s="229"/>
    </row>
    <row r="12" spans="1:13">
      <c r="A12" s="681">
        <f t="shared" si="0"/>
        <v>7</v>
      </c>
      <c r="B12" s="682"/>
      <c r="C12" s="1247" t="s">
        <v>152</v>
      </c>
      <c r="D12" s="271" t="s">
        <v>165</v>
      </c>
      <c r="E12" s="1439">
        <f t="shared" si="1"/>
        <v>2016</v>
      </c>
      <c r="F12" s="1244">
        <v>0</v>
      </c>
      <c r="G12" s="244"/>
      <c r="H12" s="1012"/>
      <c r="I12" s="230"/>
      <c r="J12" s="230"/>
      <c r="K12" s="230"/>
      <c r="L12" s="230"/>
      <c r="M12" s="230"/>
    </row>
    <row r="13" spans="1:13">
      <c r="A13" s="681">
        <f t="shared" si="0"/>
        <v>8</v>
      </c>
      <c r="B13" s="271"/>
      <c r="C13" s="1247" t="s">
        <v>171</v>
      </c>
      <c r="D13" s="271" t="s">
        <v>165</v>
      </c>
      <c r="E13" s="1439">
        <v>2015</v>
      </c>
      <c r="F13" s="1244">
        <f>123000000-88000000+64000000-35000000</f>
        <v>64000000</v>
      </c>
      <c r="G13" s="873"/>
      <c r="H13" s="1013"/>
      <c r="I13" s="231"/>
      <c r="J13" s="229"/>
      <c r="K13" s="229"/>
      <c r="L13" s="229"/>
      <c r="M13" s="229"/>
    </row>
    <row r="14" spans="1:13">
      <c r="A14" s="681">
        <f t="shared" si="0"/>
        <v>9</v>
      </c>
      <c r="B14" s="682"/>
      <c r="C14" s="1245" t="s">
        <v>170</v>
      </c>
      <c r="D14" s="271" t="s">
        <v>165</v>
      </c>
      <c r="E14" s="1439">
        <f t="shared" si="1"/>
        <v>2016</v>
      </c>
      <c r="F14" s="1244">
        <f>F13</f>
        <v>64000000</v>
      </c>
      <c r="G14" s="874"/>
      <c r="H14" s="1012"/>
      <c r="I14" s="230"/>
      <c r="J14" s="229"/>
      <c r="K14" s="229"/>
      <c r="L14" s="229"/>
      <c r="M14" s="229"/>
    </row>
    <row r="15" spans="1:13">
      <c r="A15" s="681">
        <f t="shared" si="0"/>
        <v>10</v>
      </c>
      <c r="B15" s="1246"/>
      <c r="C15" s="1247" t="s">
        <v>169</v>
      </c>
      <c r="D15" s="271" t="s">
        <v>165</v>
      </c>
      <c r="E15" s="1439">
        <f t="shared" si="1"/>
        <v>2016</v>
      </c>
      <c r="F15" s="1244">
        <f t="shared" ref="F15:F19" si="2">F14</f>
        <v>64000000</v>
      </c>
      <c r="G15" s="873"/>
      <c r="H15" s="1013"/>
      <c r="I15" s="227"/>
      <c r="J15" s="229"/>
      <c r="K15" s="229"/>
      <c r="L15" s="229"/>
      <c r="M15" s="229"/>
    </row>
    <row r="16" spans="1:13">
      <c r="A16" s="681">
        <f t="shared" si="0"/>
        <v>11</v>
      </c>
      <c r="B16" s="1246"/>
      <c r="C16" s="1247" t="s">
        <v>168</v>
      </c>
      <c r="D16" s="271" t="s">
        <v>165</v>
      </c>
      <c r="E16" s="1439">
        <f t="shared" si="1"/>
        <v>2016</v>
      </c>
      <c r="F16" s="1244">
        <f t="shared" si="2"/>
        <v>64000000</v>
      </c>
      <c r="G16" s="873"/>
      <c r="H16" s="1013"/>
      <c r="I16" s="227"/>
      <c r="J16" s="229"/>
      <c r="K16" s="229"/>
      <c r="L16" s="229"/>
      <c r="M16" s="229"/>
    </row>
    <row r="17" spans="1:13">
      <c r="A17" s="681">
        <f t="shared" si="0"/>
        <v>12</v>
      </c>
      <c r="B17" s="271"/>
      <c r="C17" s="1245" t="s">
        <v>167</v>
      </c>
      <c r="D17" s="271" t="s">
        <v>165</v>
      </c>
      <c r="E17" s="1439">
        <f t="shared" si="1"/>
        <v>2016</v>
      </c>
      <c r="F17" s="1244">
        <f t="shared" si="2"/>
        <v>64000000</v>
      </c>
      <c r="G17" s="873"/>
      <c r="H17" s="1013"/>
      <c r="I17" s="227"/>
      <c r="J17" s="229"/>
      <c r="K17" s="229"/>
      <c r="L17" s="229"/>
      <c r="M17" s="229"/>
    </row>
    <row r="18" spans="1:13">
      <c r="A18" s="681">
        <f t="shared" si="0"/>
        <v>13</v>
      </c>
      <c r="B18" s="271"/>
      <c r="C18" s="1245" t="s">
        <v>166</v>
      </c>
      <c r="D18" s="271" t="s">
        <v>165</v>
      </c>
      <c r="E18" s="1439">
        <f t="shared" si="1"/>
        <v>2016</v>
      </c>
      <c r="F18" s="1244">
        <f t="shared" si="2"/>
        <v>64000000</v>
      </c>
      <c r="G18" s="873"/>
      <c r="H18" s="1013"/>
      <c r="I18" s="227"/>
      <c r="J18" s="229"/>
      <c r="K18" s="229"/>
      <c r="L18" s="229"/>
      <c r="M18" s="229"/>
    </row>
    <row r="19" spans="1:13">
      <c r="A19" s="681">
        <f t="shared" si="0"/>
        <v>14</v>
      </c>
      <c r="B19" s="682"/>
      <c r="C19" s="1248" t="s">
        <v>164</v>
      </c>
      <c r="D19" s="1242" t="s">
        <v>162</v>
      </c>
      <c r="E19" s="1440">
        <f t="shared" si="1"/>
        <v>2016</v>
      </c>
      <c r="F19" s="1249">
        <f t="shared" si="2"/>
        <v>64000000</v>
      </c>
      <c r="G19" s="875"/>
      <c r="H19" s="1013"/>
      <c r="I19" s="230"/>
      <c r="J19" s="230"/>
      <c r="K19" s="230"/>
      <c r="L19" s="230"/>
      <c r="M19" s="230"/>
    </row>
    <row r="20" spans="1:13">
      <c r="A20" s="681">
        <f t="shared" si="0"/>
        <v>15</v>
      </c>
      <c r="B20" s="271"/>
      <c r="C20" s="1250" t="s">
        <v>210</v>
      </c>
      <c r="D20" s="271" t="str">
        <f>"(sum lines "&amp;A7&amp;"-"&amp;A19&amp;") /13"</f>
        <v>(sum lines 2-14) /13</v>
      </c>
      <c r="E20" s="1251"/>
      <c r="F20" s="1252">
        <f>SUM(F7:F19)/13</f>
        <v>34461538.461538464</v>
      </c>
      <c r="G20" s="876"/>
      <c r="H20" s="1012"/>
      <c r="I20" s="230"/>
      <c r="J20" s="229"/>
      <c r="K20" s="229"/>
      <c r="L20" s="229"/>
      <c r="M20" s="229"/>
    </row>
    <row r="21" spans="1:13">
      <c r="A21" s="681"/>
      <c r="B21" s="1246"/>
      <c r="C21" s="1247"/>
      <c r="D21" s="271"/>
      <c r="E21" s="1253"/>
      <c r="F21" s="1254"/>
      <c r="G21" s="873"/>
      <c r="H21" s="1013"/>
      <c r="I21" s="227"/>
      <c r="J21" s="229"/>
      <c r="K21" s="229"/>
      <c r="L21" s="229"/>
      <c r="M21" s="229"/>
    </row>
    <row r="22" spans="1:13">
      <c r="A22" s="681">
        <f>+A20+1</f>
        <v>16</v>
      </c>
      <c r="B22" s="682"/>
      <c r="C22" s="683" t="s">
        <v>193</v>
      </c>
      <c r="D22" s="271" t="s">
        <v>632</v>
      </c>
      <c r="E22" s="684"/>
      <c r="F22" s="1255"/>
      <c r="G22" s="244"/>
      <c r="H22" s="1012"/>
      <c r="I22" s="230"/>
      <c r="J22" s="229"/>
      <c r="K22" s="229"/>
      <c r="L22" s="229"/>
      <c r="M22" s="229"/>
    </row>
    <row r="23" spans="1:13">
      <c r="A23" s="681">
        <f t="shared" ref="A23:A36" si="3">+A22+1</f>
        <v>17</v>
      </c>
      <c r="B23" s="252"/>
      <c r="C23" s="252" t="s">
        <v>164</v>
      </c>
      <c r="D23" s="678" t="s">
        <v>192</v>
      </c>
      <c r="E23" s="1439">
        <f>+$E$7</f>
        <v>2016</v>
      </c>
      <c r="F23" s="1244">
        <v>0</v>
      </c>
      <c r="G23" s="873"/>
      <c r="H23" s="1013"/>
      <c r="I23" s="231"/>
      <c r="J23" s="229"/>
      <c r="K23" s="229"/>
      <c r="L23" s="229"/>
      <c r="M23" s="229"/>
    </row>
    <row r="24" spans="1:13">
      <c r="A24" s="681">
        <f t="shared" si="3"/>
        <v>18</v>
      </c>
      <c r="B24" s="682"/>
      <c r="C24" s="1245" t="s">
        <v>174</v>
      </c>
      <c r="D24" s="271" t="s">
        <v>165</v>
      </c>
      <c r="E24" s="1439">
        <f>+$E$8</f>
        <v>2016</v>
      </c>
      <c r="F24" s="1244">
        <v>0</v>
      </c>
      <c r="G24" s="874"/>
      <c r="H24" s="1012"/>
      <c r="I24" s="230"/>
      <c r="J24" s="229"/>
      <c r="K24" s="229"/>
      <c r="L24" s="229"/>
      <c r="M24" s="229"/>
    </row>
    <row r="25" spans="1:13">
      <c r="A25" s="681">
        <f t="shared" si="3"/>
        <v>19</v>
      </c>
      <c r="B25" s="1246"/>
      <c r="C25" s="1247" t="s">
        <v>173</v>
      </c>
      <c r="D25" s="271" t="s">
        <v>165</v>
      </c>
      <c r="E25" s="1439">
        <f t="shared" ref="E25:E35" si="4">+$E$8</f>
        <v>2016</v>
      </c>
      <c r="F25" s="1244">
        <v>0</v>
      </c>
      <c r="G25" s="873"/>
      <c r="H25" s="1013"/>
      <c r="I25" s="227"/>
      <c r="J25" s="229"/>
      <c r="K25" s="229"/>
      <c r="L25" s="229"/>
      <c r="M25" s="229"/>
    </row>
    <row r="26" spans="1:13">
      <c r="A26" s="681">
        <f t="shared" si="3"/>
        <v>20</v>
      </c>
      <c r="B26" s="1246"/>
      <c r="C26" s="1247" t="s">
        <v>172</v>
      </c>
      <c r="D26" s="271" t="s">
        <v>165</v>
      </c>
      <c r="E26" s="1439">
        <f t="shared" si="4"/>
        <v>2016</v>
      </c>
      <c r="F26" s="1244">
        <v>0</v>
      </c>
      <c r="G26" s="873"/>
      <c r="H26" s="1013"/>
      <c r="I26" s="227"/>
      <c r="J26" s="229"/>
      <c r="K26" s="229"/>
      <c r="L26" s="229"/>
      <c r="M26" s="229"/>
    </row>
    <row r="27" spans="1:13">
      <c r="A27" s="681">
        <f t="shared" si="3"/>
        <v>21</v>
      </c>
      <c r="B27" s="271"/>
      <c r="C27" s="1245" t="s">
        <v>155</v>
      </c>
      <c r="D27" s="271" t="s">
        <v>165</v>
      </c>
      <c r="E27" s="1439">
        <f t="shared" si="4"/>
        <v>2016</v>
      </c>
      <c r="F27" s="1244">
        <v>0</v>
      </c>
      <c r="G27" s="873"/>
      <c r="H27" s="1013"/>
      <c r="I27" s="227"/>
      <c r="J27" s="229"/>
      <c r="K27" s="229"/>
      <c r="L27" s="229"/>
      <c r="M27" s="229"/>
    </row>
    <row r="28" spans="1:13">
      <c r="A28" s="681">
        <f t="shared" si="3"/>
        <v>22</v>
      </c>
      <c r="B28" s="682"/>
      <c r="C28" s="1247" t="s">
        <v>152</v>
      </c>
      <c r="D28" s="271" t="s">
        <v>165</v>
      </c>
      <c r="E28" s="1439">
        <f t="shared" si="4"/>
        <v>2016</v>
      </c>
      <c r="F28" s="1244">
        <v>0</v>
      </c>
      <c r="G28" s="244"/>
      <c r="H28" s="1012"/>
      <c r="I28" s="230"/>
      <c r="J28" s="230"/>
      <c r="K28" s="230"/>
      <c r="L28" s="230"/>
      <c r="M28" s="230"/>
    </row>
    <row r="29" spans="1:13">
      <c r="A29" s="681">
        <f t="shared" si="3"/>
        <v>23</v>
      </c>
      <c r="B29" s="271"/>
      <c r="C29" s="1247" t="s">
        <v>171</v>
      </c>
      <c r="D29" s="271" t="s">
        <v>165</v>
      </c>
      <c r="E29" s="1439">
        <f t="shared" si="4"/>
        <v>2016</v>
      </c>
      <c r="F29" s="1244">
        <v>0</v>
      </c>
      <c r="G29" s="873"/>
      <c r="H29" s="1013"/>
      <c r="I29" s="231"/>
      <c r="J29" s="229"/>
      <c r="K29" s="229"/>
      <c r="L29" s="229"/>
      <c r="M29" s="229"/>
    </row>
    <row r="30" spans="1:13">
      <c r="A30" s="681">
        <f t="shared" si="3"/>
        <v>24</v>
      </c>
      <c r="B30" s="682"/>
      <c r="C30" s="1245" t="s">
        <v>170</v>
      </c>
      <c r="D30" s="271" t="s">
        <v>165</v>
      </c>
      <c r="E30" s="1439">
        <f t="shared" si="4"/>
        <v>2016</v>
      </c>
      <c r="F30" s="1244">
        <v>0</v>
      </c>
      <c r="G30" s="874"/>
      <c r="H30" s="1012"/>
      <c r="I30" s="230"/>
      <c r="J30" s="229"/>
      <c r="K30" s="229"/>
      <c r="L30" s="229"/>
      <c r="M30" s="229"/>
    </row>
    <row r="31" spans="1:13">
      <c r="A31" s="681">
        <f t="shared" si="3"/>
        <v>25</v>
      </c>
      <c r="B31" s="1246"/>
      <c r="C31" s="1247" t="s">
        <v>169</v>
      </c>
      <c r="D31" s="271" t="s">
        <v>165</v>
      </c>
      <c r="E31" s="1439">
        <f t="shared" si="4"/>
        <v>2016</v>
      </c>
      <c r="F31" s="1244">
        <v>0</v>
      </c>
      <c r="G31" s="873"/>
      <c r="H31" s="1013"/>
      <c r="I31" s="227"/>
      <c r="J31" s="229"/>
      <c r="K31" s="229"/>
      <c r="L31" s="229"/>
      <c r="M31" s="229"/>
    </row>
    <row r="32" spans="1:13">
      <c r="A32" s="681">
        <f t="shared" si="3"/>
        <v>26</v>
      </c>
      <c r="B32" s="1246"/>
      <c r="C32" s="1247" t="s">
        <v>168</v>
      </c>
      <c r="D32" s="271" t="s">
        <v>165</v>
      </c>
      <c r="E32" s="1439">
        <f t="shared" si="4"/>
        <v>2016</v>
      </c>
      <c r="F32" s="1244">
        <v>0</v>
      </c>
      <c r="G32" s="873"/>
      <c r="H32" s="1013"/>
      <c r="I32" s="227"/>
      <c r="J32" s="229"/>
      <c r="K32" s="229"/>
      <c r="L32" s="229"/>
      <c r="M32" s="229"/>
    </row>
    <row r="33" spans="1:13">
      <c r="A33" s="681">
        <f t="shared" si="3"/>
        <v>27</v>
      </c>
      <c r="B33" s="271"/>
      <c r="C33" s="1245" t="s">
        <v>181</v>
      </c>
      <c r="D33" s="271" t="s">
        <v>165</v>
      </c>
      <c r="E33" s="1439">
        <f t="shared" si="4"/>
        <v>2016</v>
      </c>
      <c r="F33" s="1244">
        <v>0</v>
      </c>
      <c r="G33" s="873"/>
      <c r="H33" s="1013"/>
      <c r="I33" s="227"/>
      <c r="J33" s="229"/>
      <c r="K33" s="229"/>
      <c r="L33" s="229"/>
      <c r="M33" s="229"/>
    </row>
    <row r="34" spans="1:13">
      <c r="A34" s="681">
        <f t="shared" si="3"/>
        <v>28</v>
      </c>
      <c r="B34" s="271"/>
      <c r="C34" s="1245" t="s">
        <v>166</v>
      </c>
      <c r="D34" s="271" t="s">
        <v>165</v>
      </c>
      <c r="E34" s="1439">
        <f t="shared" si="4"/>
        <v>2016</v>
      </c>
      <c r="F34" s="1244">
        <v>0</v>
      </c>
      <c r="G34" s="873"/>
      <c r="H34" s="1013"/>
      <c r="I34" s="227"/>
      <c r="J34" s="229"/>
      <c r="K34" s="229"/>
      <c r="L34" s="229"/>
      <c r="M34" s="229"/>
    </row>
    <row r="35" spans="1:13">
      <c r="A35" s="681">
        <f t="shared" si="3"/>
        <v>29</v>
      </c>
      <c r="B35" s="682"/>
      <c r="C35" s="1248" t="s">
        <v>164</v>
      </c>
      <c r="D35" s="1242" t="s">
        <v>191</v>
      </c>
      <c r="E35" s="1440">
        <f t="shared" si="4"/>
        <v>2016</v>
      </c>
      <c r="F35" s="1249">
        <v>0</v>
      </c>
      <c r="G35" s="875"/>
      <c r="H35" s="1012"/>
      <c r="I35" s="230"/>
      <c r="J35" s="230"/>
      <c r="K35" s="230"/>
      <c r="L35" s="230"/>
      <c r="M35" s="230"/>
    </row>
    <row r="36" spans="1:13">
      <c r="A36" s="681">
        <f t="shared" si="3"/>
        <v>30</v>
      </c>
      <c r="B36" s="271"/>
      <c r="C36" s="1250" t="s">
        <v>190</v>
      </c>
      <c r="D36" s="271" t="str">
        <f>"(sum lines "&amp;A23&amp;"-"&amp;A35&amp;") /13"</f>
        <v>(sum lines 17-29) /13</v>
      </c>
      <c r="E36" s="1256"/>
      <c r="F36" s="1252">
        <f>SUM(F23:F35)/13</f>
        <v>0</v>
      </c>
      <c r="G36" s="876"/>
      <c r="H36" s="1012"/>
      <c r="I36" s="230"/>
      <c r="J36" s="229"/>
      <c r="K36" s="229"/>
      <c r="L36" s="229"/>
      <c r="M36" s="229"/>
    </row>
    <row r="37" spans="1:13">
      <c r="A37" s="681"/>
      <c r="B37" s="1246"/>
      <c r="C37" s="1247"/>
      <c r="D37" s="271"/>
      <c r="E37" s="1256"/>
      <c r="F37" s="1254"/>
      <c r="G37" s="873"/>
      <c r="H37" s="1013"/>
      <c r="I37" s="227"/>
      <c r="J37" s="229"/>
      <c r="K37" s="229"/>
      <c r="L37" s="229"/>
      <c r="M37" s="229"/>
    </row>
    <row r="38" spans="1:13">
      <c r="A38" s="681">
        <f>+A36+1</f>
        <v>31</v>
      </c>
      <c r="B38" s="682"/>
      <c r="C38" s="683" t="s">
        <v>189</v>
      </c>
      <c r="D38" s="271" t="s">
        <v>632</v>
      </c>
      <c r="E38" s="1146"/>
      <c r="F38" s="1255"/>
      <c r="G38" s="244"/>
      <c r="H38" s="1012"/>
      <c r="I38" s="230"/>
      <c r="J38" s="229"/>
      <c r="K38" s="229"/>
      <c r="L38" s="229"/>
      <c r="M38" s="229"/>
    </row>
    <row r="39" spans="1:13">
      <c r="A39" s="681">
        <f>+A38+1</f>
        <v>32</v>
      </c>
      <c r="B39" s="252"/>
      <c r="C39" s="252" t="s">
        <v>164</v>
      </c>
      <c r="D39" s="678" t="s">
        <v>290</v>
      </c>
      <c r="E39" s="1439">
        <f>+$E$7</f>
        <v>2016</v>
      </c>
      <c r="F39" s="1244">
        <v>0</v>
      </c>
      <c r="G39" s="873"/>
      <c r="H39" s="1014"/>
      <c r="I39" s="226"/>
      <c r="J39" s="229"/>
      <c r="K39" s="229"/>
      <c r="L39" s="229"/>
      <c r="M39" s="229"/>
    </row>
    <row r="40" spans="1:13">
      <c r="A40" s="681">
        <f t="shared" ref="A40:A51" si="5">+A39+1</f>
        <v>33</v>
      </c>
      <c r="B40" s="252"/>
      <c r="C40" s="1245" t="s">
        <v>174</v>
      </c>
      <c r="D40" s="271" t="s">
        <v>165</v>
      </c>
      <c r="E40" s="1439">
        <f>+$E$8</f>
        <v>2016</v>
      </c>
      <c r="F40" s="1244">
        <v>0</v>
      </c>
      <c r="G40" s="873"/>
      <c r="H40" s="1014"/>
      <c r="I40" s="226"/>
      <c r="J40" s="229"/>
      <c r="K40" s="229"/>
      <c r="L40" s="229"/>
      <c r="M40" s="229"/>
    </row>
    <row r="41" spans="1:13">
      <c r="A41" s="681">
        <f t="shared" si="5"/>
        <v>34</v>
      </c>
      <c r="B41" s="252"/>
      <c r="C41" s="1247" t="s">
        <v>173</v>
      </c>
      <c r="D41" s="271" t="s">
        <v>165</v>
      </c>
      <c r="E41" s="1439">
        <f t="shared" ref="E41:E51" si="6">+$E$8</f>
        <v>2016</v>
      </c>
      <c r="F41" s="1244">
        <v>0</v>
      </c>
      <c r="G41" s="873"/>
      <c r="H41" s="1014"/>
      <c r="I41" s="226"/>
      <c r="J41" s="229"/>
      <c r="K41" s="229"/>
      <c r="L41" s="229"/>
      <c r="M41" s="229"/>
    </row>
    <row r="42" spans="1:13">
      <c r="A42" s="681">
        <f t="shared" si="5"/>
        <v>35</v>
      </c>
      <c r="B42" s="252"/>
      <c r="C42" s="1247" t="s">
        <v>172</v>
      </c>
      <c r="D42" s="271" t="s">
        <v>165</v>
      </c>
      <c r="E42" s="1439">
        <f t="shared" si="6"/>
        <v>2016</v>
      </c>
      <c r="F42" s="1244">
        <v>0</v>
      </c>
      <c r="G42" s="873"/>
      <c r="H42" s="1014"/>
      <c r="I42" s="226"/>
      <c r="J42" s="229"/>
      <c r="K42" s="229"/>
      <c r="L42" s="229"/>
      <c r="M42" s="229"/>
    </row>
    <row r="43" spans="1:13">
      <c r="A43" s="681">
        <f t="shared" si="5"/>
        <v>36</v>
      </c>
      <c r="B43" s="252"/>
      <c r="C43" s="1245" t="s">
        <v>155</v>
      </c>
      <c r="D43" s="271" t="s">
        <v>165</v>
      </c>
      <c r="E43" s="1439">
        <f t="shared" si="6"/>
        <v>2016</v>
      </c>
      <c r="F43" s="1244">
        <v>0</v>
      </c>
      <c r="G43" s="873"/>
      <c r="H43" s="1014"/>
      <c r="I43" s="226"/>
      <c r="J43" s="229"/>
      <c r="K43" s="229"/>
      <c r="L43" s="229"/>
      <c r="M43" s="229"/>
    </row>
    <row r="44" spans="1:13">
      <c r="A44" s="681">
        <f t="shared" si="5"/>
        <v>37</v>
      </c>
      <c r="B44" s="252"/>
      <c r="C44" s="1247" t="s">
        <v>152</v>
      </c>
      <c r="D44" s="271" t="s">
        <v>165</v>
      </c>
      <c r="E44" s="1439">
        <f t="shared" si="6"/>
        <v>2016</v>
      </c>
      <c r="F44" s="1244">
        <v>0</v>
      </c>
      <c r="G44" s="873"/>
      <c r="H44" s="1014"/>
      <c r="I44" s="226"/>
      <c r="J44" s="229"/>
      <c r="K44" s="229"/>
      <c r="L44" s="229"/>
      <c r="M44" s="229"/>
    </row>
    <row r="45" spans="1:13">
      <c r="A45" s="681">
        <f t="shared" si="5"/>
        <v>38</v>
      </c>
      <c r="B45" s="252"/>
      <c r="C45" s="1247" t="s">
        <v>171</v>
      </c>
      <c r="D45" s="271" t="s">
        <v>165</v>
      </c>
      <c r="E45" s="1439">
        <f t="shared" si="6"/>
        <v>2016</v>
      </c>
      <c r="F45" s="1244">
        <f>54000000+88000000+35000000</f>
        <v>177000000</v>
      </c>
      <c r="G45" s="873"/>
      <c r="H45" s="1014"/>
      <c r="I45" s="226"/>
      <c r="J45" s="229"/>
      <c r="K45" s="229"/>
      <c r="L45" s="229"/>
      <c r="M45" s="229"/>
    </row>
    <row r="46" spans="1:13">
      <c r="A46" s="681">
        <f t="shared" si="5"/>
        <v>39</v>
      </c>
      <c r="B46" s="252"/>
      <c r="C46" s="1245" t="s">
        <v>170</v>
      </c>
      <c r="D46" s="271" t="s">
        <v>165</v>
      </c>
      <c r="E46" s="1439">
        <f t="shared" si="6"/>
        <v>2016</v>
      </c>
      <c r="F46" s="1244">
        <f>F45</f>
        <v>177000000</v>
      </c>
      <c r="G46" s="873"/>
      <c r="H46" s="1014"/>
      <c r="I46" s="226"/>
      <c r="J46" s="229"/>
      <c r="K46" s="229"/>
      <c r="L46" s="229"/>
      <c r="M46" s="229"/>
    </row>
    <row r="47" spans="1:13">
      <c r="A47" s="681">
        <f t="shared" si="5"/>
        <v>40</v>
      </c>
      <c r="B47" s="252"/>
      <c r="C47" s="1247" t="s">
        <v>169</v>
      </c>
      <c r="D47" s="271" t="s">
        <v>165</v>
      </c>
      <c r="E47" s="1439">
        <f t="shared" si="6"/>
        <v>2016</v>
      </c>
      <c r="F47" s="1244">
        <f t="shared" ref="F47:F51" si="7">F46</f>
        <v>177000000</v>
      </c>
      <c r="G47" s="873"/>
      <c r="H47" s="1014"/>
      <c r="I47" s="226"/>
      <c r="J47" s="229"/>
      <c r="K47" s="229"/>
      <c r="L47" s="229"/>
      <c r="M47" s="229"/>
    </row>
    <row r="48" spans="1:13">
      <c r="A48" s="681">
        <f t="shared" si="5"/>
        <v>41</v>
      </c>
      <c r="B48" s="252"/>
      <c r="C48" s="1247" t="s">
        <v>168</v>
      </c>
      <c r="D48" s="271" t="s">
        <v>165</v>
      </c>
      <c r="E48" s="1439">
        <f t="shared" si="6"/>
        <v>2016</v>
      </c>
      <c r="F48" s="1244">
        <f t="shared" si="7"/>
        <v>177000000</v>
      </c>
      <c r="G48" s="873"/>
      <c r="H48" s="1014"/>
      <c r="I48" s="226"/>
      <c r="J48" s="229"/>
      <c r="K48" s="229"/>
      <c r="L48" s="229"/>
      <c r="M48" s="229"/>
    </row>
    <row r="49" spans="1:13">
      <c r="A49" s="681">
        <f t="shared" si="5"/>
        <v>42</v>
      </c>
      <c r="B49" s="252"/>
      <c r="C49" s="1245" t="s">
        <v>181</v>
      </c>
      <c r="D49" s="271" t="s">
        <v>165</v>
      </c>
      <c r="E49" s="1439">
        <f t="shared" si="6"/>
        <v>2016</v>
      </c>
      <c r="F49" s="1244">
        <f t="shared" si="7"/>
        <v>177000000</v>
      </c>
      <c r="G49" s="873"/>
      <c r="H49" s="1014"/>
      <c r="I49" s="226"/>
      <c r="J49" s="229"/>
      <c r="K49" s="229"/>
      <c r="L49" s="229"/>
      <c r="M49" s="229"/>
    </row>
    <row r="50" spans="1:13">
      <c r="A50" s="681">
        <f t="shared" si="5"/>
        <v>43</v>
      </c>
      <c r="B50" s="252"/>
      <c r="C50" s="1245" t="s">
        <v>166</v>
      </c>
      <c r="D50" s="271" t="s">
        <v>165</v>
      </c>
      <c r="E50" s="1439">
        <f t="shared" si="6"/>
        <v>2016</v>
      </c>
      <c r="F50" s="1244">
        <f t="shared" si="7"/>
        <v>177000000</v>
      </c>
      <c r="G50" s="873"/>
      <c r="H50" s="1014"/>
      <c r="I50" s="226"/>
      <c r="J50" s="229"/>
      <c r="K50" s="229"/>
      <c r="L50" s="229"/>
      <c r="M50" s="229"/>
    </row>
    <row r="51" spans="1:13">
      <c r="A51" s="681">
        <f t="shared" si="5"/>
        <v>44</v>
      </c>
      <c r="B51" s="682"/>
      <c r="C51" s="1248" t="s">
        <v>164</v>
      </c>
      <c r="D51" s="1242" t="s">
        <v>291</v>
      </c>
      <c r="E51" s="1440">
        <f t="shared" si="6"/>
        <v>2016</v>
      </c>
      <c r="F51" s="1249">
        <f t="shared" si="7"/>
        <v>177000000</v>
      </c>
      <c r="G51" s="875"/>
      <c r="H51" s="1013"/>
      <c r="I51" s="230"/>
      <c r="J51" s="230"/>
      <c r="K51" s="230"/>
      <c r="L51" s="230"/>
      <c r="M51" s="230"/>
    </row>
    <row r="52" spans="1:13">
      <c r="A52" s="681">
        <f>+A51+1</f>
        <v>45</v>
      </c>
      <c r="B52" s="271"/>
      <c r="C52" s="1250" t="s">
        <v>188</v>
      </c>
      <c r="D52" s="271" t="str">
        <f>"(sum lines "&amp;A39&amp;"-"&amp;A51&amp;") /13"</f>
        <v>(sum lines 32-44) /13</v>
      </c>
      <c r="E52" s="1256"/>
      <c r="F52" s="1252">
        <f>SUM(F39:F51)/13</f>
        <v>95307692.307692304</v>
      </c>
      <c r="G52" s="876"/>
      <c r="H52" s="1012"/>
      <c r="I52" s="328"/>
      <c r="J52" s="229"/>
      <c r="K52" s="229"/>
      <c r="L52" s="229"/>
      <c r="M52" s="229"/>
    </row>
    <row r="53" spans="1:13">
      <c r="A53" s="681"/>
      <c r="B53" s="271"/>
      <c r="C53" s="1245"/>
      <c r="D53" s="271"/>
      <c r="E53" s="1257"/>
      <c r="F53" s="1258"/>
      <c r="G53" s="873"/>
      <c r="H53" s="1013"/>
      <c r="I53" s="227"/>
      <c r="J53" s="229"/>
      <c r="K53" s="229"/>
      <c r="L53" s="229"/>
      <c r="M53" s="229"/>
    </row>
    <row r="54" spans="1:13">
      <c r="A54" s="681">
        <f>+A52+1</f>
        <v>46</v>
      </c>
      <c r="B54" s="682"/>
      <c r="C54" s="683" t="s">
        <v>187</v>
      </c>
      <c r="D54" s="271" t="s">
        <v>632</v>
      </c>
      <c r="E54" s="1146"/>
      <c r="F54" s="1255"/>
      <c r="G54" s="244"/>
      <c r="H54" s="1012"/>
      <c r="I54" s="230"/>
      <c r="J54" s="229"/>
      <c r="K54" s="229"/>
      <c r="L54" s="229"/>
      <c r="M54" s="229"/>
    </row>
    <row r="55" spans="1:13">
      <c r="A55" s="681">
        <f>+A54+1</f>
        <v>47</v>
      </c>
      <c r="B55" s="252"/>
      <c r="C55" s="252" t="s">
        <v>164</v>
      </c>
      <c r="D55" s="678" t="s">
        <v>292</v>
      </c>
      <c r="E55" s="1439">
        <f>+$E$7</f>
        <v>2016</v>
      </c>
      <c r="F55" s="1244">
        <v>0</v>
      </c>
      <c r="G55" s="873"/>
      <c r="H55" s="1013"/>
      <c r="I55" s="231"/>
      <c r="J55" s="229"/>
      <c r="K55" s="229"/>
      <c r="L55" s="229"/>
      <c r="M55" s="229"/>
    </row>
    <row r="56" spans="1:13">
      <c r="A56" s="681">
        <f t="shared" ref="A56:A66" si="8">+A55+1</f>
        <v>48</v>
      </c>
      <c r="B56" s="252"/>
      <c r="C56" s="1245" t="s">
        <v>174</v>
      </c>
      <c r="D56" s="271" t="s">
        <v>165</v>
      </c>
      <c r="E56" s="1439">
        <f>+$E$8</f>
        <v>2016</v>
      </c>
      <c r="F56" s="1244">
        <v>0</v>
      </c>
      <c r="G56" s="873"/>
      <c r="H56" s="1013"/>
      <c r="I56" s="231"/>
      <c r="J56" s="229"/>
      <c r="K56" s="229"/>
      <c r="L56" s="229"/>
      <c r="M56" s="229"/>
    </row>
    <row r="57" spans="1:13">
      <c r="A57" s="681">
        <f t="shared" si="8"/>
        <v>49</v>
      </c>
      <c r="B57" s="252"/>
      <c r="C57" s="1247" t="s">
        <v>173</v>
      </c>
      <c r="D57" s="271" t="s">
        <v>165</v>
      </c>
      <c r="E57" s="1439">
        <f t="shared" ref="E57:E67" si="9">+$E$8</f>
        <v>2016</v>
      </c>
      <c r="F57" s="1244">
        <v>0</v>
      </c>
      <c r="G57" s="873"/>
      <c r="H57" s="1013"/>
      <c r="I57" s="231"/>
      <c r="J57" s="229"/>
      <c r="K57" s="229"/>
      <c r="L57" s="229"/>
      <c r="M57" s="229"/>
    </row>
    <row r="58" spans="1:13">
      <c r="A58" s="681">
        <f t="shared" si="8"/>
        <v>50</v>
      </c>
      <c r="B58" s="252"/>
      <c r="C58" s="1247" t="s">
        <v>172</v>
      </c>
      <c r="D58" s="271" t="s">
        <v>165</v>
      </c>
      <c r="E58" s="1439">
        <f t="shared" si="9"/>
        <v>2016</v>
      </c>
      <c r="F58" s="1244">
        <v>0</v>
      </c>
      <c r="G58" s="873"/>
      <c r="H58" s="1013"/>
      <c r="I58" s="231"/>
      <c r="J58" s="229"/>
      <c r="K58" s="229"/>
      <c r="L58" s="229"/>
      <c r="M58" s="229"/>
    </row>
    <row r="59" spans="1:13">
      <c r="A59" s="681">
        <f t="shared" si="8"/>
        <v>51</v>
      </c>
      <c r="B59" s="252"/>
      <c r="C59" s="1245" t="s">
        <v>155</v>
      </c>
      <c r="D59" s="271" t="s">
        <v>165</v>
      </c>
      <c r="E59" s="1439">
        <f t="shared" si="9"/>
        <v>2016</v>
      </c>
      <c r="F59" s="1244">
        <v>0</v>
      </c>
      <c r="G59" s="873"/>
      <c r="H59" s="1013"/>
      <c r="I59" s="231"/>
      <c r="J59" s="229"/>
      <c r="K59" s="229"/>
      <c r="L59" s="229"/>
      <c r="M59" s="229"/>
    </row>
    <row r="60" spans="1:13">
      <c r="A60" s="681">
        <f t="shared" si="8"/>
        <v>52</v>
      </c>
      <c r="B60" s="252"/>
      <c r="C60" s="1247" t="s">
        <v>152</v>
      </c>
      <c r="D60" s="271" t="s">
        <v>165</v>
      </c>
      <c r="E60" s="1439">
        <f t="shared" si="9"/>
        <v>2016</v>
      </c>
      <c r="F60" s="1244">
        <v>0</v>
      </c>
      <c r="G60" s="873"/>
      <c r="H60" s="1013"/>
      <c r="I60" s="231"/>
      <c r="J60" s="229"/>
      <c r="K60" s="229"/>
      <c r="L60" s="229"/>
      <c r="M60" s="229"/>
    </row>
    <row r="61" spans="1:13">
      <c r="A61" s="681">
        <f t="shared" si="8"/>
        <v>53</v>
      </c>
      <c r="B61" s="252"/>
      <c r="C61" s="1247" t="s">
        <v>171</v>
      </c>
      <c r="D61" s="271" t="s">
        <v>165</v>
      </c>
      <c r="E61" s="1439">
        <f t="shared" si="9"/>
        <v>2016</v>
      </c>
      <c r="F61" s="1244">
        <v>0</v>
      </c>
      <c r="G61" s="873"/>
      <c r="H61" s="1013"/>
      <c r="I61" s="231"/>
      <c r="J61" s="229"/>
      <c r="K61" s="229"/>
      <c r="L61" s="229"/>
      <c r="M61" s="229"/>
    </row>
    <row r="62" spans="1:13">
      <c r="A62" s="681">
        <f t="shared" si="8"/>
        <v>54</v>
      </c>
      <c r="B62" s="252"/>
      <c r="C62" s="1245" t="s">
        <v>170</v>
      </c>
      <c r="D62" s="271" t="s">
        <v>165</v>
      </c>
      <c r="E62" s="1439">
        <f t="shared" si="9"/>
        <v>2016</v>
      </c>
      <c r="F62" s="1244">
        <v>1000000</v>
      </c>
      <c r="G62" s="873"/>
      <c r="H62" s="1013"/>
      <c r="I62" s="231"/>
      <c r="J62" s="229"/>
      <c r="K62" s="229"/>
      <c r="L62" s="229"/>
      <c r="M62" s="229"/>
    </row>
    <row r="63" spans="1:13">
      <c r="A63" s="681">
        <f t="shared" si="8"/>
        <v>55</v>
      </c>
      <c r="B63" s="252"/>
      <c r="C63" s="1247" t="s">
        <v>169</v>
      </c>
      <c r="D63" s="271" t="s">
        <v>165</v>
      </c>
      <c r="E63" s="1439">
        <f t="shared" si="9"/>
        <v>2016</v>
      </c>
      <c r="F63" s="1244">
        <f>F62</f>
        <v>1000000</v>
      </c>
      <c r="G63" s="873"/>
      <c r="H63" s="1013"/>
      <c r="I63" s="231"/>
      <c r="J63" s="229"/>
      <c r="K63" s="229"/>
      <c r="L63" s="229"/>
      <c r="M63" s="229"/>
    </row>
    <row r="64" spans="1:13">
      <c r="A64" s="681">
        <f t="shared" si="8"/>
        <v>56</v>
      </c>
      <c r="B64" s="252"/>
      <c r="C64" s="1247" t="s">
        <v>168</v>
      </c>
      <c r="D64" s="271" t="s">
        <v>165</v>
      </c>
      <c r="E64" s="1439">
        <f t="shared" si="9"/>
        <v>2016</v>
      </c>
      <c r="F64" s="1244">
        <f t="shared" ref="F64:F67" si="10">F63</f>
        <v>1000000</v>
      </c>
      <c r="G64" s="873"/>
      <c r="H64" s="1013"/>
      <c r="I64" s="231"/>
      <c r="J64" s="229"/>
      <c r="K64" s="229"/>
      <c r="L64" s="229"/>
      <c r="M64" s="229"/>
    </row>
    <row r="65" spans="1:13">
      <c r="A65" s="681">
        <f t="shared" si="8"/>
        <v>57</v>
      </c>
      <c r="B65" s="252"/>
      <c r="C65" s="1245" t="s">
        <v>181</v>
      </c>
      <c r="D65" s="271" t="s">
        <v>165</v>
      </c>
      <c r="E65" s="1439">
        <f t="shared" si="9"/>
        <v>2016</v>
      </c>
      <c r="F65" s="1244">
        <f t="shared" si="10"/>
        <v>1000000</v>
      </c>
      <c r="G65" s="873"/>
      <c r="H65" s="1013"/>
      <c r="I65" s="231"/>
      <c r="J65" s="229"/>
      <c r="K65" s="229"/>
      <c r="L65" s="229"/>
      <c r="M65" s="229"/>
    </row>
    <row r="66" spans="1:13">
      <c r="A66" s="681">
        <f t="shared" si="8"/>
        <v>58</v>
      </c>
      <c r="B66" s="252"/>
      <c r="C66" s="1245" t="s">
        <v>166</v>
      </c>
      <c r="D66" s="271" t="s">
        <v>165</v>
      </c>
      <c r="E66" s="1439">
        <f t="shared" si="9"/>
        <v>2016</v>
      </c>
      <c r="F66" s="1244">
        <f t="shared" si="10"/>
        <v>1000000</v>
      </c>
      <c r="G66" s="873"/>
      <c r="H66" s="1013"/>
      <c r="I66" s="231"/>
      <c r="J66" s="229"/>
      <c r="K66" s="229"/>
      <c r="L66" s="229"/>
      <c r="M66" s="229"/>
    </row>
    <row r="67" spans="1:13">
      <c r="A67" s="681">
        <f>+A66+1</f>
        <v>59</v>
      </c>
      <c r="B67" s="682"/>
      <c r="C67" s="1248" t="s">
        <v>164</v>
      </c>
      <c r="D67" s="1242" t="s">
        <v>293</v>
      </c>
      <c r="E67" s="1440">
        <f t="shared" si="9"/>
        <v>2016</v>
      </c>
      <c r="F67" s="1249">
        <f t="shared" si="10"/>
        <v>1000000</v>
      </c>
      <c r="G67" s="875"/>
      <c r="H67" s="1013"/>
      <c r="I67" s="230"/>
      <c r="J67" s="230"/>
      <c r="K67" s="230"/>
      <c r="L67" s="230"/>
      <c r="M67" s="230"/>
    </row>
    <row r="68" spans="1:13">
      <c r="A68" s="681">
        <f>+A67+1</f>
        <v>60</v>
      </c>
      <c r="B68" s="271"/>
      <c r="C68" s="1250" t="s">
        <v>186</v>
      </c>
      <c r="D68" s="271" t="str">
        <f>"(sum lines "&amp;A55&amp;"-"&amp;A67&amp;") /13"</f>
        <v>(sum lines 47-59) /13</v>
      </c>
      <c r="E68" s="1256"/>
      <c r="F68" s="1252">
        <f>SUM(F55:F67)/13</f>
        <v>461538.46153846156</v>
      </c>
      <c r="G68" s="876"/>
      <c r="H68" s="1012"/>
      <c r="I68" s="328"/>
      <c r="J68" s="229"/>
      <c r="K68" s="229"/>
      <c r="L68" s="229"/>
      <c r="M68" s="229"/>
    </row>
    <row r="69" spans="1:13">
      <c r="A69" s="681"/>
      <c r="B69" s="682"/>
      <c r="C69" s="1247"/>
      <c r="D69" s="678"/>
      <c r="E69" s="1257"/>
      <c r="F69" s="1259"/>
      <c r="G69" s="244"/>
      <c r="H69" s="1012"/>
      <c r="I69" s="230"/>
      <c r="J69" s="230"/>
      <c r="K69" s="230"/>
      <c r="L69" s="230"/>
      <c r="M69" s="230"/>
    </row>
    <row r="70" spans="1:13">
      <c r="A70" s="681">
        <f>+A68+1</f>
        <v>61</v>
      </c>
      <c r="B70" s="682"/>
      <c r="C70" s="683" t="s">
        <v>185</v>
      </c>
      <c r="D70" s="271" t="s">
        <v>632</v>
      </c>
      <c r="E70" s="1146"/>
      <c r="F70" s="1255"/>
      <c r="G70" s="244"/>
      <c r="H70" s="1012"/>
      <c r="I70" s="230"/>
      <c r="J70" s="229"/>
      <c r="K70" s="229"/>
      <c r="L70" s="229"/>
      <c r="M70" s="229"/>
    </row>
    <row r="71" spans="1:13">
      <c r="A71" s="681">
        <f t="shared" ref="A71:A84" si="11">+A70+1</f>
        <v>62</v>
      </c>
      <c r="B71" s="682"/>
      <c r="C71" s="252" t="s">
        <v>164</v>
      </c>
      <c r="D71" s="678" t="s">
        <v>294</v>
      </c>
      <c r="E71" s="1439">
        <f>+$E$7</f>
        <v>2016</v>
      </c>
      <c r="F71" s="1244">
        <v>0</v>
      </c>
      <c r="G71" s="244"/>
      <c r="H71" s="1012"/>
      <c r="I71" s="230"/>
      <c r="J71" s="229"/>
      <c r="K71" s="229"/>
      <c r="L71" s="229"/>
      <c r="M71" s="229"/>
    </row>
    <row r="72" spans="1:13">
      <c r="A72" s="681">
        <f t="shared" si="11"/>
        <v>63</v>
      </c>
      <c r="B72" s="682"/>
      <c r="C72" s="1245" t="s">
        <v>174</v>
      </c>
      <c r="D72" s="260" t="s">
        <v>165</v>
      </c>
      <c r="E72" s="1439">
        <f>+$E$8</f>
        <v>2016</v>
      </c>
      <c r="F72" s="1244">
        <v>0</v>
      </c>
      <c r="G72" s="244"/>
      <c r="H72" s="1012"/>
      <c r="I72" s="230"/>
      <c r="J72" s="229"/>
      <c r="K72" s="229"/>
      <c r="L72" s="229"/>
      <c r="M72" s="229"/>
    </row>
    <row r="73" spans="1:13">
      <c r="A73" s="681">
        <f t="shared" si="11"/>
        <v>64</v>
      </c>
      <c r="B73" s="682"/>
      <c r="C73" s="1247" t="s">
        <v>173</v>
      </c>
      <c r="D73" s="260" t="s">
        <v>165</v>
      </c>
      <c r="E73" s="1439">
        <f t="shared" ref="E73:E83" si="12">+$E$8</f>
        <v>2016</v>
      </c>
      <c r="F73" s="1244">
        <v>0</v>
      </c>
      <c r="G73" s="244"/>
      <c r="H73" s="1012"/>
      <c r="I73" s="230"/>
      <c r="J73" s="229"/>
      <c r="K73" s="229"/>
      <c r="L73" s="229"/>
      <c r="M73" s="229"/>
    </row>
    <row r="74" spans="1:13">
      <c r="A74" s="681">
        <f t="shared" si="11"/>
        <v>65</v>
      </c>
      <c r="B74" s="682"/>
      <c r="C74" s="1247" t="s">
        <v>172</v>
      </c>
      <c r="D74" s="260" t="s">
        <v>165</v>
      </c>
      <c r="E74" s="1439">
        <f t="shared" si="12"/>
        <v>2016</v>
      </c>
      <c r="F74" s="1244">
        <v>0</v>
      </c>
      <c r="G74" s="244"/>
      <c r="H74" s="1012"/>
      <c r="I74" s="230"/>
      <c r="J74" s="229"/>
      <c r="K74" s="229"/>
      <c r="L74" s="229"/>
      <c r="M74" s="229"/>
    </row>
    <row r="75" spans="1:13">
      <c r="A75" s="681">
        <f t="shared" si="11"/>
        <v>66</v>
      </c>
      <c r="B75" s="682"/>
      <c r="C75" s="1245" t="s">
        <v>155</v>
      </c>
      <c r="D75" s="260" t="s">
        <v>165</v>
      </c>
      <c r="E75" s="1439">
        <f t="shared" si="12"/>
        <v>2016</v>
      </c>
      <c r="F75" s="1244">
        <v>0</v>
      </c>
      <c r="G75" s="244"/>
      <c r="H75" s="1012"/>
      <c r="I75" s="230"/>
      <c r="J75" s="229"/>
      <c r="K75" s="229"/>
      <c r="L75" s="229"/>
      <c r="M75" s="229"/>
    </row>
    <row r="76" spans="1:13">
      <c r="A76" s="681">
        <f t="shared" si="11"/>
        <v>67</v>
      </c>
      <c r="B76" s="682"/>
      <c r="C76" s="1247" t="s">
        <v>152</v>
      </c>
      <c r="D76" s="260" t="s">
        <v>165</v>
      </c>
      <c r="E76" s="1439">
        <f t="shared" si="12"/>
        <v>2016</v>
      </c>
      <c r="F76" s="1244">
        <v>0</v>
      </c>
      <c r="G76" s="244"/>
      <c r="H76" s="1012"/>
      <c r="I76" s="230"/>
      <c r="J76" s="229"/>
      <c r="K76" s="229"/>
      <c r="L76" s="229"/>
      <c r="M76" s="229"/>
    </row>
    <row r="77" spans="1:13">
      <c r="A77" s="681">
        <f t="shared" si="11"/>
        <v>68</v>
      </c>
      <c r="B77" s="682"/>
      <c r="C77" s="1247" t="s">
        <v>171</v>
      </c>
      <c r="D77" s="260" t="s">
        <v>165</v>
      </c>
      <c r="E77" s="1439">
        <f t="shared" si="12"/>
        <v>2016</v>
      </c>
      <c r="F77" s="1244">
        <v>0</v>
      </c>
      <c r="G77" s="244"/>
      <c r="H77" s="1012"/>
      <c r="I77" s="244"/>
      <c r="J77" s="229"/>
      <c r="K77" s="229"/>
      <c r="L77" s="229"/>
      <c r="M77" s="229"/>
    </row>
    <row r="78" spans="1:13">
      <c r="A78" s="681">
        <f t="shared" si="11"/>
        <v>69</v>
      </c>
      <c r="B78" s="682"/>
      <c r="C78" s="1245" t="s">
        <v>170</v>
      </c>
      <c r="D78" s="260" t="s">
        <v>165</v>
      </c>
      <c r="E78" s="1439">
        <f t="shared" si="12"/>
        <v>2016</v>
      </c>
      <c r="F78" s="1244">
        <v>0</v>
      </c>
      <c r="G78" s="244"/>
      <c r="H78" s="1012"/>
      <c r="I78" s="244"/>
      <c r="J78" s="229"/>
      <c r="K78" s="229"/>
      <c r="L78" s="229"/>
      <c r="M78" s="229"/>
    </row>
    <row r="79" spans="1:13">
      <c r="A79" s="681">
        <f t="shared" si="11"/>
        <v>70</v>
      </c>
      <c r="B79" s="682"/>
      <c r="C79" s="1247" t="s">
        <v>169</v>
      </c>
      <c r="D79" s="260" t="s">
        <v>165</v>
      </c>
      <c r="E79" s="1439">
        <f t="shared" si="12"/>
        <v>2016</v>
      </c>
      <c r="F79" s="1244">
        <v>0</v>
      </c>
      <c r="G79" s="244"/>
      <c r="H79" s="1012"/>
      <c r="I79" s="230"/>
      <c r="J79" s="229"/>
      <c r="K79" s="229"/>
      <c r="L79" s="229"/>
      <c r="M79" s="229"/>
    </row>
    <row r="80" spans="1:13">
      <c r="A80" s="681">
        <f t="shared" si="11"/>
        <v>71</v>
      </c>
      <c r="B80" s="682"/>
      <c r="C80" s="1247" t="s">
        <v>168</v>
      </c>
      <c r="D80" s="260" t="s">
        <v>165</v>
      </c>
      <c r="E80" s="1439">
        <f t="shared" si="12"/>
        <v>2016</v>
      </c>
      <c r="F80" s="1244">
        <v>0</v>
      </c>
      <c r="G80" s="244"/>
      <c r="H80" s="1012"/>
      <c r="I80" s="230"/>
      <c r="J80" s="229"/>
      <c r="K80" s="229"/>
      <c r="L80" s="229"/>
      <c r="M80" s="229"/>
    </row>
    <row r="81" spans="1:14">
      <c r="A81" s="681">
        <f t="shared" si="11"/>
        <v>72</v>
      </c>
      <c r="B81" s="682"/>
      <c r="C81" s="1245" t="s">
        <v>181</v>
      </c>
      <c r="D81" s="260" t="s">
        <v>165</v>
      </c>
      <c r="E81" s="1439">
        <f t="shared" si="12"/>
        <v>2016</v>
      </c>
      <c r="F81" s="1244">
        <v>0</v>
      </c>
      <c r="G81" s="244"/>
      <c r="H81" s="1012"/>
      <c r="I81" s="230"/>
      <c r="J81" s="229"/>
      <c r="K81" s="229"/>
      <c r="L81" s="229"/>
      <c r="M81" s="229"/>
    </row>
    <row r="82" spans="1:14">
      <c r="A82" s="681">
        <f t="shared" si="11"/>
        <v>73</v>
      </c>
      <c r="B82" s="682"/>
      <c r="C82" s="1245" t="s">
        <v>166</v>
      </c>
      <c r="D82" s="260" t="s">
        <v>165</v>
      </c>
      <c r="E82" s="1439">
        <f t="shared" si="12"/>
        <v>2016</v>
      </c>
      <c r="F82" s="1244">
        <v>0</v>
      </c>
      <c r="G82" s="244"/>
      <c r="H82" s="1012"/>
      <c r="I82" s="230"/>
      <c r="J82" s="229"/>
      <c r="K82" s="229"/>
      <c r="L82" s="229"/>
      <c r="M82" s="229"/>
    </row>
    <row r="83" spans="1:14">
      <c r="A83" s="681">
        <f t="shared" si="11"/>
        <v>74</v>
      </c>
      <c r="B83" s="682"/>
      <c r="C83" s="1248" t="s">
        <v>164</v>
      </c>
      <c r="D83" s="1242" t="s">
        <v>295</v>
      </c>
      <c r="E83" s="1440">
        <f t="shared" si="12"/>
        <v>2016</v>
      </c>
      <c r="F83" s="1249">
        <v>0</v>
      </c>
      <c r="G83" s="875"/>
      <c r="H83" s="1015"/>
      <c r="I83" s="230"/>
      <c r="J83" s="230"/>
      <c r="K83" s="230"/>
      <c r="L83" s="230"/>
      <c r="M83" s="230"/>
    </row>
    <row r="84" spans="1:14">
      <c r="A84" s="681">
        <f t="shared" si="11"/>
        <v>75</v>
      </c>
      <c r="B84" s="271"/>
      <c r="C84" s="1250" t="s">
        <v>184</v>
      </c>
      <c r="D84" s="271" t="str">
        <f>"(sum lines "&amp;A71&amp;"-"&amp;A83&amp;") /13"</f>
        <v>(sum lines 62-74) /13</v>
      </c>
      <c r="E84" s="1251"/>
      <c r="F84" s="1252">
        <f>SUM(F71:F83)/13</f>
        <v>0</v>
      </c>
      <c r="G84" s="876"/>
      <c r="H84" s="1012"/>
      <c r="I84" s="328"/>
      <c r="J84" s="229"/>
      <c r="K84" s="229"/>
      <c r="L84" s="229"/>
      <c r="M84" s="229"/>
    </row>
    <row r="85" spans="1:14">
      <c r="A85" s="681"/>
      <c r="B85" s="271"/>
      <c r="C85" s="1247"/>
      <c r="D85" s="271"/>
      <c r="E85" s="1253"/>
      <c r="F85" s="1254"/>
      <c r="G85" s="873"/>
      <c r="H85" s="1013"/>
      <c r="I85" s="231"/>
      <c r="J85" s="229"/>
      <c r="K85" s="229"/>
      <c r="L85" s="229"/>
      <c r="M85" s="229"/>
    </row>
    <row r="86" spans="1:14">
      <c r="A86" s="681">
        <f>+A84+1</f>
        <v>76</v>
      </c>
      <c r="B86" s="682"/>
      <c r="C86" s="1260" t="s">
        <v>211</v>
      </c>
      <c r="D86" s="678" t="str">
        <f>"(sum lines "&amp;A20&amp;", "&amp;A36&amp;", "&amp;A52&amp;", "&amp;A68&amp;", &amp; "&amp;A84&amp;")"</f>
        <v>(sum lines 15, 30, 45, 60, &amp; 75)</v>
      </c>
      <c r="E86" s="1261"/>
      <c r="F86" s="1262">
        <f>F20+F36+F52+F68+F84</f>
        <v>130230769.23076923</v>
      </c>
      <c r="G86" s="232"/>
      <c r="H86" s="1016"/>
      <c r="I86" s="328"/>
      <c r="J86" s="230"/>
      <c r="K86" s="230"/>
      <c r="L86" s="230"/>
      <c r="M86" s="230"/>
    </row>
    <row r="87" spans="1:14" ht="16.2" thickBot="1">
      <c r="A87" s="1263"/>
      <c r="B87" s="1264"/>
      <c r="C87" s="1265"/>
      <c r="D87" s="923"/>
      <c r="E87" s="1266"/>
      <c r="F87" s="1267"/>
      <c r="G87" s="232"/>
      <c r="H87" s="1013"/>
      <c r="I87" s="227"/>
      <c r="J87" s="229"/>
      <c r="K87" s="229"/>
      <c r="L87" s="229"/>
      <c r="M87" s="229"/>
    </row>
    <row r="88" spans="1:14">
      <c r="A88" s="1268"/>
      <c r="B88" s="1246"/>
      <c r="C88" s="1247"/>
      <c r="D88" s="271"/>
      <c r="E88" s="1253"/>
      <c r="F88" s="1254"/>
      <c r="G88" s="232"/>
      <c r="H88" s="1013"/>
      <c r="I88" s="227"/>
      <c r="J88" s="229"/>
      <c r="K88" s="229"/>
      <c r="L88" s="229"/>
      <c r="M88" s="229"/>
    </row>
    <row r="89" spans="1:14">
      <c r="A89" s="1268"/>
      <c r="B89" s="1246"/>
      <c r="C89" s="1247"/>
      <c r="D89" s="271"/>
      <c r="E89" s="1253"/>
      <c r="F89" s="1254"/>
      <c r="G89" s="327"/>
      <c r="H89" s="1013"/>
      <c r="I89" s="227"/>
      <c r="J89" s="229"/>
      <c r="K89" s="229"/>
      <c r="L89" s="229"/>
      <c r="M89" s="229"/>
      <c r="N89" s="226"/>
    </row>
    <row r="90" spans="1:14" ht="16.2" thickBot="1">
      <c r="A90" s="1269" t="s">
        <v>183</v>
      </c>
      <c r="B90" s="252"/>
      <c r="C90" s="252"/>
      <c r="D90" s="252"/>
      <c r="E90" s="252"/>
      <c r="F90" s="689"/>
      <c r="G90" s="226"/>
      <c r="H90" s="1014"/>
      <c r="I90" s="226"/>
      <c r="J90" s="226"/>
      <c r="K90" s="226"/>
      <c r="L90" s="226"/>
      <c r="M90" s="226"/>
    </row>
    <row r="91" spans="1:14">
      <c r="A91" s="1474" t="s">
        <v>317</v>
      </c>
      <c r="B91" s="1475"/>
      <c r="C91" s="1475"/>
      <c r="D91" s="1475"/>
      <c r="E91" s="1475"/>
      <c r="F91" s="1476"/>
      <c r="G91" s="871"/>
      <c r="H91" s="1011"/>
      <c r="I91" s="871"/>
      <c r="J91" s="1472"/>
      <c r="K91" s="1473"/>
      <c r="L91" s="1473"/>
      <c r="M91" s="1473"/>
    </row>
    <row r="92" spans="1:14">
      <c r="A92" s="681">
        <f>+A86+1</f>
        <v>77</v>
      </c>
      <c r="B92" s="682"/>
      <c r="C92" s="683" t="s">
        <v>182</v>
      </c>
      <c r="D92" s="271" t="s">
        <v>632</v>
      </c>
      <c r="E92" s="684" t="s">
        <v>156</v>
      </c>
      <c r="F92" s="1243" t="s">
        <v>151</v>
      </c>
      <c r="G92" s="872"/>
      <c r="H92" s="1012"/>
      <c r="I92" s="230"/>
      <c r="J92" s="229"/>
      <c r="K92" s="229"/>
      <c r="L92" s="229"/>
      <c r="M92" s="229"/>
    </row>
    <row r="93" spans="1:14">
      <c r="A93" s="681">
        <f t="shared" ref="A93:A106" si="13">+A92+1</f>
        <v>78</v>
      </c>
      <c r="B93" s="252"/>
      <c r="C93" s="252" t="s">
        <v>164</v>
      </c>
      <c r="D93" s="678" t="s">
        <v>447</v>
      </c>
      <c r="E93" s="1439">
        <f>+$E$7</f>
        <v>2016</v>
      </c>
      <c r="F93" s="1244">
        <v>0</v>
      </c>
      <c r="G93" s="873"/>
      <c r="H93" s="1013"/>
      <c r="I93" s="231"/>
      <c r="J93" s="229"/>
      <c r="K93" s="229"/>
      <c r="L93" s="229"/>
      <c r="M93" s="229"/>
    </row>
    <row r="94" spans="1:14">
      <c r="A94" s="681">
        <f t="shared" si="13"/>
        <v>79</v>
      </c>
      <c r="B94" s="682"/>
      <c r="C94" s="1245" t="s">
        <v>174</v>
      </c>
      <c r="D94" s="271" t="s">
        <v>165</v>
      </c>
      <c r="E94" s="1439">
        <f>+$E$8</f>
        <v>2016</v>
      </c>
      <c r="F94" s="1244">
        <v>0</v>
      </c>
      <c r="G94" s="874"/>
      <c r="H94" s="1012"/>
      <c r="I94" s="230"/>
      <c r="J94" s="229"/>
      <c r="K94" s="229"/>
      <c r="L94" s="229"/>
      <c r="M94" s="229"/>
    </row>
    <row r="95" spans="1:14">
      <c r="A95" s="681">
        <f t="shared" si="13"/>
        <v>80</v>
      </c>
      <c r="B95" s="1246"/>
      <c r="C95" s="1247" t="s">
        <v>173</v>
      </c>
      <c r="D95" s="271" t="s">
        <v>165</v>
      </c>
      <c r="E95" s="1439">
        <f t="shared" ref="E95:E105" si="14">+$E$8</f>
        <v>2016</v>
      </c>
      <c r="F95" s="1244">
        <v>0</v>
      </c>
      <c r="G95" s="873"/>
      <c r="H95" s="1013"/>
      <c r="I95" s="227"/>
      <c r="J95" s="229"/>
      <c r="K95" s="229"/>
      <c r="L95" s="229"/>
      <c r="M95" s="229"/>
    </row>
    <row r="96" spans="1:14">
      <c r="A96" s="681">
        <f t="shared" si="13"/>
        <v>81</v>
      </c>
      <c r="B96" s="1246"/>
      <c r="C96" s="1247" t="s">
        <v>172</v>
      </c>
      <c r="D96" s="271" t="s">
        <v>165</v>
      </c>
      <c r="E96" s="1439">
        <f t="shared" si="14"/>
        <v>2016</v>
      </c>
      <c r="F96" s="1244">
        <v>0</v>
      </c>
      <c r="G96" s="873"/>
      <c r="H96" s="1013"/>
      <c r="I96" s="227"/>
      <c r="J96" s="229"/>
      <c r="K96" s="229"/>
      <c r="L96" s="229"/>
      <c r="M96" s="229"/>
    </row>
    <row r="97" spans="1:13">
      <c r="A97" s="681">
        <f t="shared" si="13"/>
        <v>82</v>
      </c>
      <c r="B97" s="271"/>
      <c r="C97" s="1245" t="s">
        <v>155</v>
      </c>
      <c r="D97" s="271" t="s">
        <v>165</v>
      </c>
      <c r="E97" s="1439">
        <f t="shared" si="14"/>
        <v>2016</v>
      </c>
      <c r="F97" s="1244">
        <v>0</v>
      </c>
      <c r="G97" s="873"/>
      <c r="H97" s="1013"/>
      <c r="I97" s="227"/>
      <c r="J97" s="229"/>
      <c r="K97" s="229"/>
      <c r="L97" s="229"/>
      <c r="M97" s="229"/>
    </row>
    <row r="98" spans="1:13">
      <c r="A98" s="681">
        <f t="shared" si="13"/>
        <v>83</v>
      </c>
      <c r="B98" s="682"/>
      <c r="C98" s="1247" t="s">
        <v>152</v>
      </c>
      <c r="D98" s="271" t="s">
        <v>165</v>
      </c>
      <c r="E98" s="1439">
        <f t="shared" si="14"/>
        <v>2016</v>
      </c>
      <c r="F98" s="1244">
        <v>0</v>
      </c>
      <c r="G98" s="244"/>
      <c r="H98" s="1012"/>
      <c r="I98" s="230"/>
      <c r="J98" s="230"/>
      <c r="K98" s="230"/>
      <c r="L98" s="230"/>
      <c r="M98" s="230"/>
    </row>
    <row r="99" spans="1:13">
      <c r="A99" s="681">
        <f t="shared" si="13"/>
        <v>84</v>
      </c>
      <c r="B99" s="271"/>
      <c r="C99" s="1247" t="s">
        <v>171</v>
      </c>
      <c r="D99" s="271" t="s">
        <v>165</v>
      </c>
      <c r="E99" s="1439">
        <f t="shared" si="14"/>
        <v>2016</v>
      </c>
      <c r="F99" s="1244">
        <f>ROUND(F13*('9- Depreciation Rates'!D19/100)/12,0)</f>
        <v>108750</v>
      </c>
      <c r="G99" s="873"/>
      <c r="H99" s="1013"/>
      <c r="I99" s="231"/>
      <c r="J99" s="229"/>
      <c r="K99" s="229"/>
      <c r="L99" s="229"/>
      <c r="M99" s="229"/>
    </row>
    <row r="100" spans="1:13">
      <c r="A100" s="681">
        <f t="shared" si="13"/>
        <v>85</v>
      </c>
      <c r="B100" s="682"/>
      <c r="C100" s="1245" t="s">
        <v>170</v>
      </c>
      <c r="D100" s="271" t="s">
        <v>165</v>
      </c>
      <c r="E100" s="1439">
        <f t="shared" si="14"/>
        <v>2016</v>
      </c>
      <c r="F100" s="1244">
        <f>F99+$F$99</f>
        <v>217500</v>
      </c>
      <c r="G100" s="874"/>
      <c r="H100" s="1012"/>
      <c r="I100" s="230"/>
      <c r="J100" s="229"/>
      <c r="K100" s="229"/>
      <c r="L100" s="229"/>
      <c r="M100" s="229"/>
    </row>
    <row r="101" spans="1:13">
      <c r="A101" s="681">
        <f t="shared" si="13"/>
        <v>86</v>
      </c>
      <c r="B101" s="1246"/>
      <c r="C101" s="1247" t="s">
        <v>169</v>
      </c>
      <c r="D101" s="271" t="s">
        <v>165</v>
      </c>
      <c r="E101" s="1439">
        <f t="shared" si="14"/>
        <v>2016</v>
      </c>
      <c r="F101" s="1244">
        <f>F100+$F$99</f>
        <v>326250</v>
      </c>
      <c r="G101" s="873"/>
      <c r="H101" s="1013"/>
      <c r="I101" s="227"/>
      <c r="J101" s="229"/>
      <c r="K101" s="229"/>
      <c r="L101" s="229"/>
      <c r="M101" s="229"/>
    </row>
    <row r="102" spans="1:13">
      <c r="A102" s="681">
        <f t="shared" si="13"/>
        <v>87</v>
      </c>
      <c r="B102" s="1246"/>
      <c r="C102" s="1247" t="s">
        <v>168</v>
      </c>
      <c r="D102" s="271" t="s">
        <v>165</v>
      </c>
      <c r="E102" s="1439">
        <f t="shared" si="14"/>
        <v>2016</v>
      </c>
      <c r="F102" s="1244">
        <f t="shared" ref="F102:F105" si="15">F101+$F$99</f>
        <v>435000</v>
      </c>
      <c r="G102" s="873"/>
      <c r="H102" s="1013"/>
      <c r="I102" s="227"/>
      <c r="J102" s="229"/>
      <c r="K102" s="229"/>
      <c r="L102" s="229"/>
      <c r="M102" s="229"/>
    </row>
    <row r="103" spans="1:13">
      <c r="A103" s="681">
        <f t="shared" si="13"/>
        <v>88</v>
      </c>
      <c r="B103" s="271"/>
      <c r="C103" s="1245" t="s">
        <v>181</v>
      </c>
      <c r="D103" s="271" t="s">
        <v>165</v>
      </c>
      <c r="E103" s="1439">
        <f t="shared" si="14"/>
        <v>2016</v>
      </c>
      <c r="F103" s="1244">
        <f t="shared" si="15"/>
        <v>543750</v>
      </c>
      <c r="G103" s="873"/>
      <c r="H103" s="1013"/>
      <c r="I103" s="227"/>
      <c r="J103" s="229"/>
      <c r="K103" s="229"/>
      <c r="L103" s="229"/>
      <c r="M103" s="229"/>
    </row>
    <row r="104" spans="1:13">
      <c r="A104" s="681">
        <f t="shared" si="13"/>
        <v>89</v>
      </c>
      <c r="B104" s="271"/>
      <c r="C104" s="1245" t="s">
        <v>166</v>
      </c>
      <c r="D104" s="271" t="s">
        <v>165</v>
      </c>
      <c r="E104" s="1439">
        <f t="shared" si="14"/>
        <v>2016</v>
      </c>
      <c r="F104" s="1244">
        <f t="shared" si="15"/>
        <v>652500</v>
      </c>
      <c r="G104" s="244"/>
      <c r="H104" s="1013"/>
      <c r="I104" s="227"/>
      <c r="J104" s="229"/>
      <c r="K104" s="229"/>
      <c r="L104" s="229"/>
      <c r="M104" s="229"/>
    </row>
    <row r="105" spans="1:13">
      <c r="A105" s="681">
        <f t="shared" si="13"/>
        <v>90</v>
      </c>
      <c r="B105" s="682"/>
      <c r="C105" s="1248" t="s">
        <v>164</v>
      </c>
      <c r="D105" s="1242" t="s">
        <v>448</v>
      </c>
      <c r="E105" s="1440">
        <f t="shared" si="14"/>
        <v>2016</v>
      </c>
      <c r="F105" s="1249">
        <f t="shared" si="15"/>
        <v>761250</v>
      </c>
      <c r="G105" s="876"/>
      <c r="H105" s="1012"/>
      <c r="I105" s="230"/>
      <c r="J105" s="230"/>
      <c r="K105" s="230"/>
      <c r="L105" s="230"/>
      <c r="M105" s="230"/>
    </row>
    <row r="106" spans="1:13">
      <c r="A106" s="681">
        <f t="shared" si="13"/>
        <v>91</v>
      </c>
      <c r="B106" s="271"/>
      <c r="C106" s="1250" t="s">
        <v>180</v>
      </c>
      <c r="D106" s="271" t="str">
        <f>"(sum lines "&amp;A93&amp;"-"&amp;A105&amp;") /13"</f>
        <v>(sum lines 78-90) /13</v>
      </c>
      <c r="E106" s="1256"/>
      <c r="F106" s="1312">
        <f>SUM(F93:F105)/13</f>
        <v>234230.76923076922</v>
      </c>
      <c r="G106" s="778"/>
      <c r="H106" s="1012"/>
      <c r="I106" s="230"/>
      <c r="J106" s="229"/>
      <c r="K106" s="229"/>
      <c r="L106" s="229"/>
      <c r="M106" s="229"/>
    </row>
    <row r="107" spans="1:13">
      <c r="A107" s="681"/>
      <c r="B107" s="1246"/>
      <c r="C107" s="1247"/>
      <c r="D107" s="271"/>
      <c r="E107" s="1256"/>
      <c r="F107" s="1254"/>
      <c r="G107" s="873"/>
      <c r="H107" s="1013"/>
      <c r="I107" s="227"/>
      <c r="J107" s="229"/>
      <c r="K107" s="229"/>
      <c r="L107" s="229"/>
      <c r="M107" s="229"/>
    </row>
    <row r="108" spans="1:13">
      <c r="A108" s="681">
        <f>+A106+1</f>
        <v>92</v>
      </c>
      <c r="B108" s="682"/>
      <c r="C108" s="683" t="s">
        <v>179</v>
      </c>
      <c r="D108" s="271" t="s">
        <v>632</v>
      </c>
      <c r="E108" s="1146"/>
      <c r="F108" s="1255"/>
      <c r="G108" s="244"/>
      <c r="H108" s="1012"/>
      <c r="I108" s="230"/>
      <c r="J108" s="229"/>
      <c r="K108" s="229"/>
      <c r="L108" s="229"/>
      <c r="M108" s="229"/>
    </row>
    <row r="109" spans="1:13">
      <c r="A109" s="681">
        <f t="shared" ref="A109:A122" si="16">+A108+1</f>
        <v>93</v>
      </c>
      <c r="B109" s="252"/>
      <c r="C109" s="252" t="s">
        <v>164</v>
      </c>
      <c r="D109" s="678" t="s">
        <v>449</v>
      </c>
      <c r="E109" s="1439">
        <f>+$E$7</f>
        <v>2016</v>
      </c>
      <c r="F109" s="1244">
        <v>0</v>
      </c>
      <c r="G109" s="873"/>
      <c r="H109" s="1013"/>
      <c r="I109" s="231"/>
      <c r="J109" s="229"/>
      <c r="K109" s="229"/>
      <c r="L109" s="229"/>
      <c r="M109" s="229"/>
    </row>
    <row r="110" spans="1:13">
      <c r="A110" s="681">
        <f t="shared" si="16"/>
        <v>94</v>
      </c>
      <c r="B110" s="682"/>
      <c r="C110" s="1245" t="s">
        <v>174</v>
      </c>
      <c r="D110" s="271" t="s">
        <v>165</v>
      </c>
      <c r="E110" s="1439">
        <f>+$E$8</f>
        <v>2016</v>
      </c>
      <c r="F110" s="1244">
        <v>0</v>
      </c>
      <c r="G110" s="874"/>
      <c r="H110" s="1012"/>
      <c r="I110" s="230"/>
      <c r="J110" s="229"/>
      <c r="K110" s="229"/>
      <c r="L110" s="229"/>
      <c r="M110" s="229"/>
    </row>
    <row r="111" spans="1:13">
      <c r="A111" s="681">
        <f t="shared" si="16"/>
        <v>95</v>
      </c>
      <c r="B111" s="1246"/>
      <c r="C111" s="1247" t="s">
        <v>173</v>
      </c>
      <c r="D111" s="271" t="s">
        <v>165</v>
      </c>
      <c r="E111" s="1439">
        <f t="shared" ref="E111:E121" si="17">+$E$8</f>
        <v>2016</v>
      </c>
      <c r="F111" s="1244">
        <v>0</v>
      </c>
      <c r="G111" s="873"/>
      <c r="H111" s="1013"/>
      <c r="I111" s="227"/>
      <c r="J111" s="229"/>
      <c r="K111" s="229"/>
      <c r="L111" s="229"/>
      <c r="M111" s="229"/>
    </row>
    <row r="112" spans="1:13">
      <c r="A112" s="681">
        <f t="shared" si="16"/>
        <v>96</v>
      </c>
      <c r="B112" s="1246"/>
      <c r="C112" s="1247" t="s">
        <v>172</v>
      </c>
      <c r="D112" s="271" t="s">
        <v>165</v>
      </c>
      <c r="E112" s="1439">
        <f t="shared" si="17"/>
        <v>2016</v>
      </c>
      <c r="F112" s="1244">
        <v>0</v>
      </c>
      <c r="G112" s="873"/>
      <c r="H112" s="1013"/>
      <c r="I112" s="227"/>
      <c r="J112" s="229"/>
      <c r="K112" s="229"/>
      <c r="L112" s="229"/>
      <c r="M112" s="229"/>
    </row>
    <row r="113" spans="1:13">
      <c r="A113" s="681">
        <f t="shared" si="16"/>
        <v>97</v>
      </c>
      <c r="B113" s="271"/>
      <c r="C113" s="1245" t="s">
        <v>155</v>
      </c>
      <c r="D113" s="271" t="s">
        <v>165</v>
      </c>
      <c r="E113" s="1439">
        <f t="shared" si="17"/>
        <v>2016</v>
      </c>
      <c r="F113" s="1244">
        <v>0</v>
      </c>
      <c r="G113" s="873"/>
      <c r="H113" s="1013"/>
      <c r="I113" s="227"/>
      <c r="J113" s="229"/>
      <c r="K113" s="229"/>
      <c r="L113" s="229"/>
      <c r="M113" s="229"/>
    </row>
    <row r="114" spans="1:13">
      <c r="A114" s="681">
        <f t="shared" si="16"/>
        <v>98</v>
      </c>
      <c r="B114" s="682"/>
      <c r="C114" s="1247" t="s">
        <v>152</v>
      </c>
      <c r="D114" s="271" t="s">
        <v>165</v>
      </c>
      <c r="E114" s="1439">
        <f t="shared" si="17"/>
        <v>2016</v>
      </c>
      <c r="F114" s="1244">
        <v>0</v>
      </c>
      <c r="G114" s="244"/>
      <c r="H114" s="1012"/>
      <c r="I114" s="230"/>
      <c r="J114" s="230"/>
      <c r="K114" s="230"/>
      <c r="L114" s="230"/>
      <c r="M114" s="230"/>
    </row>
    <row r="115" spans="1:13">
      <c r="A115" s="681">
        <f t="shared" si="16"/>
        <v>99</v>
      </c>
      <c r="B115" s="271"/>
      <c r="C115" s="1247" t="s">
        <v>171</v>
      </c>
      <c r="D115" s="271" t="s">
        <v>165</v>
      </c>
      <c r="E115" s="1439">
        <f t="shared" si="17"/>
        <v>2016</v>
      </c>
      <c r="F115" s="1244">
        <v>0</v>
      </c>
      <c r="G115" s="873"/>
      <c r="H115" s="1013"/>
      <c r="I115" s="231"/>
      <c r="J115" s="229"/>
      <c r="K115" s="229"/>
      <c r="L115" s="229"/>
      <c r="M115" s="229"/>
    </row>
    <row r="116" spans="1:13">
      <c r="A116" s="681">
        <f t="shared" si="16"/>
        <v>100</v>
      </c>
      <c r="B116" s="682"/>
      <c r="C116" s="1245" t="s">
        <v>170</v>
      </c>
      <c r="D116" s="271" t="s">
        <v>165</v>
      </c>
      <c r="E116" s="1439">
        <f t="shared" si="17"/>
        <v>2016</v>
      </c>
      <c r="F116" s="1244">
        <v>0</v>
      </c>
      <c r="G116" s="874"/>
      <c r="H116" s="1012"/>
      <c r="I116" s="230"/>
      <c r="J116" s="229"/>
      <c r="K116" s="229"/>
      <c r="L116" s="229"/>
      <c r="M116" s="229"/>
    </row>
    <row r="117" spans="1:13">
      <c r="A117" s="681">
        <f t="shared" si="16"/>
        <v>101</v>
      </c>
      <c r="B117" s="1246"/>
      <c r="C117" s="1247" t="s">
        <v>169</v>
      </c>
      <c r="D117" s="271" t="s">
        <v>165</v>
      </c>
      <c r="E117" s="1439">
        <f t="shared" si="17"/>
        <v>2016</v>
      </c>
      <c r="F117" s="1244">
        <v>0</v>
      </c>
      <c r="G117" s="873"/>
      <c r="H117" s="1013"/>
      <c r="I117" s="227"/>
      <c r="J117" s="229"/>
      <c r="K117" s="229"/>
      <c r="L117" s="229"/>
      <c r="M117" s="229"/>
    </row>
    <row r="118" spans="1:13">
      <c r="A118" s="681">
        <f t="shared" si="16"/>
        <v>102</v>
      </c>
      <c r="B118" s="1246"/>
      <c r="C118" s="1247" t="s">
        <v>168</v>
      </c>
      <c r="D118" s="271" t="s">
        <v>165</v>
      </c>
      <c r="E118" s="1439">
        <f t="shared" si="17"/>
        <v>2016</v>
      </c>
      <c r="F118" s="1244">
        <v>0</v>
      </c>
      <c r="G118" s="873"/>
      <c r="H118" s="1013"/>
      <c r="I118" s="227"/>
      <c r="J118" s="229"/>
      <c r="K118" s="229"/>
      <c r="L118" s="229"/>
      <c r="M118" s="229"/>
    </row>
    <row r="119" spans="1:13">
      <c r="A119" s="681">
        <f t="shared" si="16"/>
        <v>103</v>
      </c>
      <c r="B119" s="271"/>
      <c r="C119" s="1245" t="s">
        <v>167</v>
      </c>
      <c r="D119" s="271" t="s">
        <v>165</v>
      </c>
      <c r="E119" s="1439">
        <f t="shared" si="17"/>
        <v>2016</v>
      </c>
      <c r="F119" s="1244">
        <v>0</v>
      </c>
      <c r="G119" s="873"/>
      <c r="H119" s="1013"/>
      <c r="I119" s="227"/>
      <c r="J119" s="229"/>
      <c r="K119" s="229"/>
      <c r="L119" s="229"/>
      <c r="M119" s="229"/>
    </row>
    <row r="120" spans="1:13">
      <c r="A120" s="681">
        <f t="shared" si="16"/>
        <v>104</v>
      </c>
      <c r="B120" s="271"/>
      <c r="C120" s="1245" t="s">
        <v>166</v>
      </c>
      <c r="D120" s="271" t="s">
        <v>165</v>
      </c>
      <c r="E120" s="1439">
        <f t="shared" si="17"/>
        <v>2016</v>
      </c>
      <c r="F120" s="1244">
        <v>0</v>
      </c>
      <c r="G120" s="873"/>
      <c r="H120" s="1013"/>
      <c r="I120" s="227"/>
      <c r="J120" s="229"/>
      <c r="K120" s="229"/>
      <c r="L120" s="229"/>
      <c r="M120" s="229"/>
    </row>
    <row r="121" spans="1:13">
      <c r="A121" s="681">
        <f t="shared" si="16"/>
        <v>105</v>
      </c>
      <c r="B121" s="682"/>
      <c r="C121" s="1248" t="s">
        <v>164</v>
      </c>
      <c r="D121" s="1242" t="s">
        <v>450</v>
      </c>
      <c r="E121" s="1440">
        <f t="shared" si="17"/>
        <v>2016</v>
      </c>
      <c r="F121" s="1249">
        <v>0</v>
      </c>
      <c r="G121" s="876"/>
      <c r="H121" s="1012"/>
      <c r="I121" s="230"/>
      <c r="J121" s="230"/>
      <c r="K121" s="230"/>
      <c r="L121" s="230"/>
      <c r="M121" s="230"/>
    </row>
    <row r="122" spans="1:13">
      <c r="A122" s="681">
        <f t="shared" si="16"/>
        <v>106</v>
      </c>
      <c r="B122" s="271"/>
      <c r="C122" s="1250" t="s">
        <v>178</v>
      </c>
      <c r="D122" s="271" t="str">
        <f>"(sum lines "&amp;A109&amp;"-"&amp;A121&amp;") /13"</f>
        <v>(sum lines 93-105) /13</v>
      </c>
      <c r="E122" s="1256"/>
      <c r="F122" s="1252">
        <f>SUM(F109:F121)/13</f>
        <v>0</v>
      </c>
      <c r="G122" s="778"/>
      <c r="H122" s="1012"/>
      <c r="I122" s="230"/>
      <c r="J122" s="229"/>
      <c r="K122" s="229"/>
      <c r="L122" s="229"/>
      <c r="M122" s="229"/>
    </row>
    <row r="123" spans="1:13">
      <c r="A123" s="681"/>
      <c r="B123" s="1246"/>
      <c r="C123" s="1247"/>
      <c r="D123" s="271"/>
      <c r="E123" s="1256"/>
      <c r="F123" s="1254"/>
      <c r="G123" s="873"/>
      <c r="H123" s="1013"/>
      <c r="I123" s="227"/>
      <c r="J123" s="229"/>
      <c r="K123" s="229"/>
      <c r="L123" s="229"/>
      <c r="M123" s="229"/>
    </row>
    <row r="124" spans="1:13">
      <c r="A124" s="681">
        <f>+A122+1</f>
        <v>107</v>
      </c>
      <c r="B124" s="682"/>
      <c r="C124" s="683" t="s">
        <v>803</v>
      </c>
      <c r="D124" s="271" t="s">
        <v>632</v>
      </c>
      <c r="E124" s="1146"/>
      <c r="F124" s="1255"/>
      <c r="G124" s="244"/>
      <c r="H124" s="1012"/>
      <c r="I124" s="230"/>
      <c r="J124" s="229"/>
      <c r="K124" s="229"/>
      <c r="L124" s="229"/>
      <c r="M124" s="229"/>
    </row>
    <row r="125" spans="1:13">
      <c r="A125" s="681">
        <f>+A124+1</f>
        <v>108</v>
      </c>
      <c r="B125" s="252"/>
      <c r="C125" s="252" t="s">
        <v>164</v>
      </c>
      <c r="D125" s="678" t="s">
        <v>177</v>
      </c>
      <c r="E125" s="1439">
        <f>+$E$7</f>
        <v>2016</v>
      </c>
      <c r="F125" s="1244">
        <v>0</v>
      </c>
      <c r="G125" s="873"/>
      <c r="H125" s="1013"/>
      <c r="I125" s="231"/>
      <c r="J125" s="229"/>
      <c r="K125" s="229"/>
      <c r="L125" s="229"/>
      <c r="M125" s="229"/>
    </row>
    <row r="126" spans="1:13">
      <c r="A126" s="681">
        <f t="shared" ref="A126:A137" si="18">+A125+1</f>
        <v>109</v>
      </c>
      <c r="B126" s="252"/>
      <c r="C126" s="1245" t="s">
        <v>174</v>
      </c>
      <c r="D126" s="271" t="s">
        <v>165</v>
      </c>
      <c r="E126" s="1439">
        <f>+$E$8</f>
        <v>2016</v>
      </c>
      <c r="F126" s="1244">
        <v>0</v>
      </c>
      <c r="G126" s="873"/>
      <c r="H126" s="1013"/>
      <c r="I126" s="231"/>
      <c r="J126" s="229"/>
      <c r="K126" s="229"/>
      <c r="L126" s="229"/>
      <c r="M126" s="229"/>
    </row>
    <row r="127" spans="1:13">
      <c r="A127" s="681">
        <f t="shared" si="18"/>
        <v>110</v>
      </c>
      <c r="B127" s="252"/>
      <c r="C127" s="1247" t="s">
        <v>173</v>
      </c>
      <c r="D127" s="271" t="s">
        <v>165</v>
      </c>
      <c r="E127" s="1439">
        <f t="shared" ref="E127:E137" si="19">+$E$8</f>
        <v>2016</v>
      </c>
      <c r="F127" s="1244">
        <v>0</v>
      </c>
      <c r="G127" s="873"/>
      <c r="H127" s="1013"/>
      <c r="I127" s="231"/>
      <c r="J127" s="229"/>
      <c r="K127" s="229"/>
      <c r="L127" s="229"/>
      <c r="M127" s="229"/>
    </row>
    <row r="128" spans="1:13">
      <c r="A128" s="681">
        <f t="shared" si="18"/>
        <v>111</v>
      </c>
      <c r="B128" s="252"/>
      <c r="C128" s="1247" t="s">
        <v>172</v>
      </c>
      <c r="D128" s="271" t="s">
        <v>165</v>
      </c>
      <c r="E128" s="1439">
        <f t="shared" si="19"/>
        <v>2016</v>
      </c>
      <c r="F128" s="1244">
        <v>0</v>
      </c>
      <c r="G128" s="873"/>
      <c r="H128" s="1013"/>
      <c r="I128" s="231"/>
      <c r="J128" s="229"/>
      <c r="K128" s="229"/>
      <c r="L128" s="229"/>
      <c r="M128" s="229"/>
    </row>
    <row r="129" spans="1:13">
      <c r="A129" s="681">
        <f t="shared" si="18"/>
        <v>112</v>
      </c>
      <c r="B129" s="252"/>
      <c r="C129" s="1245" t="s">
        <v>155</v>
      </c>
      <c r="D129" s="271" t="s">
        <v>165</v>
      </c>
      <c r="E129" s="1439">
        <f t="shared" si="19"/>
        <v>2016</v>
      </c>
      <c r="F129" s="1244">
        <v>0</v>
      </c>
      <c r="G129" s="873"/>
      <c r="H129" s="1013"/>
      <c r="I129" s="231"/>
      <c r="J129" s="229"/>
      <c r="K129" s="229"/>
      <c r="L129" s="229"/>
      <c r="M129" s="229"/>
    </row>
    <row r="130" spans="1:13">
      <c r="A130" s="681">
        <f t="shared" si="18"/>
        <v>113</v>
      </c>
      <c r="B130" s="252"/>
      <c r="C130" s="1247" t="s">
        <v>152</v>
      </c>
      <c r="D130" s="271" t="s">
        <v>165</v>
      </c>
      <c r="E130" s="1439">
        <f t="shared" si="19"/>
        <v>2016</v>
      </c>
      <c r="F130" s="1244">
        <v>0</v>
      </c>
      <c r="G130" s="873"/>
      <c r="H130" s="1013"/>
      <c r="I130" s="231"/>
      <c r="J130" s="229"/>
      <c r="K130" s="229"/>
      <c r="L130" s="229"/>
      <c r="M130" s="229"/>
    </row>
    <row r="131" spans="1:13">
      <c r="A131" s="681">
        <f t="shared" si="18"/>
        <v>114</v>
      </c>
      <c r="B131" s="252"/>
      <c r="C131" s="1247" t="s">
        <v>171</v>
      </c>
      <c r="D131" s="271" t="s">
        <v>165</v>
      </c>
      <c r="E131" s="1439">
        <f t="shared" si="19"/>
        <v>2016</v>
      </c>
      <c r="F131" s="1244">
        <f>ROUND(F45*('9- Depreciation Rates'!D19/100)/12,0)</f>
        <v>300761</v>
      </c>
      <c r="G131" s="873"/>
      <c r="H131" s="1013"/>
      <c r="I131" s="231"/>
      <c r="J131" s="229"/>
      <c r="K131" s="229"/>
      <c r="L131" s="229"/>
      <c r="M131" s="229"/>
    </row>
    <row r="132" spans="1:13">
      <c r="A132" s="681">
        <f t="shared" si="18"/>
        <v>115</v>
      </c>
      <c r="B132" s="252"/>
      <c r="C132" s="1245" t="s">
        <v>170</v>
      </c>
      <c r="D132" s="271" t="s">
        <v>165</v>
      </c>
      <c r="E132" s="1439">
        <f t="shared" si="19"/>
        <v>2016</v>
      </c>
      <c r="F132" s="1244">
        <f>F131+$F$131</f>
        <v>601522</v>
      </c>
      <c r="G132" s="873"/>
      <c r="H132" s="1013"/>
      <c r="I132" s="231"/>
      <c r="J132" s="229"/>
      <c r="K132" s="229"/>
      <c r="L132" s="229"/>
      <c r="M132" s="229"/>
    </row>
    <row r="133" spans="1:13">
      <c r="A133" s="681">
        <f t="shared" si="18"/>
        <v>116</v>
      </c>
      <c r="B133" s="252"/>
      <c r="C133" s="1247" t="s">
        <v>169</v>
      </c>
      <c r="D133" s="271" t="s">
        <v>165</v>
      </c>
      <c r="E133" s="1439">
        <f t="shared" si="19"/>
        <v>2016</v>
      </c>
      <c r="F133" s="1244">
        <f t="shared" ref="F133:F137" si="20">F132+$F$131</f>
        <v>902283</v>
      </c>
      <c r="G133" s="873"/>
      <c r="H133" s="1013"/>
      <c r="I133" s="231"/>
      <c r="J133" s="229"/>
      <c r="K133" s="229"/>
      <c r="L133" s="229"/>
      <c r="M133" s="229"/>
    </row>
    <row r="134" spans="1:13">
      <c r="A134" s="681">
        <f t="shared" si="18"/>
        <v>117</v>
      </c>
      <c r="B134" s="252"/>
      <c r="C134" s="1247" t="s">
        <v>168</v>
      </c>
      <c r="D134" s="271" t="s">
        <v>165</v>
      </c>
      <c r="E134" s="1439">
        <f t="shared" si="19"/>
        <v>2016</v>
      </c>
      <c r="F134" s="1244">
        <f t="shared" si="20"/>
        <v>1203044</v>
      </c>
      <c r="G134" s="873"/>
      <c r="H134" s="1013"/>
      <c r="I134" s="231"/>
      <c r="J134" s="229"/>
      <c r="K134" s="229"/>
      <c r="L134" s="229"/>
      <c r="M134" s="229"/>
    </row>
    <row r="135" spans="1:13">
      <c r="A135" s="681">
        <f t="shared" si="18"/>
        <v>118</v>
      </c>
      <c r="B135" s="252"/>
      <c r="C135" s="1245" t="s">
        <v>167</v>
      </c>
      <c r="D135" s="271" t="s">
        <v>165</v>
      </c>
      <c r="E135" s="1439">
        <f t="shared" si="19"/>
        <v>2016</v>
      </c>
      <c r="F135" s="1244">
        <f t="shared" si="20"/>
        <v>1503805</v>
      </c>
      <c r="G135" s="873"/>
      <c r="H135" s="1013"/>
      <c r="I135" s="231"/>
      <c r="J135" s="229"/>
      <c r="K135" s="229"/>
      <c r="L135" s="229"/>
      <c r="M135" s="229"/>
    </row>
    <row r="136" spans="1:13">
      <c r="A136" s="681">
        <f t="shared" si="18"/>
        <v>119</v>
      </c>
      <c r="B136" s="252"/>
      <c r="C136" s="1245" t="s">
        <v>166</v>
      </c>
      <c r="D136" s="271" t="s">
        <v>165</v>
      </c>
      <c r="E136" s="1439">
        <f t="shared" si="19"/>
        <v>2016</v>
      </c>
      <c r="F136" s="1244">
        <f t="shared" si="20"/>
        <v>1804566</v>
      </c>
      <c r="G136" s="873"/>
      <c r="H136" s="1013"/>
      <c r="I136" s="231"/>
      <c r="J136" s="229"/>
      <c r="K136" s="229"/>
      <c r="L136" s="229"/>
      <c r="M136" s="229"/>
    </row>
    <row r="137" spans="1:13">
      <c r="A137" s="681">
        <f t="shared" si="18"/>
        <v>120</v>
      </c>
      <c r="B137" s="682"/>
      <c r="C137" s="1248" t="s">
        <v>164</v>
      </c>
      <c r="D137" s="1242" t="s">
        <v>451</v>
      </c>
      <c r="E137" s="1440">
        <f t="shared" si="19"/>
        <v>2016</v>
      </c>
      <c r="F137" s="1249">
        <f t="shared" si="20"/>
        <v>2105327</v>
      </c>
      <c r="G137" s="876"/>
      <c r="H137" s="1012"/>
      <c r="I137" s="230"/>
      <c r="J137" s="230"/>
      <c r="K137" s="230"/>
      <c r="L137" s="230"/>
      <c r="M137" s="230"/>
    </row>
    <row r="138" spans="1:13">
      <c r="A138" s="681">
        <f>+A137+1</f>
        <v>121</v>
      </c>
      <c r="B138" s="271"/>
      <c r="C138" s="1250" t="s">
        <v>804</v>
      </c>
      <c r="D138" s="271" t="str">
        <f>"(sum lines "&amp;A125&amp;"-"&amp;A137&amp;") /13"</f>
        <v>(sum lines 108-120) /13</v>
      </c>
      <c r="E138" s="1256"/>
      <c r="F138" s="1252">
        <f>SUM(F125:F137)/13</f>
        <v>647792.92307692312</v>
      </c>
      <c r="G138" s="778"/>
      <c r="H138" s="1012"/>
      <c r="I138" s="230"/>
      <c r="J138" s="229"/>
      <c r="K138" s="229"/>
      <c r="L138" s="229"/>
      <c r="M138" s="229"/>
    </row>
    <row r="139" spans="1:13">
      <c r="A139" s="681"/>
      <c r="B139" s="271"/>
      <c r="C139" s="1245"/>
      <c r="D139" s="271"/>
      <c r="E139" s="1257"/>
      <c r="F139" s="1258"/>
      <c r="G139" s="873"/>
      <c r="H139" s="1013"/>
      <c r="I139" s="227"/>
      <c r="J139" s="229"/>
      <c r="K139" s="229"/>
      <c r="L139" s="229"/>
      <c r="M139" s="229"/>
    </row>
    <row r="140" spans="1:13">
      <c r="A140" s="681">
        <f>+A138+1</f>
        <v>122</v>
      </c>
      <c r="B140" s="682"/>
      <c r="C140" s="683" t="s">
        <v>176</v>
      </c>
      <c r="D140" s="271" t="s">
        <v>632</v>
      </c>
      <c r="E140" s="1146"/>
      <c r="F140" s="1255"/>
      <c r="G140" s="244"/>
      <c r="H140" s="1012"/>
      <c r="I140" s="230"/>
      <c r="J140" s="229"/>
      <c r="K140" s="229"/>
      <c r="L140" s="229"/>
      <c r="M140" s="229"/>
    </row>
    <row r="141" spans="1:13">
      <c r="A141" s="681">
        <f>+A140+1</f>
        <v>123</v>
      </c>
      <c r="B141" s="252"/>
      <c r="C141" s="252" t="s">
        <v>164</v>
      </c>
      <c r="D141" s="678" t="s">
        <v>452</v>
      </c>
      <c r="E141" s="1439">
        <f>+$E$7</f>
        <v>2016</v>
      </c>
      <c r="F141" s="1244">
        <v>0</v>
      </c>
      <c r="G141" s="873"/>
      <c r="H141" s="1013"/>
      <c r="I141" s="231"/>
      <c r="J141" s="229"/>
      <c r="K141" s="229"/>
      <c r="L141" s="229"/>
      <c r="M141" s="229"/>
    </row>
    <row r="142" spans="1:13">
      <c r="A142" s="681">
        <f t="shared" ref="A142:A153" si="21">+A141+1</f>
        <v>124</v>
      </c>
      <c r="B142" s="252"/>
      <c r="C142" s="1270" t="s">
        <v>174</v>
      </c>
      <c r="D142" s="260" t="s">
        <v>165</v>
      </c>
      <c r="E142" s="1439">
        <f>+$E$8</f>
        <v>2016</v>
      </c>
      <c r="F142" s="1244">
        <v>0</v>
      </c>
      <c r="G142" s="873"/>
      <c r="H142" s="1013"/>
      <c r="I142" s="231"/>
      <c r="J142" s="229"/>
      <c r="K142" s="229"/>
      <c r="L142" s="229"/>
      <c r="M142" s="229"/>
    </row>
    <row r="143" spans="1:13">
      <c r="A143" s="681">
        <f t="shared" si="21"/>
        <v>125</v>
      </c>
      <c r="B143" s="252"/>
      <c r="C143" s="1247" t="s">
        <v>173</v>
      </c>
      <c r="D143" s="260" t="s">
        <v>165</v>
      </c>
      <c r="E143" s="1439">
        <f t="shared" ref="E143:E153" si="22">+$E$8</f>
        <v>2016</v>
      </c>
      <c r="F143" s="1244">
        <v>0</v>
      </c>
      <c r="G143" s="873"/>
      <c r="H143" s="1013"/>
      <c r="I143" s="231"/>
      <c r="J143" s="229"/>
      <c r="K143" s="229"/>
      <c r="L143" s="229"/>
      <c r="M143" s="229"/>
    </row>
    <row r="144" spans="1:13">
      <c r="A144" s="681">
        <f t="shared" si="21"/>
        <v>126</v>
      </c>
      <c r="B144" s="252"/>
      <c r="C144" s="1247" t="s">
        <v>172</v>
      </c>
      <c r="D144" s="260" t="s">
        <v>165</v>
      </c>
      <c r="E144" s="1439">
        <f t="shared" si="22"/>
        <v>2016</v>
      </c>
      <c r="F144" s="1244">
        <v>0</v>
      </c>
      <c r="G144" s="873"/>
      <c r="H144" s="1013"/>
      <c r="I144" s="231"/>
      <c r="J144" s="229"/>
      <c r="K144" s="229"/>
      <c r="L144" s="229"/>
      <c r="M144" s="229"/>
    </row>
    <row r="145" spans="1:13">
      <c r="A145" s="681">
        <f t="shared" si="21"/>
        <v>127</v>
      </c>
      <c r="B145" s="252"/>
      <c r="C145" s="1270" t="s">
        <v>155</v>
      </c>
      <c r="D145" s="260" t="s">
        <v>165</v>
      </c>
      <c r="E145" s="1439">
        <f t="shared" si="22"/>
        <v>2016</v>
      </c>
      <c r="F145" s="1244">
        <v>0</v>
      </c>
      <c r="G145" s="873"/>
      <c r="H145" s="1013"/>
      <c r="I145" s="231"/>
      <c r="J145" s="229"/>
      <c r="K145" s="229"/>
      <c r="L145" s="229"/>
      <c r="M145" s="229"/>
    </row>
    <row r="146" spans="1:13">
      <c r="A146" s="681">
        <f t="shared" si="21"/>
        <v>128</v>
      </c>
      <c r="B146" s="252"/>
      <c r="C146" s="1247" t="s">
        <v>152</v>
      </c>
      <c r="D146" s="260" t="s">
        <v>165</v>
      </c>
      <c r="E146" s="1439">
        <f t="shared" si="22"/>
        <v>2016</v>
      </c>
      <c r="F146" s="1244">
        <v>0</v>
      </c>
      <c r="G146" s="873"/>
      <c r="H146" s="1013"/>
      <c r="I146" s="231"/>
      <c r="J146" s="229"/>
      <c r="K146" s="229"/>
      <c r="L146" s="229"/>
      <c r="M146" s="229"/>
    </row>
    <row r="147" spans="1:13">
      <c r="A147" s="681">
        <f t="shared" si="21"/>
        <v>129</v>
      </c>
      <c r="B147" s="252"/>
      <c r="C147" s="1247" t="s">
        <v>171</v>
      </c>
      <c r="D147" s="260" t="s">
        <v>165</v>
      </c>
      <c r="E147" s="1439">
        <f t="shared" si="22"/>
        <v>2016</v>
      </c>
      <c r="F147" s="1244">
        <v>0</v>
      </c>
      <c r="G147" s="873"/>
      <c r="H147" s="1013"/>
      <c r="I147" s="231"/>
      <c r="J147" s="229"/>
      <c r="K147" s="229"/>
      <c r="L147" s="229"/>
      <c r="M147" s="229"/>
    </row>
    <row r="148" spans="1:13">
      <c r="A148" s="681">
        <f t="shared" si="21"/>
        <v>130</v>
      </c>
      <c r="B148" s="252"/>
      <c r="C148" s="1270" t="s">
        <v>170</v>
      </c>
      <c r="D148" s="260" t="s">
        <v>165</v>
      </c>
      <c r="E148" s="1439">
        <f t="shared" si="22"/>
        <v>2016</v>
      </c>
      <c r="F148" s="1244">
        <f>ROUND(F62*('9- Depreciation Rates'!D39/100)/12,0)</f>
        <v>4368</v>
      </c>
      <c r="G148" s="873"/>
      <c r="H148" s="1013"/>
      <c r="I148" s="231"/>
      <c r="J148" s="229"/>
      <c r="K148" s="229"/>
      <c r="L148" s="229"/>
      <c r="M148" s="229"/>
    </row>
    <row r="149" spans="1:13">
      <c r="A149" s="681">
        <f t="shared" si="21"/>
        <v>131</v>
      </c>
      <c r="B149" s="252"/>
      <c r="C149" s="1247" t="s">
        <v>169</v>
      </c>
      <c r="D149" s="260" t="s">
        <v>165</v>
      </c>
      <c r="E149" s="1439">
        <f t="shared" si="22"/>
        <v>2016</v>
      </c>
      <c r="F149" s="1244">
        <f>F148+$F$148</f>
        <v>8736</v>
      </c>
      <c r="G149" s="873"/>
      <c r="H149" s="1013"/>
      <c r="I149" s="231"/>
      <c r="J149" s="229"/>
      <c r="K149" s="229"/>
      <c r="L149" s="229"/>
      <c r="M149" s="229"/>
    </row>
    <row r="150" spans="1:13">
      <c r="A150" s="681">
        <f t="shared" si="21"/>
        <v>132</v>
      </c>
      <c r="B150" s="252"/>
      <c r="C150" s="1247" t="s">
        <v>168</v>
      </c>
      <c r="D150" s="260" t="s">
        <v>165</v>
      </c>
      <c r="E150" s="1439">
        <f t="shared" si="22"/>
        <v>2016</v>
      </c>
      <c r="F150" s="1244">
        <f t="shared" ref="F150:F153" si="23">F149+$F$148</f>
        <v>13104</v>
      </c>
      <c r="G150" s="873"/>
      <c r="H150" s="1013"/>
      <c r="I150" s="231"/>
      <c r="J150" s="229"/>
      <c r="K150" s="229"/>
      <c r="L150" s="229"/>
      <c r="M150" s="229"/>
    </row>
    <row r="151" spans="1:13">
      <c r="A151" s="681">
        <f t="shared" si="21"/>
        <v>133</v>
      </c>
      <c r="B151" s="252"/>
      <c r="C151" s="1270" t="s">
        <v>167</v>
      </c>
      <c r="D151" s="260" t="s">
        <v>165</v>
      </c>
      <c r="E151" s="1439">
        <f t="shared" si="22"/>
        <v>2016</v>
      </c>
      <c r="F151" s="1244">
        <f t="shared" si="23"/>
        <v>17472</v>
      </c>
      <c r="G151" s="873"/>
      <c r="H151" s="1013"/>
      <c r="I151" s="231"/>
      <c r="J151" s="229"/>
      <c r="K151" s="229"/>
      <c r="L151" s="229"/>
      <c r="M151" s="229"/>
    </row>
    <row r="152" spans="1:13">
      <c r="A152" s="681">
        <f t="shared" si="21"/>
        <v>134</v>
      </c>
      <c r="B152" s="252"/>
      <c r="C152" s="1270" t="s">
        <v>166</v>
      </c>
      <c r="D152" s="260" t="s">
        <v>165</v>
      </c>
      <c r="E152" s="1439">
        <f t="shared" si="22"/>
        <v>2016</v>
      </c>
      <c r="F152" s="1244">
        <f t="shared" si="23"/>
        <v>21840</v>
      </c>
      <c r="G152" s="873"/>
      <c r="H152" s="1013"/>
      <c r="I152" s="231"/>
      <c r="J152" s="229"/>
      <c r="K152" s="229"/>
      <c r="L152" s="229"/>
      <c r="M152" s="229"/>
    </row>
    <row r="153" spans="1:13">
      <c r="A153" s="681">
        <f t="shared" si="21"/>
        <v>135</v>
      </c>
      <c r="B153" s="682"/>
      <c r="C153" s="1248" t="s">
        <v>164</v>
      </c>
      <c r="D153" s="1242" t="s">
        <v>453</v>
      </c>
      <c r="E153" s="1440">
        <f t="shared" si="22"/>
        <v>2016</v>
      </c>
      <c r="F153" s="1249">
        <f t="shared" si="23"/>
        <v>26208</v>
      </c>
      <c r="G153" s="876"/>
      <c r="H153" s="1012"/>
      <c r="I153" s="230"/>
      <c r="J153" s="230"/>
      <c r="K153" s="230"/>
      <c r="L153" s="230"/>
      <c r="M153" s="230"/>
    </row>
    <row r="154" spans="1:13">
      <c r="A154" s="681">
        <f>+A153+1</f>
        <v>136</v>
      </c>
      <c r="B154" s="271"/>
      <c r="C154" s="1250" t="s">
        <v>212</v>
      </c>
      <c r="D154" s="271" t="str">
        <f>"(sum lines "&amp;A141&amp;"-"&amp;A153&amp;") /13"</f>
        <v>(sum lines 123-135) /13</v>
      </c>
      <c r="E154" s="1256"/>
      <c r="F154" s="1252">
        <f>SUM(F141:F153)/13</f>
        <v>7056</v>
      </c>
      <c r="G154" s="778"/>
      <c r="H154" s="1012"/>
      <c r="I154" s="230"/>
      <c r="J154" s="229"/>
      <c r="K154" s="229"/>
      <c r="L154" s="229"/>
      <c r="M154" s="229"/>
    </row>
    <row r="155" spans="1:13">
      <c r="A155" s="681"/>
      <c r="B155" s="682"/>
      <c r="C155" s="1247"/>
      <c r="D155" s="678"/>
      <c r="E155" s="1257"/>
      <c r="F155" s="1259"/>
      <c r="G155" s="244"/>
      <c r="H155" s="1012"/>
      <c r="I155" s="230"/>
      <c r="J155" s="230"/>
      <c r="K155" s="230"/>
      <c r="L155" s="230"/>
      <c r="M155" s="230"/>
    </row>
    <row r="156" spans="1:13">
      <c r="A156" s="681">
        <f>+A154+1</f>
        <v>137</v>
      </c>
      <c r="B156" s="682"/>
      <c r="C156" s="683" t="s">
        <v>175</v>
      </c>
      <c r="D156" s="271" t="s">
        <v>632</v>
      </c>
      <c r="E156" s="1146"/>
      <c r="F156" s="1255"/>
      <c r="G156" s="244"/>
      <c r="H156" s="1012"/>
      <c r="I156" s="230"/>
      <c r="J156" s="229"/>
      <c r="K156" s="229"/>
      <c r="L156" s="229"/>
      <c r="M156" s="229"/>
    </row>
    <row r="157" spans="1:13">
      <c r="A157" s="681">
        <f t="shared" ref="A157:A170" si="24">+A156+1</f>
        <v>138</v>
      </c>
      <c r="B157" s="682"/>
      <c r="C157" s="252" t="s">
        <v>164</v>
      </c>
      <c r="D157" s="678" t="s">
        <v>455</v>
      </c>
      <c r="E157" s="1439">
        <f>+$E$7</f>
        <v>2016</v>
      </c>
      <c r="F157" s="1244">
        <v>0</v>
      </c>
      <c r="G157" s="244"/>
      <c r="H157" s="1012"/>
      <c r="I157" s="230"/>
      <c r="J157" s="229"/>
      <c r="K157" s="229"/>
      <c r="L157" s="229"/>
      <c r="M157" s="229"/>
    </row>
    <row r="158" spans="1:13">
      <c r="A158" s="681">
        <f t="shared" si="24"/>
        <v>139</v>
      </c>
      <c r="B158" s="682"/>
      <c r="C158" s="1270" t="s">
        <v>174</v>
      </c>
      <c r="D158" s="260" t="s">
        <v>165</v>
      </c>
      <c r="E158" s="1439">
        <f>+$E$8</f>
        <v>2016</v>
      </c>
      <c r="F158" s="1244">
        <v>0</v>
      </c>
      <c r="G158" s="244"/>
      <c r="H158" s="1012"/>
      <c r="I158" s="230"/>
      <c r="J158" s="229"/>
      <c r="K158" s="229"/>
      <c r="L158" s="229"/>
      <c r="M158" s="229"/>
    </row>
    <row r="159" spans="1:13">
      <c r="A159" s="681">
        <f t="shared" si="24"/>
        <v>140</v>
      </c>
      <c r="B159" s="682"/>
      <c r="C159" s="1247" t="s">
        <v>173</v>
      </c>
      <c r="D159" s="260" t="s">
        <v>165</v>
      </c>
      <c r="E159" s="1439">
        <f t="shared" ref="E159:E169" si="25">+$E$8</f>
        <v>2016</v>
      </c>
      <c r="F159" s="1244">
        <v>0</v>
      </c>
      <c r="G159" s="244"/>
      <c r="H159" s="1012"/>
      <c r="I159" s="230"/>
      <c r="J159" s="229"/>
      <c r="K159" s="229"/>
      <c r="L159" s="229"/>
      <c r="M159" s="229"/>
    </row>
    <row r="160" spans="1:13">
      <c r="A160" s="681">
        <f t="shared" si="24"/>
        <v>141</v>
      </c>
      <c r="B160" s="682"/>
      <c r="C160" s="1247" t="s">
        <v>172</v>
      </c>
      <c r="D160" s="260" t="s">
        <v>165</v>
      </c>
      <c r="E160" s="1439">
        <f t="shared" si="25"/>
        <v>2016</v>
      </c>
      <c r="F160" s="1244">
        <v>0</v>
      </c>
      <c r="G160" s="244"/>
      <c r="H160" s="1012"/>
      <c r="I160" s="230"/>
      <c r="J160" s="229"/>
      <c r="K160" s="229"/>
      <c r="L160" s="229"/>
      <c r="M160" s="229"/>
    </row>
    <row r="161" spans="1:13">
      <c r="A161" s="681">
        <f t="shared" si="24"/>
        <v>142</v>
      </c>
      <c r="B161" s="682"/>
      <c r="C161" s="1270" t="s">
        <v>155</v>
      </c>
      <c r="D161" s="260" t="s">
        <v>165</v>
      </c>
      <c r="E161" s="1439">
        <f t="shared" si="25"/>
        <v>2016</v>
      </c>
      <c r="F161" s="1244">
        <v>0</v>
      </c>
      <c r="G161" s="244"/>
      <c r="H161" s="1012"/>
      <c r="I161" s="230"/>
      <c r="J161" s="229"/>
      <c r="K161" s="229"/>
      <c r="L161" s="229"/>
      <c r="M161" s="229"/>
    </row>
    <row r="162" spans="1:13">
      <c r="A162" s="681">
        <f t="shared" si="24"/>
        <v>143</v>
      </c>
      <c r="B162" s="682"/>
      <c r="C162" s="1247" t="s">
        <v>152</v>
      </c>
      <c r="D162" s="260" t="s">
        <v>165</v>
      </c>
      <c r="E162" s="1439">
        <f t="shared" si="25"/>
        <v>2016</v>
      </c>
      <c r="F162" s="1244">
        <v>0</v>
      </c>
      <c r="G162" s="244"/>
      <c r="H162" s="1012"/>
      <c r="I162" s="230"/>
      <c r="J162" s="229"/>
      <c r="K162" s="229"/>
      <c r="L162" s="229"/>
      <c r="M162" s="229"/>
    </row>
    <row r="163" spans="1:13">
      <c r="A163" s="681">
        <f t="shared" si="24"/>
        <v>144</v>
      </c>
      <c r="B163" s="682"/>
      <c r="C163" s="1247" t="s">
        <v>171</v>
      </c>
      <c r="D163" s="260" t="s">
        <v>165</v>
      </c>
      <c r="E163" s="1439">
        <f t="shared" si="25"/>
        <v>2016</v>
      </c>
      <c r="F163" s="1244">
        <v>0</v>
      </c>
      <c r="G163" s="244"/>
      <c r="H163" s="1012"/>
      <c r="I163" s="230"/>
      <c r="J163" s="229"/>
      <c r="K163" s="229"/>
      <c r="L163" s="229"/>
      <c r="M163" s="229"/>
    </row>
    <row r="164" spans="1:13">
      <c r="A164" s="681">
        <f t="shared" si="24"/>
        <v>145</v>
      </c>
      <c r="B164" s="682"/>
      <c r="C164" s="1270" t="s">
        <v>170</v>
      </c>
      <c r="D164" s="260" t="s">
        <v>165</v>
      </c>
      <c r="E164" s="1439">
        <f t="shared" si="25"/>
        <v>2016</v>
      </c>
      <c r="F164" s="1244">
        <v>0</v>
      </c>
      <c r="G164" s="244"/>
      <c r="H164" s="1012"/>
      <c r="I164" s="230"/>
      <c r="J164" s="229"/>
      <c r="K164" s="229"/>
      <c r="L164" s="229"/>
      <c r="M164" s="229"/>
    </row>
    <row r="165" spans="1:13">
      <c r="A165" s="681">
        <f t="shared" si="24"/>
        <v>146</v>
      </c>
      <c r="B165" s="682"/>
      <c r="C165" s="1247" t="s">
        <v>169</v>
      </c>
      <c r="D165" s="260" t="s">
        <v>165</v>
      </c>
      <c r="E165" s="1439">
        <f t="shared" si="25"/>
        <v>2016</v>
      </c>
      <c r="F165" s="1244">
        <v>0</v>
      </c>
      <c r="G165" s="244"/>
      <c r="H165" s="1012"/>
      <c r="I165" s="230"/>
      <c r="J165" s="229"/>
      <c r="K165" s="229"/>
      <c r="L165" s="229"/>
      <c r="M165" s="229"/>
    </row>
    <row r="166" spans="1:13">
      <c r="A166" s="681">
        <f t="shared" si="24"/>
        <v>147</v>
      </c>
      <c r="B166" s="682"/>
      <c r="C166" s="1247" t="s">
        <v>168</v>
      </c>
      <c r="D166" s="260" t="s">
        <v>165</v>
      </c>
      <c r="E166" s="1439">
        <f t="shared" si="25"/>
        <v>2016</v>
      </c>
      <c r="F166" s="1244">
        <v>0</v>
      </c>
      <c r="G166" s="244"/>
      <c r="H166" s="1012"/>
      <c r="I166" s="230"/>
      <c r="J166" s="229"/>
      <c r="K166" s="229"/>
      <c r="L166" s="229"/>
      <c r="M166" s="229"/>
    </row>
    <row r="167" spans="1:13">
      <c r="A167" s="681">
        <f t="shared" si="24"/>
        <v>148</v>
      </c>
      <c r="B167" s="682"/>
      <c r="C167" s="1270" t="s">
        <v>167</v>
      </c>
      <c r="D167" s="260" t="s">
        <v>165</v>
      </c>
      <c r="E167" s="1439">
        <f t="shared" si="25"/>
        <v>2016</v>
      </c>
      <c r="F167" s="1244">
        <v>0</v>
      </c>
      <c r="G167" s="244"/>
      <c r="H167" s="1012"/>
      <c r="I167" s="230"/>
      <c r="J167" s="229"/>
      <c r="K167" s="229"/>
      <c r="L167" s="229"/>
      <c r="M167" s="229"/>
    </row>
    <row r="168" spans="1:13">
      <c r="A168" s="681">
        <f t="shared" si="24"/>
        <v>149</v>
      </c>
      <c r="B168" s="252"/>
      <c r="C168" s="1270" t="s">
        <v>166</v>
      </c>
      <c r="D168" s="260" t="s">
        <v>165</v>
      </c>
      <c r="E168" s="1439">
        <f t="shared" si="25"/>
        <v>2016</v>
      </c>
      <c r="F168" s="1244">
        <v>0</v>
      </c>
      <c r="G168" s="873"/>
      <c r="H168" s="1013"/>
      <c r="I168" s="231"/>
      <c r="J168" s="229"/>
      <c r="K168" s="229"/>
      <c r="L168" s="229"/>
      <c r="M168" s="229"/>
    </row>
    <row r="169" spans="1:13">
      <c r="A169" s="681">
        <f t="shared" si="24"/>
        <v>150</v>
      </c>
      <c r="B169" s="682"/>
      <c r="C169" s="1248" t="s">
        <v>164</v>
      </c>
      <c r="D169" s="1242" t="s">
        <v>454</v>
      </c>
      <c r="E169" s="1440">
        <f t="shared" si="25"/>
        <v>2016</v>
      </c>
      <c r="F169" s="1249">
        <v>0</v>
      </c>
      <c r="G169" s="876"/>
      <c r="H169" s="1012"/>
      <c r="I169" s="230"/>
      <c r="J169" s="230"/>
      <c r="K169" s="230"/>
      <c r="L169" s="230"/>
      <c r="M169" s="230"/>
    </row>
    <row r="170" spans="1:13">
      <c r="A170" s="681">
        <f t="shared" si="24"/>
        <v>151</v>
      </c>
      <c r="B170" s="271"/>
      <c r="C170" s="1250" t="s">
        <v>163</v>
      </c>
      <c r="D170" s="271" t="str">
        <f>"(sum lines "&amp;A157&amp;"-"&amp;A169&amp;") /13"</f>
        <v>(sum lines 138-150) /13</v>
      </c>
      <c r="E170" s="1251"/>
      <c r="F170" s="1252">
        <f>SUM(F157:F169)/13</f>
        <v>0</v>
      </c>
      <c r="G170" s="778"/>
      <c r="H170" s="1012"/>
      <c r="I170" s="230"/>
      <c r="J170" s="229"/>
      <c r="K170" s="229"/>
      <c r="L170" s="229"/>
      <c r="M170" s="229"/>
    </row>
    <row r="171" spans="1:13">
      <c r="A171" s="681"/>
      <c r="B171" s="271"/>
      <c r="C171" s="1247"/>
      <c r="D171" s="271"/>
      <c r="E171" s="1253"/>
      <c r="F171" s="1254"/>
      <c r="G171" s="873"/>
      <c r="H171" s="1013"/>
      <c r="I171" s="231"/>
      <c r="J171" s="229"/>
      <c r="K171" s="229"/>
      <c r="L171" s="229"/>
      <c r="M171" s="229"/>
    </row>
    <row r="172" spans="1:13">
      <c r="A172" s="681"/>
      <c r="B172" s="271"/>
      <c r="C172" s="1250"/>
      <c r="D172" s="271"/>
      <c r="E172" s="1251"/>
      <c r="F172" s="1252"/>
      <c r="G172" s="873"/>
      <c r="H172" s="1013"/>
      <c r="I172" s="227"/>
      <c r="J172" s="229"/>
      <c r="K172" s="229"/>
      <c r="L172" s="229"/>
      <c r="M172" s="229"/>
    </row>
    <row r="173" spans="1:13">
      <c r="A173" s="681">
        <f>+A170+1</f>
        <v>152</v>
      </c>
      <c r="B173" s="682"/>
      <c r="C173" s="1260" t="s">
        <v>805</v>
      </c>
      <c r="D173" s="678" t="str">
        <f>"(sum lines "&amp;A106&amp;", "&amp;A122&amp;", "&amp;A138&amp;", "&amp;A154&amp;", &amp; "&amp;A170&amp;")"</f>
        <v>(sum lines 91, 106, 121, 136, &amp; 151)</v>
      </c>
      <c r="E173" s="1261"/>
      <c r="F173" s="1262">
        <f>F106+F122+F138+F154+F170</f>
        <v>889079.69230769237</v>
      </c>
      <c r="G173" s="232"/>
      <c r="H173" s="1017"/>
      <c r="I173" s="230"/>
      <c r="J173" s="230"/>
      <c r="K173" s="230"/>
      <c r="L173" s="230"/>
      <c r="M173" s="230"/>
    </row>
    <row r="174" spans="1:13" ht="16.2" thickBot="1">
      <c r="A174" s="1263"/>
      <c r="B174" s="1264"/>
      <c r="C174" s="1265"/>
      <c r="D174" s="923"/>
      <c r="E174" s="1266"/>
      <c r="F174" s="1267"/>
      <c r="G174" s="232"/>
      <c r="H174" s="1013"/>
      <c r="I174" s="227"/>
      <c r="J174" s="229"/>
      <c r="K174" s="229"/>
      <c r="L174" s="229"/>
      <c r="M174" s="229"/>
    </row>
    <row r="175" spans="1:13">
      <c r="A175" s="1271"/>
      <c r="B175" s="1246"/>
      <c r="C175" s="1247"/>
      <c r="D175" s="271"/>
      <c r="E175" s="1253"/>
      <c r="F175" s="1247"/>
      <c r="G175" s="232"/>
      <c r="H175" s="1013"/>
      <c r="I175" s="227"/>
      <c r="J175" s="229"/>
      <c r="K175" s="229"/>
      <c r="L175" s="229"/>
      <c r="M175" s="229"/>
    </row>
    <row r="176" spans="1:13">
      <c r="E176" s="1461" t="s">
        <v>1050</v>
      </c>
      <c r="F176" s="1311">
        <f>F20+F52</f>
        <v>129769230.76923077</v>
      </c>
    </row>
    <row r="177" spans="5:6">
      <c r="E177" s="1461" t="s">
        <v>1051</v>
      </c>
      <c r="F177" s="1311">
        <f>F106+F138</f>
        <v>882023.69230769237</v>
      </c>
    </row>
    <row r="178" spans="5:6">
      <c r="E178" s="1461" t="s">
        <v>1056</v>
      </c>
      <c r="F178" s="1462">
        <f>+F176-F177</f>
        <v>128887207.07692307</v>
      </c>
    </row>
    <row r="179" spans="5:6">
      <c r="E179" s="1461" t="s">
        <v>1052</v>
      </c>
      <c r="F179" s="1463">
        <f>F194</f>
        <v>0.94605809128630702</v>
      </c>
    </row>
    <row r="180" spans="5:6">
      <c r="E180" s="1461" t="s">
        <v>1042</v>
      </c>
      <c r="F180" s="1462">
        <f>F178*F179</f>
        <v>121934785.11841685</v>
      </c>
    </row>
    <row r="181" spans="5:6">
      <c r="E181" s="1461" t="s">
        <v>1043</v>
      </c>
      <c r="F181" s="1462">
        <f>+F178-F180</f>
        <v>6952421.9585062265</v>
      </c>
    </row>
    <row r="182" spans="5:6">
      <c r="E182" s="1461"/>
    </row>
    <row r="183" spans="5:6">
      <c r="E183" s="1461" t="s">
        <v>1053</v>
      </c>
      <c r="F183" s="1311">
        <f>+F68</f>
        <v>461538.46153846156</v>
      </c>
    </row>
    <row r="184" spans="5:6">
      <c r="E184" s="1461" t="s">
        <v>1054</v>
      </c>
      <c r="F184" s="1464">
        <f>+F154</f>
        <v>7056</v>
      </c>
    </row>
    <row r="185" spans="5:6">
      <c r="E185" s="1461" t="s">
        <v>1055</v>
      </c>
      <c r="F185" s="1311">
        <f>+F183-F184</f>
        <v>454482.46153846156</v>
      </c>
    </row>
    <row r="186" spans="5:6">
      <c r="E186" s="1461"/>
    </row>
    <row r="187" spans="5:6">
      <c r="E187" s="1461" t="s">
        <v>1044</v>
      </c>
      <c r="F187" s="1311">
        <f>+F176+F183</f>
        <v>130230769.23076923</v>
      </c>
    </row>
    <row r="188" spans="5:6">
      <c r="E188" s="1461" t="s">
        <v>1045</v>
      </c>
      <c r="F188" s="1464">
        <f>+F177+F184</f>
        <v>889079.69230769237</v>
      </c>
    </row>
    <row r="189" spans="5:6">
      <c r="E189" s="1461" t="s">
        <v>1046</v>
      </c>
      <c r="F189" s="1311">
        <f>+F187-F188</f>
        <v>129341689.53846154</v>
      </c>
    </row>
    <row r="190" spans="5:6">
      <c r="E190" s="1461"/>
    </row>
    <row r="191" spans="5:6">
      <c r="E191" s="1461"/>
    </row>
    <row r="192" spans="5:6">
      <c r="E192" s="1461" t="s">
        <v>1047</v>
      </c>
      <c r="F192" s="1311">
        <v>228000000</v>
      </c>
    </row>
    <row r="193" spans="5:6">
      <c r="E193" s="1461" t="s">
        <v>1048</v>
      </c>
      <c r="F193" s="1311">
        <f>+F19+F51</f>
        <v>241000000</v>
      </c>
    </row>
    <row r="194" spans="5:6">
      <c r="E194" s="1461"/>
      <c r="F194" s="1465">
        <f>F192/F193</f>
        <v>0.94605809128630702</v>
      </c>
    </row>
    <row r="195" spans="5:6">
      <c r="E195" s="1461"/>
    </row>
    <row r="196" spans="5:6">
      <c r="E196" s="1461" t="s">
        <v>1049</v>
      </c>
      <c r="F196" s="1311">
        <f>F181+F185</f>
        <v>7406904.4200446885</v>
      </c>
    </row>
  </sheetData>
  <mergeCells count="6">
    <mergeCell ref="J5:M5"/>
    <mergeCell ref="A5:F5"/>
    <mergeCell ref="A91:F91"/>
    <mergeCell ref="J91:M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252"/>
  <sheetViews>
    <sheetView view="pageBreakPreview" zoomScale="85" zoomScaleNormal="90" zoomScaleSheetLayoutView="85" workbookViewId="0"/>
  </sheetViews>
  <sheetFormatPr defaultColWidth="8.90625" defaultRowHeight="13.2"/>
  <cols>
    <col min="1" max="1" width="5" style="221" customWidth="1"/>
    <col min="2" max="2" width="3.36328125" style="213" customWidth="1"/>
    <col min="3" max="3" width="48.36328125" style="213" customWidth="1"/>
    <col min="4" max="4" width="18.6328125" style="213" customWidth="1"/>
    <col min="5" max="5" width="13.6328125" style="213" customWidth="1"/>
    <col min="6" max="6" width="18.08984375" style="213" customWidth="1"/>
    <col min="7" max="7" width="15.36328125" style="213" customWidth="1"/>
    <col min="8" max="8" width="15.54296875" style="213" customWidth="1"/>
    <col min="9" max="9" width="13" style="213" customWidth="1"/>
    <col min="10" max="10" width="10.6328125" style="213" customWidth="1"/>
    <col min="11" max="11" width="9" style="213" customWidth="1"/>
    <col min="12" max="12" width="11.6328125" style="213" bestFit="1" customWidth="1"/>
    <col min="13" max="13" width="7.54296875" style="213" customWidth="1"/>
    <col min="14" max="16384" width="8.90625" style="213"/>
  </cols>
  <sheetData>
    <row r="1" spans="1:63" ht="17.399999999999999">
      <c r="A1" s="246"/>
      <c r="B1" s="326"/>
      <c r="C1" s="239"/>
      <c r="D1" s="1511" t="s">
        <v>509</v>
      </c>
      <c r="E1" s="1511"/>
      <c r="F1" s="1511"/>
      <c r="G1" s="1511"/>
      <c r="H1" s="1511"/>
      <c r="I1" s="1511"/>
      <c r="J1" s="229"/>
      <c r="K1" s="229"/>
      <c r="L1" s="229"/>
      <c r="M1" s="229"/>
    </row>
    <row r="2" spans="1:63" ht="18" thickBot="1">
      <c r="A2" s="234"/>
      <c r="D2" s="1511" t="str">
        <f>'Appendix A'!$E$9</f>
        <v>New York Transco LLC</v>
      </c>
      <c r="E2" s="1511"/>
      <c r="F2" s="1511"/>
      <c r="G2" s="1511"/>
      <c r="H2" s="1511"/>
      <c r="I2" s="1511"/>
    </row>
    <row r="3" spans="1:63" ht="50.25" customHeight="1" thickBot="1">
      <c r="A3" s="1512"/>
      <c r="B3" s="1513"/>
      <c r="C3" s="1513"/>
      <c r="D3" s="1513"/>
      <c r="E3" s="1513"/>
      <c r="F3" s="1514"/>
      <c r="G3" s="325"/>
      <c r="H3" s="325"/>
      <c r="I3" s="325"/>
      <c r="J3" s="1515" t="s">
        <v>133</v>
      </c>
      <c r="K3" s="1516"/>
      <c r="L3" s="1516"/>
      <c r="M3" s="1517"/>
    </row>
    <row r="4" spans="1:63">
      <c r="A4" s="1370" t="s">
        <v>921</v>
      </c>
      <c r="B4" s="322"/>
      <c r="C4" s="324"/>
      <c r="D4" s="323"/>
      <c r="E4" s="322" t="s">
        <v>218</v>
      </c>
      <c r="F4" s="321" t="s">
        <v>160</v>
      </c>
      <c r="G4" s="320" t="s">
        <v>219</v>
      </c>
      <c r="H4" s="319"/>
      <c r="I4" s="318"/>
      <c r="J4" s="1306"/>
      <c r="K4" s="1275"/>
      <c r="L4" s="1275"/>
      <c r="M4" s="1276"/>
    </row>
    <row r="5" spans="1:63" s="1" customFormat="1" ht="15">
      <c r="A5" s="315">
        <f>+'2 - Cost Support '!A173+1</f>
        <v>153</v>
      </c>
      <c r="B5" s="314"/>
      <c r="C5" s="313" t="s">
        <v>289</v>
      </c>
      <c r="D5" s="313" t="s">
        <v>61</v>
      </c>
      <c r="E5" s="238">
        <v>0</v>
      </c>
      <c r="F5" s="238">
        <v>0</v>
      </c>
      <c r="G5" s="675">
        <f>+E5/2+F5/2</f>
        <v>0</v>
      </c>
      <c r="H5" s="310"/>
      <c r="I5" s="309"/>
      <c r="J5" s="309"/>
      <c r="K5" s="309"/>
      <c r="L5" s="308"/>
      <c r="M5" s="163"/>
      <c r="N5" s="142"/>
      <c r="O5" s="40"/>
      <c r="P5" s="22"/>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315"/>
      <c r="B6" s="314"/>
      <c r="C6" s="314"/>
      <c r="D6" s="313"/>
      <c r="E6" s="312"/>
      <c r="F6" s="312"/>
      <c r="G6" s="675"/>
      <c r="H6" s="310"/>
      <c r="I6" s="309"/>
      <c r="J6" s="309"/>
      <c r="K6" s="309"/>
      <c r="L6" s="308"/>
      <c r="M6" s="163"/>
      <c r="N6" s="142"/>
      <c r="O6" s="40"/>
      <c r="P6" s="22"/>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6">
      <c r="A7" s="315">
        <f>+A5+1</f>
        <v>154</v>
      </c>
      <c r="B7" s="314"/>
      <c r="C7" s="314" t="s">
        <v>248</v>
      </c>
      <c r="D7" s="312" t="s">
        <v>915</v>
      </c>
      <c r="E7" s="1300"/>
      <c r="F7" s="1300"/>
      <c r="G7" s="760">
        <f>+'10 - Workpaper'!Z41</f>
        <v>0</v>
      </c>
      <c r="H7" s="161"/>
      <c r="I7" s="117"/>
      <c r="J7" s="117"/>
      <c r="K7" s="309"/>
      <c r="L7" s="308"/>
      <c r="M7" s="163"/>
      <c r="N7" s="142"/>
      <c r="O7" s="1007"/>
      <c r="P7" s="22"/>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
      <c r="A8" s="315"/>
      <c r="B8" s="314"/>
      <c r="C8" s="496" t="s">
        <v>326</v>
      </c>
      <c r="D8" s="312"/>
      <c r="E8" s="312"/>
      <c r="F8" s="312"/>
      <c r="G8" s="676"/>
      <c r="H8" s="316" t="s">
        <v>815</v>
      </c>
      <c r="I8" s="117"/>
      <c r="J8" s="115"/>
      <c r="K8" s="309"/>
      <c r="L8" s="308"/>
      <c r="M8" s="163"/>
      <c r="N8" s="142"/>
      <c r="P8" s="22"/>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315">
        <f>+A7+1</f>
        <v>155</v>
      </c>
      <c r="B9" s="314"/>
      <c r="C9" s="496" t="s">
        <v>443</v>
      </c>
      <c r="D9" s="312" t="s">
        <v>916</v>
      </c>
      <c r="E9" s="312"/>
      <c r="G9" s="1315"/>
      <c r="H9" s="1313">
        <f>+'10 - Workpaper'!I41</f>
        <v>0</v>
      </c>
      <c r="I9" s="117"/>
      <c r="J9" s="115"/>
      <c r="K9" s="309"/>
      <c r="L9" s="308"/>
      <c r="M9" s="163"/>
      <c r="N9" s="142"/>
      <c r="O9" s="40"/>
      <c r="P9" s="22"/>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315"/>
      <c r="B10" s="314"/>
      <c r="C10" s="496"/>
      <c r="D10" s="312"/>
      <c r="E10" s="312"/>
      <c r="F10" s="312"/>
      <c r="G10" s="676"/>
      <c r="H10" s="161"/>
      <c r="I10" s="117"/>
      <c r="J10" s="115"/>
      <c r="K10" s="309"/>
      <c r="L10" s="308"/>
      <c r="M10" s="163"/>
      <c r="N10" s="142"/>
      <c r="O10" s="40"/>
      <c r="P10" s="22"/>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315">
        <f>+A9+1</f>
        <v>156</v>
      </c>
      <c r="B11" s="314"/>
      <c r="C11" s="835" t="s">
        <v>245</v>
      </c>
      <c r="D11" s="114"/>
      <c r="E11" s="232"/>
      <c r="F11" s="232"/>
      <c r="G11" s="676"/>
      <c r="H11" s="161"/>
      <c r="I11" s="117"/>
      <c r="J11" s="117"/>
      <c r="K11" s="309"/>
      <c r="L11" s="308"/>
      <c r="M11" s="163"/>
      <c r="N11" s="142"/>
      <c r="O11" s="40"/>
      <c r="P11" s="22"/>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315"/>
      <c r="B12" s="314"/>
      <c r="C12" s="313" t="s">
        <v>354</v>
      </c>
      <c r="D12" s="313"/>
      <c r="E12" s="227" t="s">
        <v>156</v>
      </c>
      <c r="F12" s="233" t="s">
        <v>151</v>
      </c>
      <c r="G12" s="311"/>
      <c r="H12" s="316"/>
      <c r="I12" s="309"/>
      <c r="J12" s="309"/>
      <c r="K12" s="309"/>
      <c r="L12" s="308"/>
      <c r="M12" s="163"/>
      <c r="N12" s="142"/>
      <c r="O12" s="40"/>
      <c r="P12" s="22"/>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247">
        <f>+A11+1</f>
        <v>157</v>
      </c>
      <c r="B13" s="246"/>
      <c r="C13" s="226" t="s">
        <v>164</v>
      </c>
      <c r="D13" s="312" t="s">
        <v>445</v>
      </c>
      <c r="E13" s="703">
        <v>0</v>
      </c>
      <c r="F13" s="907">
        <v>0</v>
      </c>
      <c r="G13" s="1315"/>
      <c r="H13" s="114"/>
      <c r="I13" s="309"/>
      <c r="J13" s="309"/>
      <c r="K13" s="309"/>
      <c r="L13" s="308"/>
      <c r="M13" s="163"/>
      <c r="N13" s="142"/>
      <c r="O13" s="40"/>
      <c r="P13" s="22"/>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
      <c r="A14" s="247">
        <f t="shared" ref="A14:A26" si="0">+A13+1</f>
        <v>158</v>
      </c>
      <c r="B14" s="246"/>
      <c r="C14" s="257" t="s">
        <v>174</v>
      </c>
      <c r="D14" s="244" t="s">
        <v>165</v>
      </c>
      <c r="E14" s="703">
        <v>0</v>
      </c>
      <c r="F14" s="907">
        <v>0</v>
      </c>
      <c r="G14" s="1315"/>
      <c r="H14" s="114"/>
      <c r="I14" s="309"/>
      <c r="J14" s="309"/>
      <c r="K14" s="309"/>
      <c r="L14" s="308"/>
      <c r="M14" s="163"/>
      <c r="N14" s="142"/>
      <c r="O14" s="40"/>
      <c r="P14" s="22"/>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
      <c r="A15" s="247">
        <f t="shared" si="0"/>
        <v>159</v>
      </c>
      <c r="B15" s="246"/>
      <c r="C15" s="239" t="s">
        <v>173</v>
      </c>
      <c r="D15" s="244" t="s">
        <v>165</v>
      </c>
      <c r="E15" s="703">
        <v>0</v>
      </c>
      <c r="F15" s="907">
        <v>0</v>
      </c>
      <c r="G15" s="1315"/>
      <c r="H15" s="114"/>
      <c r="I15" s="309"/>
      <c r="J15" s="309"/>
      <c r="K15" s="309"/>
      <c r="L15" s="308"/>
      <c r="M15" s="163"/>
      <c r="N15" s="142"/>
      <c r="O15" s="40"/>
      <c r="P15" s="22"/>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47">
        <f t="shared" si="0"/>
        <v>160</v>
      </c>
      <c r="B16" s="246"/>
      <c r="C16" s="239" t="s">
        <v>172</v>
      </c>
      <c r="D16" s="244" t="s">
        <v>165</v>
      </c>
      <c r="E16" s="703">
        <v>0</v>
      </c>
      <c r="F16" s="907">
        <v>0</v>
      </c>
      <c r="G16" s="1315"/>
      <c r="H16" s="114"/>
      <c r="I16" s="309"/>
      <c r="J16" s="309"/>
      <c r="K16" s="309"/>
      <c r="L16" s="308"/>
      <c r="M16" s="163"/>
      <c r="N16" s="142"/>
      <c r="O16" s="40"/>
      <c r="P16" s="22"/>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247">
        <f t="shared" si="0"/>
        <v>161</v>
      </c>
      <c r="B17" s="246"/>
      <c r="C17" s="257" t="s">
        <v>155</v>
      </c>
      <c r="D17" s="244" t="s">
        <v>165</v>
      </c>
      <c r="E17" s="703">
        <v>0</v>
      </c>
      <c r="F17" s="907">
        <v>0</v>
      </c>
      <c r="G17" s="1315"/>
      <c r="H17" s="114"/>
      <c r="I17" s="309"/>
      <c r="J17" s="309"/>
      <c r="K17" s="309"/>
      <c r="L17" s="308"/>
      <c r="M17" s="163"/>
      <c r="N17" s="142"/>
      <c r="O17" s="40"/>
      <c r="P17" s="22"/>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47">
        <f t="shared" si="0"/>
        <v>162</v>
      </c>
      <c r="B18" s="246"/>
      <c r="C18" s="239" t="s">
        <v>152</v>
      </c>
      <c r="D18" s="244" t="s">
        <v>165</v>
      </c>
      <c r="E18" s="703">
        <v>0</v>
      </c>
      <c r="F18" s="907">
        <v>0</v>
      </c>
      <c r="G18" s="1315"/>
      <c r="H18" s="114"/>
      <c r="I18" s="309"/>
      <c r="J18" s="309"/>
      <c r="K18" s="309"/>
      <c r="L18" s="308"/>
      <c r="M18" s="163"/>
      <c r="N18" s="142"/>
      <c r="O18" s="40"/>
      <c r="P18" s="22"/>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247">
        <f t="shared" si="0"/>
        <v>163</v>
      </c>
      <c r="B19" s="246"/>
      <c r="C19" s="239" t="s">
        <v>171</v>
      </c>
      <c r="D19" s="244" t="s">
        <v>165</v>
      </c>
      <c r="E19" s="703">
        <v>0</v>
      </c>
      <c r="F19" s="907">
        <v>0</v>
      </c>
      <c r="G19" s="1315"/>
      <c r="H19" s="114"/>
      <c r="I19" s="309"/>
      <c r="J19" s="309"/>
      <c r="K19" s="309"/>
      <c r="L19" s="308"/>
      <c r="M19" s="163"/>
      <c r="N19" s="142"/>
      <c r="O19" s="40"/>
      <c r="P19" s="22"/>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247">
        <f t="shared" si="0"/>
        <v>164</v>
      </c>
      <c r="B20" s="246"/>
      <c r="C20" s="257" t="s">
        <v>170</v>
      </c>
      <c r="D20" s="244" t="s">
        <v>165</v>
      </c>
      <c r="E20" s="703">
        <v>0</v>
      </c>
      <c r="F20" s="907">
        <v>0</v>
      </c>
      <c r="G20" s="1315"/>
      <c r="H20" s="114"/>
      <c r="I20" s="309"/>
      <c r="J20" s="309"/>
      <c r="K20" s="309"/>
      <c r="L20" s="308"/>
      <c r="M20" s="163"/>
      <c r="N20" s="142"/>
      <c r="O20" s="40"/>
      <c r="P20" s="22"/>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247">
        <f t="shared" si="0"/>
        <v>165</v>
      </c>
      <c r="B21" s="246"/>
      <c r="C21" s="239" t="s">
        <v>169</v>
      </c>
      <c r="D21" s="244" t="s">
        <v>165</v>
      </c>
      <c r="E21" s="703">
        <v>0</v>
      </c>
      <c r="F21" s="907">
        <v>0</v>
      </c>
      <c r="G21" s="1315"/>
      <c r="H21" s="114"/>
      <c r="I21" s="309"/>
      <c r="J21" s="309"/>
      <c r="K21" s="309"/>
      <c r="L21" s="308"/>
      <c r="M21" s="163"/>
      <c r="N21" s="142"/>
      <c r="O21" s="40"/>
      <c r="P21" s="22"/>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247">
        <f t="shared" si="0"/>
        <v>166</v>
      </c>
      <c r="B22" s="246"/>
      <c r="C22" s="239" t="s">
        <v>168</v>
      </c>
      <c r="D22" s="244" t="s">
        <v>165</v>
      </c>
      <c r="E22" s="703">
        <v>0</v>
      </c>
      <c r="F22" s="907">
        <v>0</v>
      </c>
      <c r="G22" s="1315"/>
      <c r="H22" s="114"/>
      <c r="I22" s="309"/>
      <c r="J22" s="309"/>
      <c r="K22" s="309"/>
      <c r="L22" s="308"/>
      <c r="M22" s="163"/>
      <c r="N22" s="142"/>
      <c r="O22" s="40"/>
      <c r="P22" s="22"/>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247">
        <f t="shared" si="0"/>
        <v>167</v>
      </c>
      <c r="B23" s="246"/>
      <c r="C23" s="257" t="s">
        <v>167</v>
      </c>
      <c r="D23" s="244" t="s">
        <v>165</v>
      </c>
      <c r="E23" s="703">
        <v>0</v>
      </c>
      <c r="F23" s="907">
        <v>0</v>
      </c>
      <c r="G23" s="1315"/>
      <c r="H23" s="114"/>
      <c r="I23" s="309"/>
      <c r="J23" s="309"/>
      <c r="K23" s="309"/>
      <c r="L23" s="308"/>
      <c r="M23" s="163"/>
      <c r="N23" s="142"/>
      <c r="O23" s="40"/>
      <c r="P23" s="22"/>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247">
        <f t="shared" si="0"/>
        <v>168</v>
      </c>
      <c r="B24" s="246"/>
      <c r="C24" s="257" t="s">
        <v>166</v>
      </c>
      <c r="D24" s="244" t="s">
        <v>165</v>
      </c>
      <c r="E24" s="703">
        <v>0</v>
      </c>
      <c r="F24" s="907">
        <v>0</v>
      </c>
      <c r="G24" s="1315"/>
      <c r="H24" s="114"/>
      <c r="I24" s="309"/>
      <c r="J24" s="309"/>
      <c r="K24" s="309"/>
      <c r="L24" s="308"/>
      <c r="M24" s="163"/>
      <c r="N24" s="142"/>
      <c r="O24" s="40"/>
      <c r="P24" s="22"/>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247">
        <f t="shared" si="0"/>
        <v>169</v>
      </c>
      <c r="B25" s="246"/>
      <c r="C25" s="237" t="s">
        <v>164</v>
      </c>
      <c r="D25" s="834" t="s">
        <v>63</v>
      </c>
      <c r="E25" s="704">
        <v>0</v>
      </c>
      <c r="F25" s="1314">
        <v>0</v>
      </c>
      <c r="G25" s="1315"/>
      <c r="H25" s="114"/>
      <c r="I25" s="309"/>
      <c r="J25" s="309"/>
      <c r="K25" s="309"/>
      <c r="L25" s="308"/>
      <c r="M25" s="163"/>
      <c r="N25" s="142"/>
      <c r="O25" s="40"/>
      <c r="P25" s="22"/>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247">
        <f t="shared" si="0"/>
        <v>170</v>
      </c>
      <c r="B26" s="246"/>
      <c r="C26" s="267" t="s">
        <v>442</v>
      </c>
      <c r="D26" s="244" t="str">
        <f>"(sum lines "&amp;A13&amp;"-"&amp;A25&amp;") /13"</f>
        <v>(sum lines 157-169) /13</v>
      </c>
      <c r="E26" s="265"/>
      <c r="F26" s="232">
        <f>SUM(F13:F25)/13</f>
        <v>0</v>
      </c>
      <c r="G26" s="1315"/>
      <c r="H26" s="114"/>
      <c r="I26" s="309"/>
      <c r="J26" s="309"/>
      <c r="K26" s="309"/>
      <c r="L26" s="308"/>
      <c r="M26" s="163"/>
      <c r="N26" s="142"/>
      <c r="O26" s="40"/>
      <c r="P26" s="22"/>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6" thickBot="1">
      <c r="A27" s="315"/>
      <c r="B27" s="314"/>
      <c r="C27" s="313"/>
      <c r="D27" s="313"/>
      <c r="E27" s="312"/>
      <c r="F27" s="312"/>
      <c r="G27" s="1316"/>
      <c r="H27" s="1317"/>
      <c r="I27" s="1318"/>
      <c r="J27" s="1318"/>
      <c r="K27" s="1318"/>
      <c r="L27" s="1319"/>
      <c r="M27" s="1320"/>
      <c r="N27" s="142"/>
      <c r="O27" s="40"/>
      <c r="P27" s="22"/>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ht="13.8" thickBot="1">
      <c r="A28" s="255"/>
      <c r="B28" s="254"/>
      <c r="C28" s="1302"/>
      <c r="D28" s="902"/>
      <c r="E28" s="298"/>
      <c r="F28" s="223"/>
      <c r="G28" s="903"/>
      <c r="H28" s="307"/>
      <c r="I28" s="302"/>
      <c r="J28" s="904"/>
      <c r="K28" s="905"/>
      <c r="L28" s="905"/>
      <c r="M28" s="906"/>
    </row>
    <row r="29" spans="1:63">
      <c r="A29" s="306"/>
      <c r="B29" s="306"/>
      <c r="C29" s="306"/>
      <c r="D29" s="306"/>
      <c r="E29" s="226"/>
      <c r="F29" s="305"/>
      <c r="G29" s="220"/>
      <c r="H29" s="245"/>
      <c r="I29" s="304"/>
      <c r="J29" s="303"/>
      <c r="K29" s="976"/>
      <c r="L29" s="976"/>
      <c r="M29" s="976"/>
    </row>
    <row r="30" spans="1:63">
      <c r="A30" s="246"/>
      <c r="B30" s="246"/>
      <c r="C30" s="267"/>
      <c r="D30" s="301"/>
      <c r="E30" s="277"/>
      <c r="F30" s="239"/>
      <c r="G30" s="231"/>
      <c r="H30" s="231"/>
      <c r="I30" s="231"/>
      <c r="J30" s="229"/>
      <c r="K30" s="229"/>
      <c r="L30" s="229"/>
      <c r="M30" s="229"/>
    </row>
    <row r="31" spans="1:63" ht="12" customHeight="1"/>
    <row r="32" spans="1:63" ht="13.8" thickBot="1">
      <c r="A32" s="234" t="s">
        <v>355</v>
      </c>
    </row>
    <row r="33" spans="1:13">
      <c r="A33" s="1487"/>
      <c r="B33" s="1488"/>
      <c r="C33" s="1488"/>
      <c r="D33" s="1488"/>
      <c r="E33" s="1488"/>
      <c r="F33" s="1488"/>
      <c r="G33" s="248"/>
      <c r="H33" s="248"/>
      <c r="I33" s="248"/>
      <c r="J33" s="1491"/>
      <c r="K33" s="1518"/>
      <c r="L33" s="1518"/>
      <c r="M33" s="1519"/>
    </row>
    <row r="34" spans="1:13">
      <c r="A34" s="247" t="s">
        <v>917</v>
      </c>
      <c r="B34" s="284"/>
      <c r="C34" s="1022" t="s">
        <v>468</v>
      </c>
      <c r="D34" s="1022" t="s">
        <v>494</v>
      </c>
      <c r="E34" s="1022" t="s">
        <v>502</v>
      </c>
      <c r="F34" s="1023" t="s">
        <v>503</v>
      </c>
      <c r="G34" s="1023" t="s">
        <v>504</v>
      </c>
      <c r="H34" s="1023" t="s">
        <v>505</v>
      </c>
      <c r="I34" s="1023" t="s">
        <v>506</v>
      </c>
      <c r="J34" s="1489"/>
      <c r="K34" s="1503"/>
      <c r="L34" s="1503"/>
      <c r="M34" s="1504"/>
    </row>
    <row r="35" spans="1:13" ht="79.2">
      <c r="A35" s="247"/>
      <c r="B35" s="497"/>
      <c r="C35" s="1024"/>
      <c r="D35" s="1025" t="s">
        <v>39</v>
      </c>
      <c r="E35" s="1025" t="s">
        <v>641</v>
      </c>
      <c r="F35" s="1025" t="s">
        <v>642</v>
      </c>
      <c r="G35" s="1025" t="s">
        <v>643</v>
      </c>
      <c r="H35" s="1026" t="s">
        <v>644</v>
      </c>
      <c r="I35" s="1026" t="s">
        <v>645</v>
      </c>
      <c r="J35" s="497"/>
      <c r="K35" s="498"/>
      <c r="L35" s="498"/>
      <c r="M35" s="501"/>
    </row>
    <row r="36" spans="1:13" ht="15">
      <c r="A36" s="247"/>
      <c r="B36" s="497"/>
      <c r="C36" s="1027" t="s">
        <v>356</v>
      </c>
      <c r="D36" s="1028">
        <v>0</v>
      </c>
      <c r="E36" s="1028">
        <v>0</v>
      </c>
      <c r="F36" s="1028">
        <v>0</v>
      </c>
      <c r="G36" s="1028">
        <v>0</v>
      </c>
      <c r="H36" s="1028">
        <v>0</v>
      </c>
      <c r="I36" s="1029">
        <f t="shared" ref="I36:I41" si="1">+H36*E36*D36*F36*G36</f>
        <v>0</v>
      </c>
      <c r="J36" s="497"/>
      <c r="K36" s="498"/>
      <c r="L36" s="498"/>
      <c r="M36" s="501"/>
    </row>
    <row r="37" spans="1:13" ht="15">
      <c r="A37" s="247"/>
      <c r="B37" s="497"/>
      <c r="C37" s="1027" t="s">
        <v>357</v>
      </c>
      <c r="D37" s="1030">
        <v>0</v>
      </c>
      <c r="E37" s="1030">
        <v>0</v>
      </c>
      <c r="F37" s="1030">
        <v>0</v>
      </c>
      <c r="G37" s="1030">
        <v>0</v>
      </c>
      <c r="H37" s="1030">
        <v>0</v>
      </c>
      <c r="I37" s="1029">
        <f t="shared" si="1"/>
        <v>0</v>
      </c>
      <c r="J37" s="497"/>
      <c r="K37" s="498"/>
      <c r="L37" s="498"/>
      <c r="M37" s="501"/>
    </row>
    <row r="38" spans="1:13" ht="15">
      <c r="A38" s="247"/>
      <c r="B38" s="497"/>
      <c r="C38" s="1027" t="s">
        <v>358</v>
      </c>
      <c r="D38" s="1030">
        <v>0</v>
      </c>
      <c r="E38" s="1030">
        <v>0</v>
      </c>
      <c r="F38" s="1030">
        <v>0</v>
      </c>
      <c r="G38" s="1030">
        <v>0</v>
      </c>
      <c r="H38" s="1030">
        <v>0</v>
      </c>
      <c r="I38" s="1029">
        <f t="shared" si="1"/>
        <v>0</v>
      </c>
      <c r="J38" s="497"/>
      <c r="K38" s="498"/>
      <c r="L38" s="498"/>
      <c r="M38" s="501"/>
    </row>
    <row r="39" spans="1:13" ht="15">
      <c r="A39" s="247"/>
      <c r="B39" s="497"/>
      <c r="C39" s="1027" t="s">
        <v>415</v>
      </c>
      <c r="D39" s="1030">
        <v>0</v>
      </c>
      <c r="E39" s="1030">
        <v>0</v>
      </c>
      <c r="F39" s="1030">
        <v>0</v>
      </c>
      <c r="G39" s="1030">
        <v>0</v>
      </c>
      <c r="H39" s="1030">
        <v>0</v>
      </c>
      <c r="I39" s="1029">
        <f t="shared" si="1"/>
        <v>0</v>
      </c>
      <c r="J39" s="497"/>
      <c r="K39" s="498"/>
      <c r="L39" s="498"/>
      <c r="M39" s="501"/>
    </row>
    <row r="40" spans="1:13" ht="15">
      <c r="A40" s="247"/>
      <c r="B40" s="497"/>
      <c r="C40" s="1027" t="s">
        <v>416</v>
      </c>
      <c r="D40" s="1030">
        <v>0</v>
      </c>
      <c r="E40" s="1030">
        <v>0</v>
      </c>
      <c r="F40" s="1030">
        <v>0</v>
      </c>
      <c r="G40" s="1030">
        <v>0</v>
      </c>
      <c r="H40" s="1030">
        <v>0</v>
      </c>
      <c r="I40" s="1029">
        <f t="shared" si="1"/>
        <v>0</v>
      </c>
      <c r="J40" s="497"/>
      <c r="K40" s="498"/>
      <c r="L40" s="498"/>
      <c r="M40" s="501"/>
    </row>
    <row r="41" spans="1:13" ht="15">
      <c r="A41" s="247"/>
      <c r="B41" s="497"/>
      <c r="C41" s="1031" t="s">
        <v>416</v>
      </c>
      <c r="D41" s="1032">
        <v>0</v>
      </c>
      <c r="E41" s="1032">
        <v>0</v>
      </c>
      <c r="F41" s="1032">
        <v>0</v>
      </c>
      <c r="G41" s="1032">
        <v>0</v>
      </c>
      <c r="H41" s="1032">
        <v>0</v>
      </c>
      <c r="I41" s="1033">
        <f t="shared" si="1"/>
        <v>0</v>
      </c>
      <c r="J41" s="497"/>
      <c r="K41" s="498"/>
      <c r="L41" s="498"/>
      <c r="M41" s="501"/>
    </row>
    <row r="42" spans="1:13" ht="15">
      <c r="A42" s="247"/>
      <c r="B42" s="497"/>
      <c r="C42" s="1034" t="s">
        <v>42</v>
      </c>
      <c r="D42" s="1035"/>
      <c r="E42" s="1036"/>
      <c r="F42" s="1037"/>
      <c r="G42" s="1037"/>
      <c r="H42" s="1036"/>
      <c r="I42" s="1029">
        <f>SUM(I36:I41)</f>
        <v>0</v>
      </c>
      <c r="J42" s="497"/>
      <c r="K42" s="498"/>
      <c r="L42" s="498"/>
      <c r="M42" s="501"/>
    </row>
    <row r="43" spans="1:13" ht="15">
      <c r="A43" s="247"/>
      <c r="B43" s="497"/>
      <c r="C43" s="1034"/>
      <c r="D43" s="1035"/>
      <c r="E43" s="1036"/>
      <c r="F43" s="1037"/>
      <c r="G43" s="1037"/>
      <c r="H43" s="1036"/>
      <c r="I43" s="1029"/>
      <c r="J43" s="497"/>
      <c r="K43" s="498"/>
      <c r="L43" s="498"/>
      <c r="M43" s="501"/>
    </row>
    <row r="44" spans="1:13" ht="15">
      <c r="A44" s="247"/>
      <c r="B44" s="497"/>
      <c r="C44" s="1509" t="s">
        <v>775</v>
      </c>
      <c r="D44" s="1510"/>
      <c r="E44" s="1510"/>
      <c r="F44" s="1510"/>
      <c r="G44" s="1510"/>
      <c r="H44" s="1510"/>
      <c r="I44" s="1510"/>
      <c r="J44" s="1510"/>
      <c r="K44" s="498"/>
      <c r="L44" s="498"/>
      <c r="M44" s="501"/>
    </row>
    <row r="45" spans="1:13" ht="15">
      <c r="A45" s="247"/>
      <c r="B45" s="497"/>
      <c r="C45" s="1510"/>
      <c r="D45" s="1510"/>
      <c r="E45" s="1510"/>
      <c r="F45" s="1510"/>
      <c r="G45" s="1510"/>
      <c r="H45" s="1510"/>
      <c r="I45" s="1510"/>
      <c r="J45" s="1510"/>
      <c r="K45" s="498"/>
      <c r="L45" s="498"/>
      <c r="M45" s="501"/>
    </row>
    <row r="46" spans="1:13" ht="15">
      <c r="A46" s="247"/>
      <c r="B46" s="497"/>
      <c r="C46" s="1510"/>
      <c r="D46" s="1510"/>
      <c r="E46" s="1510"/>
      <c r="F46" s="1510"/>
      <c r="G46" s="1510"/>
      <c r="H46" s="1510"/>
      <c r="I46" s="1510"/>
      <c r="J46" s="1510"/>
      <c r="K46" s="498"/>
      <c r="L46" s="498"/>
      <c r="M46" s="501"/>
    </row>
    <row r="47" spans="1:13" ht="15">
      <c r="A47" s="247"/>
      <c r="B47" s="497"/>
      <c r="C47" s="1510"/>
      <c r="D47" s="1510"/>
      <c r="E47" s="1510"/>
      <c r="F47" s="1510"/>
      <c r="G47" s="1510"/>
      <c r="H47" s="1510"/>
      <c r="I47" s="1510"/>
      <c r="J47" s="1510"/>
      <c r="K47" s="498"/>
      <c r="L47" s="498"/>
      <c r="M47" s="501"/>
    </row>
    <row r="48" spans="1:13" ht="31.5" customHeight="1">
      <c r="A48" s="247"/>
      <c r="B48" s="497"/>
      <c r="C48" s="1510"/>
      <c r="D48" s="1510"/>
      <c r="E48" s="1510"/>
      <c r="F48" s="1510"/>
      <c r="G48" s="1510"/>
      <c r="H48" s="1510"/>
      <c r="I48" s="1510"/>
      <c r="J48" s="1510"/>
      <c r="K48" s="498"/>
      <c r="L48" s="498"/>
      <c r="M48" s="501"/>
    </row>
    <row r="49" spans="1:14" ht="15">
      <c r="A49" s="247"/>
      <c r="B49" s="497"/>
      <c r="C49" s="1034"/>
      <c r="D49" s="1035"/>
      <c r="E49" s="1036"/>
      <c r="F49" s="1037"/>
      <c r="G49" s="1037"/>
      <c r="H49" s="1036"/>
      <c r="I49" s="1029"/>
      <c r="J49" s="497"/>
      <c r="K49" s="498"/>
      <c r="L49" s="498"/>
      <c r="M49" s="501"/>
    </row>
    <row r="50" spans="1:14" ht="13.8" thickBot="1">
      <c r="A50" s="246"/>
      <c r="B50" s="498"/>
      <c r="C50" s="239"/>
      <c r="D50" s="498"/>
      <c r="E50" s="199"/>
      <c r="F50" s="511"/>
      <c r="G50" s="524"/>
      <c r="H50" s="524"/>
      <c r="I50" s="498"/>
      <c r="J50" s="498"/>
      <c r="K50" s="498"/>
      <c r="L50" s="498"/>
      <c r="M50" s="498"/>
    </row>
    <row r="51" spans="1:14">
      <c r="A51" s="721" t="s">
        <v>150</v>
      </c>
      <c r="B51" s="722"/>
      <c r="C51" s="722"/>
      <c r="D51" s="722"/>
      <c r="E51" s="722"/>
      <c r="F51" s="722"/>
      <c r="G51" s="722"/>
      <c r="H51" s="722"/>
      <c r="I51" s="722"/>
      <c r="J51" s="722"/>
      <c r="K51" s="722"/>
      <c r="L51" s="722"/>
      <c r="M51" s="723"/>
    </row>
    <row r="52" spans="1:14">
      <c r="A52" s="1505"/>
      <c r="B52" s="1506"/>
      <c r="C52" s="1506"/>
      <c r="D52" s="1506"/>
      <c r="E52" s="1506"/>
      <c r="F52" s="1506"/>
      <c r="G52" s="1381" t="s">
        <v>920</v>
      </c>
      <c r="H52" s="1380"/>
      <c r="I52" s="718"/>
      <c r="J52" s="1507" t="s">
        <v>133</v>
      </c>
      <c r="K52" s="1473"/>
      <c r="L52" s="1473"/>
      <c r="M52" s="1508"/>
    </row>
    <row r="53" spans="1:14">
      <c r="A53" s="247"/>
      <c r="B53" s="284" t="s">
        <v>148</v>
      </c>
      <c r="C53" s="244"/>
      <c r="D53" s="244"/>
      <c r="E53" s="300"/>
      <c r="F53" s="244"/>
      <c r="G53" s="226"/>
      <c r="H53" s="226"/>
      <c r="I53" s="226"/>
      <c r="J53" s="1489"/>
      <c r="K53" s="1503"/>
      <c r="L53" s="1503"/>
      <c r="M53" s="1504"/>
    </row>
    <row r="54" spans="1:14" ht="15">
      <c r="A54" s="247"/>
      <c r="B54" s="497"/>
      <c r="C54" s="498"/>
      <c r="D54" s="499" t="s">
        <v>29</v>
      </c>
      <c r="E54" s="500" t="s">
        <v>149</v>
      </c>
      <c r="F54" s="242"/>
      <c r="H54" s="229"/>
      <c r="I54" s="498"/>
      <c r="J54" s="497"/>
      <c r="K54" s="498"/>
      <c r="L54" s="498"/>
      <c r="M54" s="501"/>
    </row>
    <row r="55" spans="1:14" ht="15">
      <c r="A55" s="247">
        <v>171</v>
      </c>
      <c r="B55" s="497"/>
      <c r="C55" s="239" t="s">
        <v>589</v>
      </c>
      <c r="D55" s="498"/>
      <c r="E55" s="239" t="s">
        <v>446</v>
      </c>
      <c r="F55" s="239"/>
      <c r="G55" s="733">
        <v>0</v>
      </c>
      <c r="H55" s="719"/>
      <c r="I55" s="498"/>
      <c r="J55" s="497"/>
      <c r="K55" s="498"/>
      <c r="L55" s="498"/>
      <c r="M55" s="501"/>
    </row>
    <row r="56" spans="1:14" ht="15">
      <c r="A56" s="247"/>
      <c r="B56" s="497"/>
      <c r="C56" s="511"/>
      <c r="D56" s="498"/>
      <c r="E56" s="511"/>
      <c r="F56" s="239"/>
      <c r="G56" s="524"/>
      <c r="H56" s="719"/>
      <c r="I56" s="498"/>
      <c r="J56" s="497"/>
      <c r="K56" s="498"/>
      <c r="L56" s="498"/>
      <c r="M56" s="501"/>
    </row>
    <row r="57" spans="1:14" ht="14.4">
      <c r="A57" s="281"/>
      <c r="B57" s="498"/>
      <c r="C57" s="729"/>
      <c r="D57" s="241"/>
      <c r="E57" s="241"/>
      <c r="F57" s="241"/>
      <c r="G57" s="241"/>
      <c r="H57" s="241"/>
      <c r="I57" s="498"/>
      <c r="J57" s="498"/>
      <c r="K57" s="498"/>
      <c r="L57" s="498"/>
      <c r="M57" s="501"/>
    </row>
    <row r="58" spans="1:14" ht="15" thickBot="1">
      <c r="A58" s="224"/>
      <c r="B58" s="223"/>
      <c r="C58" s="730"/>
      <c r="D58" s="235"/>
      <c r="E58" s="235"/>
      <c r="F58" s="235"/>
      <c r="G58" s="235"/>
      <c r="H58" s="235"/>
      <c r="I58" s="235"/>
      <c r="J58" s="235"/>
      <c r="K58" s="223"/>
      <c r="L58" s="223"/>
      <c r="M58" s="222"/>
    </row>
    <row r="59" spans="1:14" s="199" customFormat="1" ht="14.4">
      <c r="A59" s="272"/>
      <c r="C59" s="720"/>
    </row>
    <row r="60" spans="1:14" s="724" customFormat="1" ht="13.8" thickBot="1">
      <c r="A60" s="727" t="s">
        <v>147</v>
      </c>
      <c r="B60" s="728"/>
      <c r="C60" s="728"/>
      <c r="D60" s="728"/>
      <c r="E60" s="728"/>
      <c r="F60" s="728"/>
      <c r="G60" s="728"/>
      <c r="H60" s="728"/>
      <c r="I60" s="728"/>
      <c r="J60" s="728"/>
      <c r="K60" s="728"/>
      <c r="L60" s="728"/>
      <c r="M60" s="728"/>
      <c r="N60" s="199"/>
    </row>
    <row r="61" spans="1:14" s="724" customFormat="1" ht="26.4">
      <c r="A61" s="1493"/>
      <c r="B61" s="1494"/>
      <c r="C61" s="1494"/>
      <c r="D61" s="1494"/>
      <c r="E61" s="1494"/>
      <c r="F61" s="1494"/>
      <c r="G61" s="725" t="s">
        <v>141</v>
      </c>
      <c r="H61" s="317" t="s">
        <v>134</v>
      </c>
      <c r="I61" s="317" t="s">
        <v>140</v>
      </c>
      <c r="J61" s="1495" t="s">
        <v>395</v>
      </c>
      <c r="K61" s="1496"/>
      <c r="L61" s="1496"/>
      <c r="M61" s="1497"/>
      <c r="N61" s="199"/>
    </row>
    <row r="62" spans="1:14" s="724" customFormat="1">
      <c r="A62" s="247"/>
      <c r="B62" s="284" t="s">
        <v>139</v>
      </c>
      <c r="C62" s="257"/>
      <c r="D62" s="244"/>
      <c r="E62" s="265"/>
      <c r="F62" s="257"/>
      <c r="G62" s="198"/>
      <c r="H62" s="726"/>
      <c r="I62" s="280"/>
      <c r="J62" s="241"/>
      <c r="K62" s="241"/>
      <c r="L62" s="241"/>
      <c r="M62" s="240"/>
      <c r="N62" s="199"/>
    </row>
    <row r="63" spans="1:14" s="724" customFormat="1" ht="14.4">
      <c r="A63" s="247"/>
      <c r="B63" s="284"/>
      <c r="C63" s="257"/>
      <c r="D63" s="244"/>
      <c r="E63" s="265"/>
      <c r="F63" s="257"/>
      <c r="G63" s="198"/>
      <c r="H63" s="726"/>
      <c r="I63" s="280"/>
      <c r="J63" s="734"/>
      <c r="K63" s="241"/>
      <c r="L63" s="241"/>
      <c r="M63" s="240"/>
      <c r="N63" s="199"/>
    </row>
    <row r="64" spans="1:14" s="724" customFormat="1">
      <c r="A64" s="247">
        <f>+A55+1</f>
        <v>172</v>
      </c>
      <c r="B64" s="735"/>
      <c r="C64" s="239" t="s">
        <v>213</v>
      </c>
      <c r="D64" s="736"/>
      <c r="E64" s="277"/>
      <c r="F64" s="239" t="s">
        <v>286</v>
      </c>
      <c r="G64" s="738">
        <v>0</v>
      </c>
      <c r="H64" s="737">
        <v>0</v>
      </c>
      <c r="I64" s="245">
        <f>+G64-H64</f>
        <v>0</v>
      </c>
      <c r="J64" s="241"/>
      <c r="K64" s="241"/>
      <c r="L64" s="241"/>
      <c r="M64" s="240"/>
      <c r="N64" s="199"/>
    </row>
    <row r="65" spans="1:17" s="724" customFormat="1">
      <c r="A65" s="247"/>
      <c r="B65" s="284"/>
      <c r="C65" s="257"/>
      <c r="D65" s="244"/>
      <c r="E65" s="265"/>
      <c r="F65" s="257"/>
      <c r="G65" s="198"/>
      <c r="H65" s="726"/>
      <c r="I65" s="280"/>
      <c r="J65" s="241"/>
      <c r="K65" s="241"/>
      <c r="L65" s="241"/>
      <c r="M65" s="240"/>
      <c r="N65" s="199"/>
    </row>
    <row r="66" spans="1:17" s="724" customFormat="1" ht="13.8" thickBot="1">
      <c r="A66" s="236"/>
      <c r="B66" s="235"/>
      <c r="C66" s="235"/>
      <c r="D66" s="235"/>
      <c r="E66" s="235"/>
      <c r="F66" s="235"/>
      <c r="G66" s="236" t="s">
        <v>396</v>
      </c>
      <c r="H66" s="235"/>
      <c r="I66" s="235"/>
      <c r="J66" s="1498"/>
      <c r="K66" s="1498"/>
      <c r="L66" s="1498"/>
      <c r="M66" s="1499"/>
      <c r="N66" s="199"/>
    </row>
    <row r="67" spans="1:17">
      <c r="N67" s="199"/>
    </row>
    <row r="69" spans="1:17" ht="13.8" thickBot="1">
      <c r="A69" s="234" t="s">
        <v>250</v>
      </c>
    </row>
    <row r="70" spans="1:17">
      <c r="A70" s="1487"/>
      <c r="B70" s="1488"/>
      <c r="C70" s="1488"/>
      <c r="D70" s="1488"/>
      <c r="E70" s="1488"/>
      <c r="F70" s="1500"/>
      <c r="G70" s="248" t="s">
        <v>513</v>
      </c>
      <c r="H70" s="248" t="s">
        <v>146</v>
      </c>
      <c r="I70" s="248" t="s">
        <v>145</v>
      </c>
      <c r="J70" s="248" t="s">
        <v>144</v>
      </c>
      <c r="K70" s="248" t="s">
        <v>143</v>
      </c>
      <c r="L70" s="1501" t="s">
        <v>251</v>
      </c>
      <c r="M70" s="1502"/>
    </row>
    <row r="71" spans="1:17">
      <c r="A71" s="296" t="s">
        <v>29</v>
      </c>
      <c r="B71" s="295" t="s">
        <v>142</v>
      </c>
      <c r="C71" s="230"/>
      <c r="D71" s="230"/>
      <c r="E71" s="231"/>
      <c r="F71" s="294"/>
      <c r="G71" s="226"/>
      <c r="H71" s="226"/>
      <c r="I71" s="226"/>
      <c r="J71" s="226"/>
      <c r="K71" s="226"/>
      <c r="L71" s="226"/>
      <c r="M71" s="225"/>
      <c r="Q71" s="297"/>
    </row>
    <row r="72" spans="1:17">
      <c r="A72" s="296"/>
      <c r="B72" s="295"/>
      <c r="C72" s="230" t="s">
        <v>816</v>
      </c>
      <c r="D72" s="230"/>
      <c r="E72" s="231"/>
      <c r="F72" s="294"/>
      <c r="G72" s="855">
        <v>1</v>
      </c>
      <c r="H72" s="526"/>
      <c r="I72" s="526"/>
      <c r="J72" s="526"/>
      <c r="K72" s="526"/>
      <c r="L72" s="280"/>
      <c r="M72" s="293"/>
    </row>
    <row r="73" spans="1:17">
      <c r="A73" s="296">
        <f>+A64+1</f>
        <v>173</v>
      </c>
      <c r="B73" s="295"/>
      <c r="C73" s="540" t="s">
        <v>157</v>
      </c>
      <c r="D73" s="230"/>
      <c r="E73" s="231"/>
      <c r="F73" s="294"/>
      <c r="G73" s="844">
        <v>7.0999999999999994E-2</v>
      </c>
      <c r="H73" s="541"/>
      <c r="I73" s="542"/>
      <c r="J73" s="542"/>
      <c r="K73" s="526"/>
      <c r="M73" s="926">
        <f>(G73*G72+H73*H72+I73*I72+J73*J72+K73*K72)/($G72+$H72+$I72+$J72+$K72)</f>
        <v>7.0999999999999994E-2</v>
      </c>
    </row>
    <row r="74" spans="1:17" ht="13.8" thickBot="1">
      <c r="A74" s="279"/>
      <c r="B74" s="292"/>
      <c r="C74" s="223" t="s">
        <v>537</v>
      </c>
      <c r="D74" s="291"/>
      <c r="E74" s="287"/>
      <c r="F74" s="290"/>
      <c r="G74" s="223"/>
      <c r="H74" s="223"/>
      <c r="I74" s="223"/>
      <c r="J74" s="223"/>
      <c r="K74" s="223"/>
      <c r="L74" s="223"/>
      <c r="M74" s="289"/>
      <c r="N74" s="288"/>
      <c r="O74" s="1014"/>
    </row>
    <row r="76" spans="1:17" ht="13.8" thickBot="1">
      <c r="A76" s="732" t="s">
        <v>394</v>
      </c>
      <c r="B76" s="508"/>
      <c r="C76" s="508"/>
      <c r="D76" s="508"/>
      <c r="E76" s="508"/>
      <c r="F76" s="508"/>
      <c r="G76" s="508"/>
      <c r="H76" s="508"/>
      <c r="I76" s="508"/>
      <c r="J76" s="508"/>
      <c r="K76" s="508"/>
      <c r="L76" s="508"/>
      <c r="M76" s="508"/>
    </row>
    <row r="77" spans="1:17" ht="39.6">
      <c r="A77" s="1480"/>
      <c r="B77" s="1481"/>
      <c r="C77" s="1481"/>
      <c r="D77" s="1481"/>
      <c r="E77" s="1481"/>
      <c r="F77" s="1482"/>
      <c r="G77" s="1378" t="s">
        <v>141</v>
      </c>
      <c r="H77" s="1379" t="s">
        <v>393</v>
      </c>
      <c r="I77" s="1379" t="s">
        <v>140</v>
      </c>
      <c r="J77" s="1483" t="s">
        <v>133</v>
      </c>
      <c r="K77" s="1483"/>
      <c r="L77" s="1483"/>
      <c r="M77" s="1484"/>
    </row>
    <row r="78" spans="1:17">
      <c r="A78" s="502"/>
      <c r="B78" s="284" t="s">
        <v>139</v>
      </c>
      <c r="C78" s="503"/>
      <c r="D78" s="504"/>
      <c r="E78" s="505"/>
      <c r="F78" s="1293"/>
      <c r="G78" s="506"/>
      <c r="H78" s="503"/>
      <c r="I78" s="503"/>
      <c r="J78" s="503"/>
      <c r="K78" s="503"/>
      <c r="L78" s="503"/>
      <c r="M78" s="507"/>
    </row>
    <row r="79" spans="1:17">
      <c r="A79" s="502">
        <f>+A73+1</f>
        <v>174</v>
      </c>
      <c r="B79" s="1294"/>
      <c r="C79" s="1295" t="s">
        <v>214</v>
      </c>
      <c r="D79" s="504"/>
      <c r="E79" s="1296"/>
      <c r="F79" s="244" t="s">
        <v>165</v>
      </c>
      <c r="G79" s="1297"/>
      <c r="H79" s="1298"/>
      <c r="I79" s="1299">
        <f>G79-H79</f>
        <v>0</v>
      </c>
      <c r="J79" s="503"/>
      <c r="K79" s="503"/>
      <c r="L79" s="503"/>
      <c r="M79" s="507"/>
    </row>
    <row r="80" spans="1:17">
      <c r="A80" s="502"/>
      <c r="B80" s="284"/>
      <c r="C80" s="503"/>
      <c r="D80" s="504"/>
      <c r="E80" s="505"/>
      <c r="F80" s="1293"/>
      <c r="G80" s="506"/>
      <c r="H80" s="503"/>
      <c r="I80" s="503"/>
      <c r="J80" s="503"/>
      <c r="K80" s="503"/>
      <c r="L80" s="503"/>
      <c r="M80" s="507"/>
    </row>
    <row r="81" spans="1:14">
      <c r="A81" s="502"/>
      <c r="B81" s="284"/>
      <c r="C81" s="241" t="s">
        <v>798</v>
      </c>
      <c r="D81" s="504"/>
      <c r="E81" s="505"/>
      <c r="F81" s="1293"/>
      <c r="G81" s="506"/>
      <c r="H81" s="503"/>
      <c r="I81" s="503"/>
      <c r="J81" s="503"/>
      <c r="K81" s="503"/>
      <c r="L81" s="503"/>
      <c r="M81" s="507"/>
    </row>
    <row r="82" spans="1:14">
      <c r="A82" s="502"/>
      <c r="B82" s="284"/>
      <c r="C82" s="241" t="s">
        <v>801</v>
      </c>
      <c r="D82" s="504"/>
      <c r="E82" s="505"/>
      <c r="F82" s="1293"/>
      <c r="G82" s="506"/>
      <c r="H82" s="503"/>
      <c r="I82" s="503"/>
      <c r="J82" s="503"/>
      <c r="K82" s="503"/>
      <c r="L82" s="503"/>
      <c r="M82" s="507"/>
    </row>
    <row r="83" spans="1:14">
      <c r="A83" s="502"/>
      <c r="B83" s="284"/>
      <c r="C83" s="241" t="s">
        <v>799</v>
      </c>
      <c r="D83" s="504"/>
      <c r="E83" s="505"/>
      <c r="F83" s="1293"/>
      <c r="G83" s="506"/>
      <c r="H83" s="503"/>
      <c r="I83" s="503"/>
      <c r="J83" s="503"/>
      <c r="K83" s="503"/>
      <c r="L83" s="503"/>
      <c r="M83" s="507"/>
    </row>
    <row r="84" spans="1:14">
      <c r="A84" s="502"/>
      <c r="B84" s="284"/>
      <c r="C84" s="226" t="s">
        <v>800</v>
      </c>
      <c r="D84" s="226"/>
      <c r="E84" s="226"/>
      <c r="F84" s="1293"/>
      <c r="G84" s="506"/>
      <c r="H84" s="503"/>
      <c r="I84" s="503"/>
      <c r="J84" s="503"/>
      <c r="K84" s="503"/>
      <c r="L84" s="503"/>
      <c r="M84" s="507"/>
    </row>
    <row r="85" spans="1:14" ht="13.8" thickBot="1">
      <c r="A85" s="279"/>
      <c r="B85" s="223"/>
      <c r="C85" s="223" t="s">
        <v>802</v>
      </c>
      <c r="D85" s="223"/>
      <c r="E85" s="223"/>
      <c r="F85" s="222"/>
      <c r="G85" s="279"/>
      <c r="H85" s="223"/>
      <c r="I85" s="223"/>
      <c r="J85" s="1485"/>
      <c r="K85" s="1485"/>
      <c r="L85" s="1485"/>
      <c r="M85" s="1486"/>
    </row>
    <row r="87" spans="1:14" ht="13.8" thickBot="1">
      <c r="A87" s="234" t="s">
        <v>138</v>
      </c>
    </row>
    <row r="88" spans="1:14" ht="66.75" customHeight="1">
      <c r="A88" s="1487"/>
      <c r="B88" s="1488"/>
      <c r="C88" s="1488"/>
      <c r="D88" s="1488"/>
      <c r="E88" s="1488"/>
      <c r="F88" s="1488"/>
      <c r="G88" s="275" t="str">
        <f>+C90</f>
        <v>Excluded Transmission Facilities</v>
      </c>
      <c r="H88" s="1344" t="s">
        <v>890</v>
      </c>
      <c r="I88" s="1491" t="s">
        <v>137</v>
      </c>
      <c r="J88" s="1491"/>
      <c r="K88" s="1491"/>
      <c r="L88" s="1491"/>
      <c r="M88" s="1492"/>
    </row>
    <row r="89" spans="1:14">
      <c r="A89" s="286"/>
      <c r="B89" s="285" t="s">
        <v>136</v>
      </c>
      <c r="C89" s="284"/>
      <c r="D89" s="266"/>
      <c r="E89" s="283"/>
      <c r="F89" s="282"/>
      <c r="G89" s="281"/>
      <c r="H89" s="226"/>
      <c r="I89" s="226"/>
      <c r="J89" s="226"/>
      <c r="K89" s="226"/>
      <c r="L89" s="226"/>
      <c r="M89" s="225"/>
    </row>
    <row r="90" spans="1:14" ht="12.75" customHeight="1">
      <c r="A90" s="247">
        <f>+A79+1</f>
        <v>175</v>
      </c>
      <c r="B90" s="246"/>
      <c r="C90" s="239" t="s">
        <v>215</v>
      </c>
      <c r="D90" s="266"/>
      <c r="E90" s="277"/>
      <c r="F90" s="239"/>
      <c r="G90" s="1321">
        <v>0</v>
      </c>
      <c r="H90" s="1345">
        <v>0</v>
      </c>
      <c r="I90" s="1489" t="s">
        <v>135</v>
      </c>
      <c r="J90" s="1489"/>
      <c r="K90" s="1489"/>
      <c r="L90" s="1489"/>
      <c r="M90" s="1490"/>
    </row>
    <row r="91" spans="1:14">
      <c r="A91" s="247"/>
      <c r="B91" s="246"/>
      <c r="C91" s="228"/>
      <c r="D91" s="266"/>
      <c r="E91" s="265"/>
      <c r="F91" s="264"/>
      <c r="G91" s="281" t="s">
        <v>946</v>
      </c>
      <c r="H91" s="226"/>
      <c r="I91" s="226"/>
      <c r="J91" s="226"/>
      <c r="K91" s="226"/>
      <c r="L91" s="226"/>
      <c r="M91" s="225"/>
    </row>
    <row r="92" spans="1:14" ht="13.8" thickBot="1">
      <c r="A92" s="224"/>
      <c r="B92" s="223"/>
      <c r="C92" s="223"/>
      <c r="D92" s="223"/>
      <c r="E92" s="223"/>
      <c r="F92" s="223"/>
      <c r="G92" s="279"/>
      <c r="H92" s="223"/>
      <c r="I92" s="223"/>
      <c r="J92" s="223"/>
      <c r="K92" s="278" t="s">
        <v>132</v>
      </c>
      <c r="L92" s="223"/>
      <c r="M92" s="222"/>
    </row>
    <row r="93" spans="1:14">
      <c r="A93" s="227"/>
      <c r="B93" s="226"/>
      <c r="C93" s="226"/>
      <c r="D93" s="226"/>
      <c r="E93" s="226"/>
      <c r="F93" s="226"/>
      <c r="G93" s="226"/>
      <c r="H93" s="226"/>
      <c r="I93" s="226"/>
      <c r="J93" s="226"/>
      <c r="K93" s="276"/>
      <c r="L93" s="226"/>
      <c r="M93" s="226"/>
    </row>
    <row r="94" spans="1:14">
      <c r="A94" s="246"/>
      <c r="B94" s="246"/>
      <c r="C94" s="246"/>
      <c r="D94" s="246"/>
      <c r="E94" s="277"/>
      <c r="F94" s="246"/>
      <c r="G94" s="226"/>
      <c r="H94" s="226"/>
      <c r="I94" s="226"/>
      <c r="J94" s="226"/>
      <c r="K94" s="276"/>
      <c r="L94" s="226"/>
      <c r="M94" s="226"/>
    </row>
    <row r="95" spans="1:14" ht="13.8" thickBot="1">
      <c r="A95" s="234" t="s">
        <v>161</v>
      </c>
      <c r="F95" s="223"/>
      <c r="G95" s="226"/>
      <c r="H95" s="226"/>
      <c r="N95" s="199"/>
    </row>
    <row r="96" spans="1:14">
      <c r="A96" s="269"/>
      <c r="B96" s="913"/>
      <c r="C96" s="913"/>
      <c r="D96" s="268"/>
      <c r="E96" s="268"/>
      <c r="F96" s="268"/>
      <c r="G96" s="914"/>
      <c r="H96" s="914"/>
      <c r="I96" s="914"/>
      <c r="J96" s="914"/>
      <c r="K96" s="914"/>
      <c r="L96" s="914"/>
      <c r="M96" s="915"/>
      <c r="N96" s="274"/>
    </row>
    <row r="97" spans="1:15" ht="13.8">
      <c r="A97" s="198"/>
      <c r="B97" s="267"/>
      <c r="C97" s="342"/>
      <c r="D97" s="343"/>
      <c r="E97" s="226"/>
      <c r="F97" s="226"/>
      <c r="G97" s="299"/>
      <c r="H97" s="273"/>
      <c r="I97" s="264"/>
      <c r="J97" s="244"/>
      <c r="K97" s="263"/>
      <c r="L97" s="244"/>
      <c r="M97" s="262"/>
      <c r="N97" s="199"/>
    </row>
    <row r="98" spans="1:15" s="199" customFormat="1" ht="31.2">
      <c r="A98" s="243"/>
      <c r="B98" s="241"/>
      <c r="C98" s="220" t="s">
        <v>478</v>
      </c>
      <c r="D98" s="241"/>
      <c r="E98" s="687" t="s">
        <v>159</v>
      </c>
      <c r="F98" s="687" t="s">
        <v>216</v>
      </c>
      <c r="G98" s="911" t="s">
        <v>471</v>
      </c>
      <c r="H98" s="924" t="s">
        <v>42</v>
      </c>
      <c r="I98" s="220"/>
      <c r="J98" s="261"/>
      <c r="K98" s="258"/>
      <c r="L98" s="911"/>
      <c r="M98" s="912"/>
    </row>
    <row r="99" spans="1:15" ht="17.25" customHeight="1">
      <c r="A99" s="247"/>
      <c r="B99" s="246"/>
      <c r="C99" s="226" t="s">
        <v>477</v>
      </c>
      <c r="D99" s="226"/>
      <c r="E99" s="924" t="s">
        <v>474</v>
      </c>
      <c r="F99" s="924" t="s">
        <v>475</v>
      </c>
      <c r="G99" s="924" t="s">
        <v>476</v>
      </c>
      <c r="H99" s="226"/>
      <c r="I99" s="220"/>
      <c r="J99" s="261"/>
      <c r="K99" s="258"/>
      <c r="L99" s="257"/>
      <c r="M99" s="256"/>
      <c r="O99" s="1014"/>
    </row>
    <row r="100" spans="1:15" ht="17.25" customHeight="1">
      <c r="A100" s="247">
        <f>+A90+1</f>
        <v>176</v>
      </c>
      <c r="B100" s="246"/>
      <c r="C100" s="226" t="s">
        <v>164</v>
      </c>
      <c r="D100" s="226" t="s">
        <v>472</v>
      </c>
      <c r="E100" s="919">
        <v>0</v>
      </c>
      <c r="F100" s="920">
        <v>0</v>
      </c>
      <c r="G100" s="920">
        <v>0</v>
      </c>
      <c r="H100" s="778">
        <f>+E100+F100+G100</f>
        <v>0</v>
      </c>
      <c r="I100" s="226"/>
      <c r="J100" s="261"/>
      <c r="K100" s="258"/>
      <c r="L100" s="257"/>
      <c r="M100" s="256"/>
    </row>
    <row r="101" spans="1:15" ht="17.25" customHeight="1">
      <c r="A101" s="247">
        <f>+A100+1</f>
        <v>177</v>
      </c>
      <c r="B101" s="246"/>
      <c r="C101" s="257" t="s">
        <v>174</v>
      </c>
      <c r="D101" s="226" t="s">
        <v>808</v>
      </c>
      <c r="E101" s="703">
        <v>0</v>
      </c>
      <c r="F101" s="907">
        <v>0</v>
      </c>
      <c r="G101" s="907">
        <v>0</v>
      </c>
      <c r="H101" s="778">
        <f t="shared" ref="H101:H112" si="2">+E101+F101+G101</f>
        <v>0</v>
      </c>
      <c r="I101" s="220"/>
      <c r="J101" s="261"/>
      <c r="K101" s="258"/>
      <c r="L101" s="257"/>
      <c r="M101" s="256"/>
    </row>
    <row r="102" spans="1:15" ht="17.25" customHeight="1">
      <c r="A102" s="247">
        <f t="shared" ref="A102:A112" si="3">+A101+1</f>
        <v>178</v>
      </c>
      <c r="B102" s="246"/>
      <c r="C102" s="239" t="s">
        <v>173</v>
      </c>
      <c r="D102" s="226" t="s">
        <v>808</v>
      </c>
      <c r="E102" s="703">
        <v>0</v>
      </c>
      <c r="F102" s="907">
        <v>0</v>
      </c>
      <c r="G102" s="907">
        <v>0</v>
      </c>
      <c r="H102" s="778">
        <f t="shared" si="2"/>
        <v>0</v>
      </c>
      <c r="I102" s="220"/>
      <c r="J102" s="261"/>
      <c r="K102" s="258"/>
      <c r="L102" s="257"/>
      <c r="M102" s="256"/>
    </row>
    <row r="103" spans="1:15" ht="17.25" customHeight="1">
      <c r="A103" s="247">
        <f t="shared" si="3"/>
        <v>179</v>
      </c>
      <c r="B103" s="246"/>
      <c r="C103" s="239" t="s">
        <v>172</v>
      </c>
      <c r="D103" s="226" t="s">
        <v>808</v>
      </c>
      <c r="E103" s="703">
        <v>0</v>
      </c>
      <c r="F103" s="907">
        <v>0</v>
      </c>
      <c r="G103" s="907">
        <v>0</v>
      </c>
      <c r="H103" s="778">
        <f t="shared" si="2"/>
        <v>0</v>
      </c>
      <c r="I103" s="220"/>
      <c r="J103" s="261"/>
      <c r="K103" s="258"/>
      <c r="L103" s="257"/>
      <c r="M103" s="256"/>
    </row>
    <row r="104" spans="1:15" ht="17.25" customHeight="1">
      <c r="A104" s="247">
        <f t="shared" si="3"/>
        <v>180</v>
      </c>
      <c r="B104" s="246"/>
      <c r="C104" s="257" t="s">
        <v>155</v>
      </c>
      <c r="D104" s="226" t="s">
        <v>808</v>
      </c>
      <c r="E104" s="703">
        <v>0</v>
      </c>
      <c r="F104" s="907">
        <v>0</v>
      </c>
      <c r="G104" s="907">
        <v>0</v>
      </c>
      <c r="H104" s="778">
        <f t="shared" si="2"/>
        <v>0</v>
      </c>
      <c r="I104" s="220"/>
      <c r="J104" s="261"/>
      <c r="K104" s="258"/>
      <c r="L104" s="257"/>
      <c r="M104" s="256"/>
    </row>
    <row r="105" spans="1:15" ht="17.25" customHeight="1">
      <c r="A105" s="247">
        <f t="shared" si="3"/>
        <v>181</v>
      </c>
      <c r="B105" s="246"/>
      <c r="C105" s="239" t="s">
        <v>152</v>
      </c>
      <c r="D105" s="226" t="s">
        <v>808</v>
      </c>
      <c r="E105" s="703">
        <v>0</v>
      </c>
      <c r="F105" s="907">
        <v>0</v>
      </c>
      <c r="G105" s="907">
        <v>0</v>
      </c>
      <c r="H105" s="778">
        <f t="shared" si="2"/>
        <v>0</v>
      </c>
      <c r="I105" s="220"/>
      <c r="J105" s="261"/>
      <c r="K105" s="258"/>
      <c r="L105" s="257"/>
      <c r="M105" s="256"/>
    </row>
    <row r="106" spans="1:15" ht="17.25" customHeight="1">
      <c r="A106" s="247">
        <f t="shared" si="3"/>
        <v>182</v>
      </c>
      <c r="B106" s="246"/>
      <c r="C106" s="239" t="s">
        <v>171</v>
      </c>
      <c r="D106" s="226" t="s">
        <v>808</v>
      </c>
      <c r="E106" s="703">
        <v>0</v>
      </c>
      <c r="F106" s="907">
        <v>0</v>
      </c>
      <c r="G106" s="907">
        <v>0</v>
      </c>
      <c r="H106" s="778">
        <f t="shared" si="2"/>
        <v>0</v>
      </c>
      <c r="I106" s="220"/>
      <c r="J106" s="261"/>
      <c r="K106" s="258"/>
      <c r="L106" s="257"/>
      <c r="M106" s="256"/>
    </row>
    <row r="107" spans="1:15" ht="17.25" customHeight="1">
      <c r="A107" s="247">
        <f t="shared" si="3"/>
        <v>183</v>
      </c>
      <c r="B107" s="246"/>
      <c r="C107" s="257" t="s">
        <v>170</v>
      </c>
      <c r="D107" s="226" t="s">
        <v>808</v>
      </c>
      <c r="E107" s="703">
        <v>0</v>
      </c>
      <c r="F107" s="907">
        <v>0</v>
      </c>
      <c r="G107" s="907">
        <v>0</v>
      </c>
      <c r="H107" s="778">
        <f t="shared" si="2"/>
        <v>0</v>
      </c>
      <c r="I107" s="220"/>
      <c r="J107" s="261"/>
      <c r="K107" s="258"/>
      <c r="L107" s="257"/>
      <c r="M107" s="256"/>
    </row>
    <row r="108" spans="1:15" ht="17.25" customHeight="1">
      <c r="A108" s="247">
        <f t="shared" si="3"/>
        <v>184</v>
      </c>
      <c r="B108" s="246"/>
      <c r="C108" s="239" t="s">
        <v>169</v>
      </c>
      <c r="D108" s="226" t="s">
        <v>808</v>
      </c>
      <c r="E108" s="703">
        <v>0</v>
      </c>
      <c r="F108" s="907">
        <v>0</v>
      </c>
      <c r="G108" s="907">
        <v>0</v>
      </c>
      <c r="H108" s="778">
        <f t="shared" si="2"/>
        <v>0</v>
      </c>
      <c r="I108" s="220"/>
      <c r="J108" s="261"/>
      <c r="K108" s="258"/>
      <c r="L108" s="257"/>
      <c r="M108" s="256"/>
    </row>
    <row r="109" spans="1:15" ht="17.25" customHeight="1">
      <c r="A109" s="247">
        <f t="shared" si="3"/>
        <v>185</v>
      </c>
      <c r="B109" s="246"/>
      <c r="C109" s="239" t="s">
        <v>168</v>
      </c>
      <c r="D109" s="226" t="s">
        <v>808</v>
      </c>
      <c r="E109" s="703">
        <v>0</v>
      </c>
      <c r="F109" s="907">
        <v>0</v>
      </c>
      <c r="G109" s="907">
        <v>0</v>
      </c>
      <c r="H109" s="778">
        <f t="shared" si="2"/>
        <v>0</v>
      </c>
      <c r="I109" s="220"/>
      <c r="J109" s="261"/>
      <c r="K109" s="258"/>
      <c r="L109" s="257"/>
      <c r="M109" s="256"/>
    </row>
    <row r="110" spans="1:15" ht="15">
      <c r="A110" s="247">
        <f t="shared" si="3"/>
        <v>186</v>
      </c>
      <c r="B110" s="246"/>
      <c r="C110" s="257" t="s">
        <v>167</v>
      </c>
      <c r="D110" s="226" t="s">
        <v>808</v>
      </c>
      <c r="E110" s="703">
        <v>0</v>
      </c>
      <c r="F110" s="907">
        <v>0</v>
      </c>
      <c r="G110" s="907">
        <v>0</v>
      </c>
      <c r="H110" s="778">
        <f t="shared" si="2"/>
        <v>0</v>
      </c>
      <c r="I110" s="220"/>
      <c r="J110" s="261"/>
      <c r="K110" s="258"/>
      <c r="L110" s="257"/>
      <c r="M110" s="256"/>
    </row>
    <row r="111" spans="1:15" ht="17.25" customHeight="1">
      <c r="A111" s="247">
        <f t="shared" si="3"/>
        <v>187</v>
      </c>
      <c r="B111" s="246"/>
      <c r="C111" s="257" t="s">
        <v>166</v>
      </c>
      <c r="D111" s="226" t="s">
        <v>808</v>
      </c>
      <c r="E111" s="703">
        <v>0</v>
      </c>
      <c r="F111" s="907">
        <v>0</v>
      </c>
      <c r="G111" s="907">
        <v>0</v>
      </c>
      <c r="H111" s="778">
        <f t="shared" si="2"/>
        <v>0</v>
      </c>
      <c r="I111" s="220"/>
      <c r="J111" s="261"/>
      <c r="K111" s="258"/>
      <c r="L111" s="257"/>
      <c r="M111" s="256"/>
    </row>
    <row r="112" spans="1:15" ht="17.25" customHeight="1">
      <c r="A112" s="247">
        <f t="shared" si="3"/>
        <v>188</v>
      </c>
      <c r="B112" s="246"/>
      <c r="C112" s="239" t="s">
        <v>164</v>
      </c>
      <c r="D112" s="226" t="s">
        <v>473</v>
      </c>
      <c r="E112" s="703">
        <v>0</v>
      </c>
      <c r="F112" s="907">
        <v>0</v>
      </c>
      <c r="G112" s="907">
        <v>0</v>
      </c>
      <c r="H112" s="778">
        <f t="shared" si="2"/>
        <v>0</v>
      </c>
      <c r="I112" s="220"/>
      <c r="J112" s="261"/>
      <c r="K112" s="258"/>
      <c r="L112" s="241"/>
      <c r="M112" s="256"/>
    </row>
    <row r="113" spans="1:14" ht="17.25" customHeight="1">
      <c r="A113" s="247"/>
      <c r="B113" s="246"/>
      <c r="C113" s="239"/>
      <c r="D113" s="226"/>
      <c r="E113" s="705"/>
      <c r="F113" s="918"/>
      <c r="G113" s="918"/>
      <c r="H113" s="778"/>
      <c r="I113" s="220"/>
      <c r="J113" s="261"/>
      <c r="K113" s="258"/>
      <c r="L113" s="241"/>
      <c r="M113" s="256"/>
    </row>
    <row r="114" spans="1:14" ht="16.2" thickBot="1">
      <c r="A114" s="255">
        <f>+A112+1</f>
        <v>189</v>
      </c>
      <c r="B114" s="254"/>
      <c r="C114" s="923" t="s">
        <v>209</v>
      </c>
      <c r="D114" s="223"/>
      <c r="E114" s="270"/>
      <c r="F114" s="270"/>
      <c r="G114" s="223"/>
      <c r="H114" s="921">
        <f>SUM(H100:H112)/13</f>
        <v>0</v>
      </c>
      <c r="I114" s="922"/>
      <c r="J114" s="901"/>
      <c r="K114" s="901"/>
      <c r="L114" s="916"/>
      <c r="M114" s="917"/>
    </row>
    <row r="115" spans="1:14" ht="15.6">
      <c r="A115" s="246"/>
      <c r="B115" s="246"/>
      <c r="C115" s="253"/>
      <c r="D115" s="252"/>
      <c r="E115" s="252"/>
      <c r="F115" s="252"/>
      <c r="G115" s="251"/>
      <c r="H115" s="249"/>
      <c r="I115" s="250"/>
      <c r="J115" s="249"/>
      <c r="K115" s="249"/>
      <c r="L115" s="229"/>
      <c r="M115" s="229"/>
    </row>
    <row r="116" spans="1:14" s="199" customFormat="1" ht="15.6">
      <c r="A116" s="679"/>
      <c r="B116" s="202"/>
      <c r="C116" s="202"/>
      <c r="D116" s="202"/>
      <c r="E116" s="202"/>
      <c r="F116" s="202"/>
      <c r="G116" s="202"/>
      <c r="H116" s="202"/>
      <c r="I116" s="202"/>
      <c r="J116" s="202"/>
      <c r="K116" s="202"/>
      <c r="L116" s="202"/>
      <c r="M116" s="202"/>
    </row>
    <row r="117" spans="1:14" ht="16.2" thickBot="1">
      <c r="A117" s="680" t="s">
        <v>208</v>
      </c>
      <c r="B117" s="202"/>
      <c r="C117" s="202"/>
      <c r="D117" s="202"/>
      <c r="E117" s="202"/>
      <c r="F117" s="202"/>
      <c r="G117" s="202"/>
      <c r="H117" s="202"/>
      <c r="I117" s="202"/>
      <c r="J117" s="202"/>
      <c r="K117" s="202"/>
      <c r="L117" s="202"/>
      <c r="M117" s="202"/>
    </row>
    <row r="118" spans="1:14" ht="15.6">
      <c r="A118" s="1474"/>
      <c r="B118" s="1475"/>
      <c r="C118" s="1475"/>
      <c r="D118" s="1475"/>
      <c r="E118" s="1475"/>
      <c r="F118" s="1475"/>
      <c r="G118" s="977"/>
      <c r="H118" s="977"/>
      <c r="I118" s="977"/>
      <c r="J118" s="1477" t="s">
        <v>133</v>
      </c>
      <c r="K118" s="1478"/>
      <c r="L118" s="1478"/>
      <c r="M118" s="1479"/>
    </row>
    <row r="119" spans="1:14" ht="15.6">
      <c r="A119" s="681">
        <f>+A114</f>
        <v>189</v>
      </c>
      <c r="B119" s="682"/>
      <c r="C119" s="683" t="s">
        <v>262</v>
      </c>
      <c r="D119" s="271"/>
      <c r="E119" s="684"/>
      <c r="F119" s="685"/>
      <c r="G119" s="686"/>
      <c r="H119" s="271"/>
      <c r="I119" s="271"/>
      <c r="J119" s="687"/>
      <c r="K119" s="687"/>
      <c r="L119" s="687"/>
      <c r="M119" s="688"/>
      <c r="N119" s="202"/>
    </row>
    <row r="120" spans="1:14" ht="15.6">
      <c r="A120" s="681"/>
      <c r="B120" s="682"/>
      <c r="C120" s="683"/>
      <c r="D120" s="271"/>
      <c r="E120" s="684"/>
      <c r="F120" s="685"/>
      <c r="G120" s="686"/>
      <c r="H120" s="271"/>
      <c r="I120" s="271"/>
      <c r="J120" s="687"/>
      <c r="K120" s="687"/>
      <c r="L120" s="687"/>
      <c r="M120" s="688"/>
      <c r="N120" s="202"/>
    </row>
    <row r="121" spans="1:14" ht="15.6">
      <c r="A121" s="681"/>
      <c r="B121" s="684"/>
      <c r="C121" s="252"/>
      <c r="D121" s="252"/>
      <c r="E121" s="252"/>
      <c r="F121" s="252"/>
      <c r="G121" s="1195"/>
      <c r="H121" s="1195"/>
      <c r="I121" s="1195"/>
      <c r="J121" s="1195"/>
      <c r="K121" s="1195"/>
      <c r="L121" s="1195"/>
      <c r="M121" s="689"/>
      <c r="N121" s="202"/>
    </row>
    <row r="122" spans="1:14" ht="15.6">
      <c r="A122" s="959">
        <f>A119+1</f>
        <v>190</v>
      </c>
      <c r="B122" s="684"/>
      <c r="C122" s="958" t="s">
        <v>488</v>
      </c>
      <c r="D122" s="678"/>
      <c r="E122" s="690"/>
      <c r="F122" s="252"/>
      <c r="G122" s="162"/>
      <c r="H122" s="162"/>
      <c r="I122" s="162"/>
      <c r="J122" s="1196"/>
      <c r="K122" s="1196"/>
      <c r="L122" s="1197"/>
      <c r="M122" s="689"/>
      <c r="N122" s="202"/>
    </row>
    <row r="123" spans="1:14" ht="15.6">
      <c r="A123" s="959">
        <f t="shared" ref="A123:A130" si="4">+A122+1</f>
        <v>191</v>
      </c>
      <c r="B123" s="684"/>
      <c r="C123" s="694" t="s">
        <v>263</v>
      </c>
      <c r="D123" s="691"/>
      <c r="E123" s="252"/>
      <c r="F123" s="983">
        <v>-8800000</v>
      </c>
      <c r="G123" s="162"/>
      <c r="H123" s="162"/>
      <c r="I123" s="162"/>
      <c r="J123" s="1196"/>
      <c r="K123" s="1196"/>
      <c r="L123" s="1197"/>
      <c r="M123" s="689"/>
      <c r="N123" s="202"/>
    </row>
    <row r="124" spans="1:14" ht="15.6">
      <c r="A124" s="959">
        <f t="shared" si="4"/>
        <v>192</v>
      </c>
      <c r="B124" s="684"/>
      <c r="C124" s="694" t="s">
        <v>264</v>
      </c>
      <c r="D124" s="691"/>
      <c r="E124" s="252"/>
      <c r="F124" s="983">
        <v>1444841000</v>
      </c>
      <c r="G124" s="1198"/>
      <c r="H124" s="1198"/>
      <c r="I124" s="1198"/>
      <c r="J124" s="1198"/>
      <c r="K124" s="1198"/>
      <c r="L124" s="1197"/>
      <c r="M124" s="689"/>
      <c r="N124" s="202"/>
    </row>
    <row r="125" spans="1:14" ht="15.6">
      <c r="A125" s="959">
        <f t="shared" si="4"/>
        <v>193</v>
      </c>
      <c r="B125" s="684"/>
      <c r="C125" s="694" t="s">
        <v>265</v>
      </c>
      <c r="D125" s="691"/>
      <c r="E125" s="252"/>
      <c r="F125" s="984">
        <f>+F123/F124</f>
        <v>-6.090635578586156E-3</v>
      </c>
      <c r="G125" s="259"/>
      <c r="H125" s="259"/>
      <c r="I125" s="259"/>
      <c r="J125" s="259"/>
      <c r="K125" s="259"/>
      <c r="L125" s="259"/>
      <c r="M125" s="689"/>
      <c r="N125" s="202"/>
    </row>
    <row r="126" spans="1:14" ht="15.6">
      <c r="A126" s="959">
        <f t="shared" si="4"/>
        <v>194</v>
      </c>
      <c r="B126" s="684"/>
      <c r="C126" s="694" t="s">
        <v>309</v>
      </c>
      <c r="D126" s="691"/>
      <c r="E126" s="252" t="s">
        <v>808</v>
      </c>
      <c r="F126" s="693">
        <v>0</v>
      </c>
      <c r="G126" s="252"/>
      <c r="H126" s="252"/>
      <c r="I126" s="252"/>
      <c r="J126" s="252"/>
      <c r="K126" s="252"/>
      <c r="L126" s="252"/>
      <c r="M126" s="689"/>
      <c r="N126" s="202"/>
    </row>
    <row r="127" spans="1:14" ht="15.6">
      <c r="A127" s="959">
        <f t="shared" si="4"/>
        <v>195</v>
      </c>
      <c r="B127" s="684"/>
      <c r="C127" s="694" t="s">
        <v>310</v>
      </c>
      <c r="D127" s="691"/>
      <c r="E127" s="252"/>
      <c r="F127" s="707">
        <f>+F125*F126</f>
        <v>0</v>
      </c>
      <c r="G127" s="252"/>
      <c r="H127" s="252"/>
      <c r="I127" s="252"/>
      <c r="J127" s="252"/>
      <c r="K127" s="252"/>
      <c r="L127" s="252"/>
      <c r="M127" s="689"/>
      <c r="N127" s="202"/>
    </row>
    <row r="128" spans="1:14" ht="15.6">
      <c r="A128" s="959">
        <f t="shared" si="4"/>
        <v>196</v>
      </c>
      <c r="B128" s="684"/>
      <c r="C128" s="694" t="s">
        <v>311</v>
      </c>
      <c r="D128" s="691"/>
      <c r="E128" s="252" t="s">
        <v>808</v>
      </c>
      <c r="F128" s="706">
        <v>0</v>
      </c>
      <c r="G128" s="252"/>
      <c r="H128" s="252"/>
      <c r="I128" s="252"/>
      <c r="J128" s="252"/>
      <c r="K128" s="252"/>
      <c r="L128" s="252"/>
      <c r="M128" s="689"/>
      <c r="N128" s="202"/>
    </row>
    <row r="129" spans="1:14" ht="15.6">
      <c r="A129" s="959">
        <f t="shared" si="4"/>
        <v>197</v>
      </c>
      <c r="B129" s="684"/>
      <c r="C129" s="694" t="s">
        <v>780</v>
      </c>
      <c r="D129" s="695" t="s">
        <v>29</v>
      </c>
      <c r="E129" s="252"/>
      <c r="F129" s="707">
        <f>+F127-F128</f>
        <v>0</v>
      </c>
      <c r="G129" s="252"/>
      <c r="H129" s="252"/>
      <c r="I129" s="252"/>
      <c r="J129" s="252"/>
      <c r="K129" s="252"/>
      <c r="L129" s="252"/>
      <c r="M129" s="689"/>
      <c r="N129" s="202"/>
    </row>
    <row r="130" spans="1:14" ht="15.6">
      <c r="A130" s="959">
        <f t="shared" si="4"/>
        <v>198</v>
      </c>
      <c r="B130" s="684"/>
      <c r="C130" s="694" t="str">
        <f>"Lines "&amp;A123&amp;"-"&amp;A125&amp;" cannot change absent approval or acceptance by FERC in a separate proceeding. "</f>
        <v xml:space="preserve">Lines 191-193 cannot change absent approval or acceptance by FERC in a separate proceeding. </v>
      </c>
      <c r="D130" s="691"/>
      <c r="E130" s="252"/>
      <c r="F130" s="691"/>
      <c r="G130" s="252"/>
      <c r="H130" s="252"/>
      <c r="I130" s="252"/>
      <c r="J130" s="252"/>
      <c r="K130" s="252"/>
      <c r="L130" s="252"/>
      <c r="M130" s="689"/>
      <c r="N130" s="202"/>
    </row>
    <row r="131" spans="1:14" ht="15.6">
      <c r="A131" s="959"/>
      <c r="B131" s="684"/>
      <c r="C131" s="694"/>
      <c r="D131" s="691"/>
      <c r="E131" s="252"/>
      <c r="F131" s="691"/>
      <c r="G131" s="252"/>
      <c r="H131" s="252"/>
      <c r="I131" s="252"/>
      <c r="J131" s="252"/>
      <c r="K131" s="252"/>
      <c r="L131" s="252"/>
      <c r="M131" s="689"/>
      <c r="N131" s="202"/>
    </row>
    <row r="132" spans="1:14" ht="15.6">
      <c r="A132" s="959">
        <f>+A129+1</f>
        <v>198</v>
      </c>
      <c r="B132" s="252"/>
      <c r="C132" s="958" t="s">
        <v>489</v>
      </c>
      <c r="D132" s="678"/>
      <c r="E132" s="252"/>
      <c r="F132" s="259"/>
      <c r="G132" s="252"/>
      <c r="H132" s="252"/>
      <c r="I132" s="252"/>
      <c r="J132" s="252"/>
      <c r="K132" s="252"/>
      <c r="L132" s="252"/>
      <c r="M132" s="689"/>
      <c r="N132" s="202"/>
    </row>
    <row r="133" spans="1:14" ht="15.6">
      <c r="A133" s="959">
        <f t="shared" ref="A133:A140" si="5">+A132+1</f>
        <v>199</v>
      </c>
      <c r="B133" s="682"/>
      <c r="C133" s="694" t="s">
        <v>263</v>
      </c>
      <c r="D133" s="691"/>
      <c r="E133" s="252"/>
      <c r="F133" s="983">
        <f>16151452+54732191</f>
        <v>70883643</v>
      </c>
      <c r="G133" s="1199"/>
      <c r="H133" s="252"/>
      <c r="I133" s="252"/>
      <c r="J133" s="252"/>
      <c r="K133" s="252"/>
      <c r="L133" s="252"/>
      <c r="M133" s="689"/>
      <c r="N133" s="202"/>
    </row>
    <row r="134" spans="1:14" ht="15.6">
      <c r="A134" s="959">
        <f t="shared" si="5"/>
        <v>200</v>
      </c>
      <c r="B134" s="684"/>
      <c r="C134" s="694" t="s">
        <v>264</v>
      </c>
      <c r="D134" s="691"/>
      <c r="E134" s="252"/>
      <c r="F134" s="983">
        <v>313713746</v>
      </c>
      <c r="G134" s="1199"/>
      <c r="H134" s="252"/>
      <c r="I134" s="252"/>
      <c r="J134" s="252"/>
      <c r="K134" s="252"/>
      <c r="L134" s="252"/>
      <c r="M134" s="689"/>
      <c r="N134" s="202"/>
    </row>
    <row r="135" spans="1:14" ht="15.6">
      <c r="A135" s="959">
        <f t="shared" si="5"/>
        <v>201</v>
      </c>
      <c r="B135" s="684"/>
      <c r="C135" s="694" t="s">
        <v>265</v>
      </c>
      <c r="D135" s="691"/>
      <c r="E135" s="252"/>
      <c r="F135" s="984">
        <f>+F133/F134</f>
        <v>0.22595007041865484</v>
      </c>
      <c r="G135" s="1199"/>
      <c r="H135" s="252"/>
      <c r="I135" s="252"/>
      <c r="J135" s="252"/>
      <c r="K135" s="252"/>
      <c r="L135" s="252"/>
      <c r="M135" s="689"/>
      <c r="N135" s="202"/>
    </row>
    <row r="136" spans="1:14" ht="15.6">
      <c r="A136" s="959">
        <f t="shared" si="5"/>
        <v>202</v>
      </c>
      <c r="B136" s="684"/>
      <c r="C136" s="694" t="s">
        <v>309</v>
      </c>
      <c r="D136" s="691"/>
      <c r="E136" s="252" t="s">
        <v>808</v>
      </c>
      <c r="F136" s="693">
        <v>0</v>
      </c>
      <c r="G136" s="252"/>
      <c r="H136" s="252"/>
      <c r="I136" s="252"/>
      <c r="J136" s="252"/>
      <c r="K136" s="252"/>
      <c r="L136" s="252"/>
      <c r="M136" s="689"/>
      <c r="N136" s="202"/>
    </row>
    <row r="137" spans="1:14" ht="15.6">
      <c r="A137" s="959">
        <f t="shared" si="5"/>
        <v>203</v>
      </c>
      <c r="B137" s="684"/>
      <c r="C137" s="694" t="s">
        <v>310</v>
      </c>
      <c r="D137" s="691"/>
      <c r="E137" s="252"/>
      <c r="F137" s="707">
        <f>+F135*F136</f>
        <v>0</v>
      </c>
      <c r="G137" s="252"/>
      <c r="H137" s="252"/>
      <c r="I137" s="252"/>
      <c r="J137" s="252"/>
      <c r="K137" s="252"/>
      <c r="L137" s="252"/>
      <c r="M137" s="689"/>
      <c r="N137" s="202"/>
    </row>
    <row r="138" spans="1:14" ht="15.6">
      <c r="A138" s="959">
        <f t="shared" si="5"/>
        <v>204</v>
      </c>
      <c r="B138" s="684"/>
      <c r="C138" s="694" t="s">
        <v>311</v>
      </c>
      <c r="D138" s="691"/>
      <c r="E138" s="252" t="s">
        <v>808</v>
      </c>
      <c r="F138" s="706">
        <v>0</v>
      </c>
      <c r="G138" s="252"/>
      <c r="H138" s="252"/>
      <c r="I138" s="252"/>
      <c r="J138" s="252"/>
      <c r="K138" s="252"/>
      <c r="L138" s="252"/>
      <c r="M138" s="689"/>
      <c r="N138" s="202"/>
    </row>
    <row r="139" spans="1:14" ht="15.6">
      <c r="A139" s="959">
        <f t="shared" si="5"/>
        <v>205</v>
      </c>
      <c r="B139" s="684"/>
      <c r="C139" s="694" t="s">
        <v>780</v>
      </c>
      <c r="D139" s="695" t="s">
        <v>29</v>
      </c>
      <c r="E139" s="252"/>
      <c r="F139" s="707">
        <f>+F137-F138</f>
        <v>0</v>
      </c>
      <c r="G139" s="252"/>
      <c r="H139" s="252"/>
      <c r="I139" s="252"/>
      <c r="J139" s="252"/>
      <c r="K139" s="252"/>
      <c r="L139" s="252"/>
      <c r="M139" s="689"/>
      <c r="N139" s="202"/>
    </row>
    <row r="140" spans="1:14" ht="15.6">
      <c r="A140" s="959">
        <f t="shared" si="5"/>
        <v>206</v>
      </c>
      <c r="B140" s="684"/>
      <c r="C140" s="694" t="str">
        <f>"Lines "&amp;A133&amp;"-"&amp;A135&amp;" cannot change absent approval or acceptance by FERC in a separate proceeding. "</f>
        <v xml:space="preserve">Lines 199-201 cannot change absent approval or acceptance by FERC in a separate proceeding. </v>
      </c>
      <c r="D140" s="691"/>
      <c r="E140" s="252"/>
      <c r="F140" s="691"/>
      <c r="G140" s="252"/>
      <c r="H140" s="252"/>
      <c r="I140" s="252"/>
      <c r="J140" s="252"/>
      <c r="K140" s="252"/>
      <c r="L140" s="252"/>
      <c r="M140" s="689"/>
      <c r="N140" s="202"/>
    </row>
    <row r="141" spans="1:14" ht="15.6">
      <c r="A141" s="959"/>
      <c r="B141" s="252"/>
      <c r="C141" s="259"/>
      <c r="D141" s="252"/>
      <c r="E141" s="252"/>
      <c r="F141" s="252"/>
      <c r="G141" s="252"/>
      <c r="H141" s="252"/>
      <c r="I141" s="252"/>
      <c r="J141" s="252"/>
      <c r="K141" s="252"/>
      <c r="L141" s="252"/>
      <c r="M141" s="689"/>
      <c r="N141" s="202"/>
    </row>
    <row r="142" spans="1:14" ht="15.6">
      <c r="A142" s="681">
        <f>+A140+1</f>
        <v>207</v>
      </c>
      <c r="B142" s="252"/>
      <c r="C142" s="958" t="s">
        <v>490</v>
      </c>
      <c r="D142" s="678"/>
      <c r="E142" s="252"/>
      <c r="F142" s="259"/>
      <c r="G142" s="252"/>
      <c r="H142" s="252"/>
      <c r="I142" s="252"/>
      <c r="J142" s="252"/>
      <c r="K142" s="252"/>
      <c r="L142" s="252"/>
      <c r="M142" s="689"/>
      <c r="N142" s="202"/>
    </row>
    <row r="143" spans="1:14" ht="15.6">
      <c r="A143" s="681">
        <f t="shared" ref="A143:A170" si="6">+A142+1</f>
        <v>208</v>
      </c>
      <c r="B143" s="252"/>
      <c r="C143" s="694" t="s">
        <v>263</v>
      </c>
      <c r="D143" s="691"/>
      <c r="E143" s="252"/>
      <c r="F143" s="983">
        <v>2057829</v>
      </c>
      <c r="G143" s="252"/>
      <c r="H143" s="252"/>
      <c r="I143" s="252"/>
      <c r="J143" s="252"/>
      <c r="K143" s="252"/>
      <c r="L143" s="252"/>
      <c r="M143" s="689"/>
      <c r="N143" s="202"/>
    </row>
    <row r="144" spans="1:14" ht="15.6">
      <c r="A144" s="681">
        <f t="shared" si="6"/>
        <v>209</v>
      </c>
      <c r="B144" s="252"/>
      <c r="C144" s="694" t="s">
        <v>264</v>
      </c>
      <c r="D144" s="691"/>
      <c r="E144" s="252"/>
      <c r="F144" s="983">
        <f>150583000+37003000</f>
        <v>187586000</v>
      </c>
      <c r="G144" s="252"/>
      <c r="H144" s="252"/>
      <c r="I144" s="252"/>
      <c r="J144" s="252"/>
      <c r="K144" s="252"/>
      <c r="L144" s="252"/>
      <c r="M144" s="689"/>
      <c r="N144" s="202"/>
    </row>
    <row r="145" spans="1:14" ht="15.6">
      <c r="A145" s="681">
        <f t="shared" si="6"/>
        <v>210</v>
      </c>
      <c r="B145" s="252"/>
      <c r="C145" s="694" t="s">
        <v>265</v>
      </c>
      <c r="D145" s="691"/>
      <c r="E145" s="252"/>
      <c r="F145" s="984">
        <f>+F143/F144</f>
        <v>1.0970056400797502E-2</v>
      </c>
      <c r="G145" s="252"/>
      <c r="H145" s="252"/>
      <c r="I145" s="252"/>
      <c r="J145" s="252"/>
      <c r="K145" s="252"/>
      <c r="L145" s="252"/>
      <c r="M145" s="689"/>
      <c r="N145" s="202"/>
    </row>
    <row r="146" spans="1:14" ht="15.6">
      <c r="A146" s="681">
        <f t="shared" si="6"/>
        <v>211</v>
      </c>
      <c r="B146" s="252"/>
      <c r="C146" s="694" t="s">
        <v>309</v>
      </c>
      <c r="D146" s="691"/>
      <c r="E146" s="252" t="s">
        <v>808</v>
      </c>
      <c r="F146" s="693">
        <v>0</v>
      </c>
      <c r="G146" s="252"/>
      <c r="H146" s="252"/>
      <c r="I146" s="252"/>
      <c r="J146" s="252"/>
      <c r="K146" s="252"/>
      <c r="L146" s="252"/>
      <c r="M146" s="689"/>
      <c r="N146" s="202"/>
    </row>
    <row r="147" spans="1:14" ht="15.6">
      <c r="A147" s="681">
        <f t="shared" si="6"/>
        <v>212</v>
      </c>
      <c r="B147" s="252"/>
      <c r="C147" s="694" t="s">
        <v>310</v>
      </c>
      <c r="D147" s="691"/>
      <c r="E147" s="252"/>
      <c r="F147" s="707">
        <f>+F145*F146</f>
        <v>0</v>
      </c>
      <c r="G147" s="252"/>
      <c r="H147" s="252"/>
      <c r="I147" s="252"/>
      <c r="J147" s="252"/>
      <c r="K147" s="252"/>
      <c r="L147" s="252"/>
      <c r="M147" s="689"/>
      <c r="N147" s="202"/>
    </row>
    <row r="148" spans="1:14" ht="15.6">
      <c r="A148" s="681">
        <f t="shared" si="6"/>
        <v>213</v>
      </c>
      <c r="B148" s="252"/>
      <c r="C148" s="694" t="s">
        <v>311</v>
      </c>
      <c r="D148" s="691"/>
      <c r="E148" s="252" t="s">
        <v>808</v>
      </c>
      <c r="F148" s="706">
        <v>0</v>
      </c>
      <c r="G148" s="252"/>
      <c r="H148" s="252"/>
      <c r="I148" s="252"/>
      <c r="J148" s="252"/>
      <c r="K148" s="252"/>
      <c r="L148" s="252"/>
      <c r="M148" s="689"/>
      <c r="N148" s="202"/>
    </row>
    <row r="149" spans="1:14" ht="15.6">
      <c r="A149" s="681">
        <f t="shared" si="6"/>
        <v>214</v>
      </c>
      <c r="B149" s="252"/>
      <c r="C149" s="694" t="s">
        <v>780</v>
      </c>
      <c r="D149" s="695" t="s">
        <v>29</v>
      </c>
      <c r="E149" s="252"/>
      <c r="F149" s="707">
        <f>+F147-F148</f>
        <v>0</v>
      </c>
      <c r="G149" s="252"/>
      <c r="H149" s="252"/>
      <c r="I149" s="252"/>
      <c r="J149" s="252"/>
      <c r="K149" s="252"/>
      <c r="L149" s="252"/>
      <c r="M149" s="689"/>
      <c r="N149" s="202"/>
    </row>
    <row r="150" spans="1:14" ht="15.6">
      <c r="A150" s="681">
        <f t="shared" si="6"/>
        <v>215</v>
      </c>
      <c r="B150" s="252"/>
      <c r="C150" s="694" t="str">
        <f>"Lines "&amp;A143&amp;"-"&amp;A145&amp;" cannot change absent approval or acceptance by FERC in a separate proceeding. "</f>
        <v xml:space="preserve">Lines 208-210 cannot change absent approval or acceptance by FERC in a separate proceeding. </v>
      </c>
      <c r="D150" s="691"/>
      <c r="E150" s="252"/>
      <c r="F150" s="691"/>
      <c r="G150" s="252"/>
      <c r="H150" s="252"/>
      <c r="I150" s="252"/>
      <c r="J150" s="252"/>
      <c r="K150" s="252"/>
      <c r="L150" s="252"/>
      <c r="M150" s="689"/>
      <c r="N150" s="202"/>
    </row>
    <row r="151" spans="1:14" ht="15.6">
      <c r="A151" s="681"/>
      <c r="B151" s="252"/>
      <c r="C151" s="259"/>
      <c r="D151" s="252"/>
      <c r="E151" s="252"/>
      <c r="F151" s="252"/>
      <c r="G151" s="252"/>
      <c r="H151" s="252"/>
      <c r="I151" s="252"/>
      <c r="J151" s="252"/>
      <c r="K151" s="252"/>
      <c r="L151" s="252"/>
      <c r="M151" s="689"/>
      <c r="N151" s="202"/>
    </row>
    <row r="152" spans="1:14" ht="15.6">
      <c r="A152" s="681">
        <f>+A150+1</f>
        <v>216</v>
      </c>
      <c r="B152" s="252"/>
      <c r="C152" s="958" t="s">
        <v>491</v>
      </c>
      <c r="D152" s="678"/>
      <c r="E152" s="252"/>
      <c r="F152" s="259"/>
      <c r="G152" s="252"/>
      <c r="H152" s="252"/>
      <c r="I152" s="252"/>
      <c r="J152" s="252"/>
      <c r="K152" s="252"/>
      <c r="L152" s="252"/>
      <c r="M152" s="689"/>
      <c r="N152" s="202"/>
    </row>
    <row r="153" spans="1:14" ht="15.6">
      <c r="A153" s="681">
        <f t="shared" si="6"/>
        <v>217</v>
      </c>
      <c r="B153" s="252"/>
      <c r="C153" s="694" t="s">
        <v>263</v>
      </c>
      <c r="D153" s="691"/>
      <c r="E153" s="252"/>
      <c r="F153" s="983">
        <v>3561081</v>
      </c>
      <c r="G153" s="252"/>
      <c r="H153" s="252"/>
      <c r="I153" s="252"/>
      <c r="J153" s="252"/>
      <c r="K153" s="252"/>
      <c r="L153" s="252"/>
      <c r="M153" s="689"/>
      <c r="N153" s="202"/>
    </row>
    <row r="154" spans="1:14" ht="15.6">
      <c r="A154" s="681">
        <f t="shared" si="6"/>
        <v>218</v>
      </c>
      <c r="B154" s="252"/>
      <c r="C154" s="694" t="s">
        <v>264</v>
      </c>
      <c r="D154" s="691"/>
      <c r="E154" s="252"/>
      <c r="F154" s="983">
        <f>52293000+27332000</f>
        <v>79625000</v>
      </c>
      <c r="G154" s="252"/>
      <c r="H154" s="252"/>
      <c r="I154" s="252"/>
      <c r="J154" s="252"/>
      <c r="K154" s="252"/>
      <c r="L154" s="252"/>
      <c r="M154" s="689"/>
      <c r="N154" s="202"/>
    </row>
    <row r="155" spans="1:14" ht="15.6">
      <c r="A155" s="681">
        <f t="shared" si="6"/>
        <v>219</v>
      </c>
      <c r="B155" s="252"/>
      <c r="C155" s="694" t="s">
        <v>265</v>
      </c>
      <c r="D155" s="691"/>
      <c r="E155" s="252"/>
      <c r="F155" s="984">
        <f>+F153/F154</f>
        <v>4.4723152276295135E-2</v>
      </c>
      <c r="G155" s="252"/>
      <c r="H155" s="252"/>
      <c r="I155" s="252"/>
      <c r="J155" s="252"/>
      <c r="K155" s="252"/>
      <c r="L155" s="252"/>
      <c r="M155" s="689"/>
      <c r="N155" s="202"/>
    </row>
    <row r="156" spans="1:14" ht="15.6">
      <c r="A156" s="681">
        <f t="shared" si="6"/>
        <v>220</v>
      </c>
      <c r="B156" s="252"/>
      <c r="C156" s="694" t="s">
        <v>309</v>
      </c>
      <c r="D156" s="691"/>
      <c r="E156" s="252" t="s">
        <v>808</v>
      </c>
      <c r="F156" s="693">
        <v>0</v>
      </c>
      <c r="G156" s="252"/>
      <c r="H156" s="252"/>
      <c r="I156" s="252"/>
      <c r="J156" s="252"/>
      <c r="K156" s="252"/>
      <c r="L156" s="252"/>
      <c r="M156" s="689"/>
      <c r="N156" s="202"/>
    </row>
    <row r="157" spans="1:14" ht="15.6">
      <c r="A157" s="681">
        <f t="shared" si="6"/>
        <v>221</v>
      </c>
      <c r="B157" s="252"/>
      <c r="C157" s="694" t="s">
        <v>310</v>
      </c>
      <c r="D157" s="691"/>
      <c r="E157" s="252"/>
      <c r="F157" s="707">
        <f>+F155*F156</f>
        <v>0</v>
      </c>
      <c r="G157" s="252"/>
      <c r="H157" s="252"/>
      <c r="I157" s="252"/>
      <c r="J157" s="252"/>
      <c r="K157" s="252"/>
      <c r="L157" s="252"/>
      <c r="M157" s="689"/>
      <c r="N157" s="202"/>
    </row>
    <row r="158" spans="1:14" ht="15.6">
      <c r="A158" s="681">
        <f t="shared" si="6"/>
        <v>222</v>
      </c>
      <c r="B158" s="252"/>
      <c r="C158" s="694" t="s">
        <v>311</v>
      </c>
      <c r="D158" s="691"/>
      <c r="E158" s="252" t="s">
        <v>808</v>
      </c>
      <c r="F158" s="706">
        <v>0</v>
      </c>
      <c r="G158" s="252"/>
      <c r="H158" s="252"/>
      <c r="I158" s="252"/>
      <c r="J158" s="252"/>
      <c r="K158" s="252"/>
      <c r="L158" s="252"/>
      <c r="M158" s="689"/>
      <c r="N158" s="202"/>
    </row>
    <row r="159" spans="1:14" ht="15.6">
      <c r="A159" s="681">
        <f t="shared" si="6"/>
        <v>223</v>
      </c>
      <c r="B159" s="252"/>
      <c r="C159" s="694" t="s">
        <v>780</v>
      </c>
      <c r="D159" s="695" t="s">
        <v>29</v>
      </c>
      <c r="E159" s="252"/>
      <c r="F159" s="707">
        <f>+F157-F158</f>
        <v>0</v>
      </c>
      <c r="G159" s="252"/>
      <c r="H159" s="252"/>
      <c r="I159" s="252"/>
      <c r="J159" s="252"/>
      <c r="K159" s="252"/>
      <c r="L159" s="252"/>
      <c r="M159" s="689"/>
      <c r="N159" s="202"/>
    </row>
    <row r="160" spans="1:14" ht="15.6">
      <c r="A160" s="681">
        <f t="shared" si="6"/>
        <v>224</v>
      </c>
      <c r="B160" s="252"/>
      <c r="C160" s="694" t="str">
        <f>"Lines "&amp;A153&amp;"-"&amp;A155&amp;" cannot change absent approval or acceptance by FERC in a separate proceeding. "</f>
        <v xml:space="preserve">Lines 217-219 cannot change absent approval or acceptance by FERC in a separate proceeding. </v>
      </c>
      <c r="D160" s="691"/>
      <c r="E160" s="252"/>
      <c r="F160" s="691"/>
      <c r="G160" s="252"/>
      <c r="H160" s="252"/>
      <c r="I160" s="252"/>
      <c r="J160" s="252"/>
      <c r="K160" s="252"/>
      <c r="L160" s="252"/>
      <c r="M160" s="689"/>
      <c r="N160" s="202"/>
    </row>
    <row r="161" spans="1:14" ht="15.6">
      <c r="A161" s="681"/>
      <c r="B161" s="252"/>
      <c r="C161" s="259"/>
      <c r="D161" s="252"/>
      <c r="E161" s="252"/>
      <c r="F161" s="252"/>
      <c r="G161" s="252"/>
      <c r="H161" s="252"/>
      <c r="I161" s="252"/>
      <c r="J161" s="252"/>
      <c r="K161" s="252"/>
      <c r="L161" s="252"/>
      <c r="M161" s="689"/>
      <c r="N161" s="202"/>
    </row>
    <row r="162" spans="1:14" ht="15.6">
      <c r="A162" s="681">
        <f>+A160+1</f>
        <v>225</v>
      </c>
      <c r="B162" s="252"/>
      <c r="C162" s="958" t="s">
        <v>492</v>
      </c>
      <c r="D162" s="678"/>
      <c r="E162" s="252"/>
      <c r="F162" s="259"/>
      <c r="G162" s="252"/>
      <c r="H162" s="252"/>
      <c r="I162" s="252"/>
      <c r="J162" s="252"/>
      <c r="K162" s="252"/>
      <c r="L162" s="252"/>
      <c r="M162" s="689"/>
      <c r="N162" s="202"/>
    </row>
    <row r="163" spans="1:14" ht="15.6">
      <c r="A163" s="681">
        <f t="shared" si="6"/>
        <v>226</v>
      </c>
      <c r="B163" s="252"/>
      <c r="C163" s="694" t="s">
        <v>263</v>
      </c>
      <c r="D163" s="691"/>
      <c r="E163" s="252"/>
      <c r="F163" s="983">
        <v>-3863900</v>
      </c>
      <c r="G163" s="252"/>
      <c r="H163" s="252"/>
      <c r="I163" s="252"/>
      <c r="J163" s="252"/>
      <c r="K163" s="252"/>
      <c r="L163" s="252"/>
      <c r="M163" s="689"/>
      <c r="N163" s="202"/>
    </row>
    <row r="164" spans="1:14" ht="15.6">
      <c r="A164" s="681">
        <f t="shared" si="6"/>
        <v>227</v>
      </c>
      <c r="B164" s="252"/>
      <c r="C164" s="694" t="s">
        <v>264</v>
      </c>
      <c r="D164" s="691"/>
      <c r="E164" s="252"/>
      <c r="F164" s="856">
        <v>108206368</v>
      </c>
      <c r="G164" s="252"/>
      <c r="H164" s="252"/>
      <c r="I164" s="252"/>
      <c r="J164" s="252"/>
      <c r="K164" s="252"/>
      <c r="L164" s="252"/>
      <c r="M164" s="689"/>
      <c r="N164" s="202"/>
    </row>
    <row r="165" spans="1:14" ht="15.6">
      <c r="A165" s="681">
        <f t="shared" si="6"/>
        <v>228</v>
      </c>
      <c r="B165" s="252"/>
      <c r="C165" s="694" t="s">
        <v>265</v>
      </c>
      <c r="D165" s="691"/>
      <c r="E165" s="252"/>
      <c r="F165" s="984">
        <f>+F163/F164</f>
        <v>-3.5708619293090035E-2</v>
      </c>
      <c r="G165" s="252"/>
      <c r="H165" s="252"/>
      <c r="I165" s="252"/>
      <c r="J165" s="252"/>
      <c r="K165" s="252"/>
      <c r="L165" s="252"/>
      <c r="M165" s="689"/>
      <c r="N165" s="202"/>
    </row>
    <row r="166" spans="1:14" ht="15.6">
      <c r="A166" s="681">
        <f t="shared" si="6"/>
        <v>229</v>
      </c>
      <c r="B166" s="252"/>
      <c r="C166" s="694" t="s">
        <v>309</v>
      </c>
      <c r="D166" s="691"/>
      <c r="E166" s="252" t="s">
        <v>808</v>
      </c>
      <c r="F166" s="693">
        <v>0</v>
      </c>
      <c r="G166" s="252"/>
      <c r="H166" s="252"/>
      <c r="I166" s="252"/>
      <c r="J166" s="252"/>
      <c r="K166" s="252"/>
      <c r="L166" s="252"/>
      <c r="M166" s="689"/>
      <c r="N166" s="202"/>
    </row>
    <row r="167" spans="1:14" ht="15.6">
      <c r="A167" s="681">
        <f t="shared" si="6"/>
        <v>230</v>
      </c>
      <c r="B167" s="252"/>
      <c r="C167" s="694" t="s">
        <v>310</v>
      </c>
      <c r="D167" s="691"/>
      <c r="E167" s="252"/>
      <c r="F167" s="707">
        <f>+F165*F166</f>
        <v>0</v>
      </c>
      <c r="G167" s="252"/>
      <c r="H167" s="252"/>
      <c r="I167" s="252"/>
      <c r="J167" s="252"/>
      <c r="K167" s="252"/>
      <c r="L167" s="252"/>
      <c r="M167" s="689"/>
      <c r="N167" s="202"/>
    </row>
    <row r="168" spans="1:14" ht="15.6">
      <c r="A168" s="681">
        <f t="shared" si="6"/>
        <v>231</v>
      </c>
      <c r="B168" s="252"/>
      <c r="C168" s="694" t="s">
        <v>311</v>
      </c>
      <c r="D168" s="691"/>
      <c r="E168" s="252" t="s">
        <v>808</v>
      </c>
      <c r="F168" s="706">
        <v>0</v>
      </c>
      <c r="G168" s="252"/>
      <c r="H168" s="252"/>
      <c r="I168" s="252"/>
      <c r="J168" s="252"/>
      <c r="K168" s="252"/>
      <c r="L168" s="252"/>
      <c r="M168" s="689"/>
      <c r="N168" s="202"/>
    </row>
    <row r="169" spans="1:14" ht="15.6">
      <c r="A169" s="681">
        <f t="shared" si="6"/>
        <v>232</v>
      </c>
      <c r="B169" s="252"/>
      <c r="C169" s="694" t="s">
        <v>780</v>
      </c>
      <c r="D169" s="695" t="s">
        <v>29</v>
      </c>
      <c r="E169" s="252"/>
      <c r="F169" s="707">
        <f>+F167-F168</f>
        <v>0</v>
      </c>
      <c r="G169" s="252"/>
      <c r="H169" s="252"/>
      <c r="I169" s="252"/>
      <c r="J169" s="252"/>
      <c r="K169" s="252"/>
      <c r="L169" s="252"/>
      <c r="M169" s="689"/>
      <c r="N169" s="202"/>
    </row>
    <row r="170" spans="1:14" ht="15.6">
      <c r="A170" s="681">
        <f t="shared" si="6"/>
        <v>233</v>
      </c>
      <c r="B170" s="252"/>
      <c r="C170" s="694" t="str">
        <f>"Lines "&amp;A163&amp;"-"&amp;A165&amp;" cannot change absent approval or acceptance by FERC in a separate proceeding. "</f>
        <v xml:space="preserve">Lines 226-228 cannot change absent approval or acceptance by FERC in a separate proceeding. </v>
      </c>
      <c r="D170" s="691"/>
      <c r="E170" s="252"/>
      <c r="F170" s="691"/>
      <c r="G170" s="252"/>
      <c r="H170" s="252"/>
      <c r="I170" s="252"/>
      <c r="J170" s="252"/>
      <c r="K170" s="252"/>
      <c r="L170" s="252"/>
      <c r="M170" s="689"/>
      <c r="N170" s="202"/>
    </row>
    <row r="171" spans="1:14" ht="15.6">
      <c r="A171" s="681"/>
      <c r="B171" s="252"/>
      <c r="C171" s="259"/>
      <c r="D171" s="252"/>
      <c r="E171" s="252"/>
      <c r="F171" s="252"/>
      <c r="G171" s="252"/>
      <c r="H171" s="252"/>
      <c r="I171" s="252"/>
      <c r="J171" s="252"/>
      <c r="K171" s="252"/>
      <c r="L171" s="252"/>
      <c r="M171" s="689"/>
      <c r="N171" s="202"/>
    </row>
    <row r="172" spans="1:14" ht="15.6">
      <c r="A172" s="681">
        <f>+A170+1</f>
        <v>234</v>
      </c>
      <c r="B172" s="252"/>
      <c r="C172" s="958" t="str">
        <f>+'Appendix A'!E9</f>
        <v>New York Transco LLC</v>
      </c>
      <c r="D172" s="678"/>
      <c r="E172" s="252"/>
      <c r="F172" s="259"/>
      <c r="G172" s="252"/>
      <c r="H172" s="252"/>
      <c r="I172" s="252"/>
      <c r="J172" s="252"/>
      <c r="K172" s="252"/>
      <c r="L172" s="252"/>
      <c r="M172" s="689"/>
      <c r="N172" s="202"/>
    </row>
    <row r="173" spans="1:14" ht="15.6">
      <c r="A173" s="681">
        <f t="shared" ref="A173:A180" si="7">+A172+1</f>
        <v>235</v>
      </c>
      <c r="B173" s="252"/>
      <c r="C173" s="691" t="s">
        <v>263</v>
      </c>
      <c r="D173" s="691"/>
      <c r="E173" s="252"/>
      <c r="F173" s="983">
        <v>0</v>
      </c>
      <c r="G173" s="252"/>
      <c r="H173" s="252"/>
      <c r="I173" s="252"/>
      <c r="J173" s="252"/>
      <c r="K173" s="252"/>
      <c r="L173" s="252"/>
      <c r="M173" s="689"/>
      <c r="N173" s="202"/>
    </row>
    <row r="174" spans="1:14" ht="15.6">
      <c r="A174" s="681">
        <f t="shared" si="7"/>
        <v>236</v>
      </c>
      <c r="B174" s="252"/>
      <c r="C174" s="691" t="s">
        <v>264</v>
      </c>
      <c r="D174" s="691"/>
      <c r="E174" s="252"/>
      <c r="F174" s="983">
        <v>0</v>
      </c>
      <c r="G174" s="252"/>
      <c r="H174" s="252"/>
      <c r="I174" s="252"/>
      <c r="J174" s="252"/>
      <c r="K174" s="252"/>
      <c r="L174" s="252"/>
      <c r="M174" s="689"/>
      <c r="N174" s="202"/>
    </row>
    <row r="175" spans="1:14" ht="15.6">
      <c r="A175" s="681">
        <f t="shared" si="7"/>
        <v>237</v>
      </c>
      <c r="B175" s="252"/>
      <c r="C175" s="691" t="s">
        <v>265</v>
      </c>
      <c r="D175" s="691"/>
      <c r="E175" s="252"/>
      <c r="F175" s="692">
        <f>IF(F174&lt;&gt;0,251/F174,0)</f>
        <v>0</v>
      </c>
      <c r="G175" s="252"/>
      <c r="H175" s="252"/>
      <c r="I175" s="252"/>
      <c r="J175" s="252"/>
      <c r="K175" s="252"/>
      <c r="L175" s="252"/>
      <c r="M175" s="689"/>
      <c r="N175" s="202"/>
    </row>
    <row r="176" spans="1:14" ht="15.6">
      <c r="A176" s="681">
        <f t="shared" si="7"/>
        <v>238</v>
      </c>
      <c r="B176" s="252"/>
      <c r="C176" s="691" t="s">
        <v>309</v>
      </c>
      <c r="D176" s="691"/>
      <c r="E176" s="252" t="s">
        <v>808</v>
      </c>
      <c r="F176" s="693">
        <v>0</v>
      </c>
      <c r="G176" s="252"/>
      <c r="H176" s="252"/>
      <c r="I176" s="252"/>
      <c r="J176" s="252"/>
      <c r="K176" s="252"/>
      <c r="L176" s="252"/>
      <c r="M176" s="689"/>
      <c r="N176" s="202"/>
    </row>
    <row r="177" spans="1:14" ht="15.6">
      <c r="A177" s="681">
        <f t="shared" si="7"/>
        <v>239</v>
      </c>
      <c r="B177" s="252"/>
      <c r="C177" s="691" t="s">
        <v>310</v>
      </c>
      <c r="D177" s="691"/>
      <c r="E177" s="252"/>
      <c r="F177" s="707">
        <f>+F175*F176</f>
        <v>0</v>
      </c>
      <c r="G177" s="252"/>
      <c r="H177" s="252"/>
      <c r="I177" s="252"/>
      <c r="J177" s="252"/>
      <c r="K177" s="252"/>
      <c r="L177" s="252"/>
      <c r="M177" s="689"/>
      <c r="N177" s="202"/>
    </row>
    <row r="178" spans="1:14" ht="15.6">
      <c r="A178" s="681">
        <f t="shared" si="7"/>
        <v>240</v>
      </c>
      <c r="B178" s="252"/>
      <c r="C178" s="691" t="s">
        <v>311</v>
      </c>
      <c r="D178" s="691"/>
      <c r="E178" s="252" t="s">
        <v>808</v>
      </c>
      <c r="F178" s="706">
        <v>0</v>
      </c>
      <c r="G178" s="252"/>
      <c r="H178" s="252"/>
      <c r="I178" s="252"/>
      <c r="J178" s="252"/>
      <c r="K178" s="252"/>
      <c r="L178" s="252"/>
      <c r="M178" s="689"/>
      <c r="N178" s="202"/>
    </row>
    <row r="179" spans="1:14" ht="15.6">
      <c r="A179" s="681">
        <f t="shared" si="7"/>
        <v>241</v>
      </c>
      <c r="B179" s="252"/>
      <c r="C179" s="694" t="s">
        <v>780</v>
      </c>
      <c r="D179" s="695" t="s">
        <v>29</v>
      </c>
      <c r="E179" s="252"/>
      <c r="F179" s="707">
        <f>+F177-F178</f>
        <v>0</v>
      </c>
      <c r="G179" s="252"/>
      <c r="H179" s="252"/>
      <c r="I179" s="252"/>
      <c r="J179" s="252"/>
      <c r="K179" s="252"/>
      <c r="L179" s="252"/>
      <c r="M179" s="689"/>
      <c r="N179" s="202"/>
    </row>
    <row r="180" spans="1:14" ht="15.6">
      <c r="A180" s="681">
        <f t="shared" si="7"/>
        <v>242</v>
      </c>
      <c r="B180" s="252"/>
      <c r="C180" s="691" t="str">
        <f>"Lines "&amp;A173&amp;"-"&amp;A175&amp;" cannot change absent approval or acceptance by FERC in a separate proceeding. "</f>
        <v xml:space="preserve">Lines 235-237 cannot change absent approval or acceptance by FERC in a separate proceeding. </v>
      </c>
      <c r="D180" s="691"/>
      <c r="E180" s="252"/>
      <c r="F180" s="691"/>
      <c r="G180" s="252"/>
      <c r="H180" s="252"/>
      <c r="I180" s="252"/>
      <c r="J180" s="252"/>
      <c r="K180" s="252"/>
      <c r="L180" s="252"/>
      <c r="M180" s="689"/>
      <c r="N180" s="202"/>
    </row>
    <row r="181" spans="1:14" ht="15.6">
      <c r="A181" s="681"/>
      <c r="B181" s="252"/>
      <c r="C181" s="252"/>
      <c r="D181" s="252"/>
      <c r="E181" s="252"/>
      <c r="F181" s="252"/>
      <c r="G181" s="252"/>
      <c r="H181" s="252"/>
      <c r="I181" s="252"/>
      <c r="J181" s="252"/>
      <c r="K181" s="252"/>
      <c r="L181" s="252"/>
      <c r="M181" s="689"/>
      <c r="N181" s="202"/>
    </row>
    <row r="182" spans="1:14" ht="15.6">
      <c r="A182" s="681"/>
      <c r="B182" s="252"/>
      <c r="C182" s="252"/>
      <c r="D182" s="252"/>
      <c r="E182" s="252"/>
      <c r="F182" s="252"/>
      <c r="G182" s="252"/>
      <c r="H182" s="252"/>
      <c r="I182" s="252"/>
      <c r="J182" s="252"/>
      <c r="K182" s="252"/>
      <c r="L182" s="252"/>
      <c r="M182" s="689"/>
      <c r="N182" s="202"/>
    </row>
    <row r="183" spans="1:14" ht="16.2" thickBot="1">
      <c r="A183" s="978">
        <f>+A180+1</f>
        <v>243</v>
      </c>
      <c r="B183" s="270"/>
      <c r="C183" s="270" t="str">
        <f>+'Appendix A'!C148</f>
        <v xml:space="preserve">     PBOP expense adjustment</v>
      </c>
      <c r="D183" s="270" t="str">
        <f>"(sum lines "&amp;A129&amp;", "&amp;A149&amp;", "&amp;A139&amp;", "&amp;A159&amp;", "&amp;A169&amp;", &amp; "&amp;A179&amp;")"</f>
        <v>(sum lines 197, 214, 205, 223, 232, &amp; 241)</v>
      </c>
      <c r="E183" s="270"/>
      <c r="F183" s="708">
        <f>+F129+F139+F149+F159+F169+F179</f>
        <v>0</v>
      </c>
      <c r="G183" s="270"/>
      <c r="H183" s="270"/>
      <c r="I183" s="270"/>
      <c r="J183" s="270"/>
      <c r="K183" s="270"/>
      <c r="L183" s="270"/>
      <c r="M183" s="696"/>
      <c r="N183" s="202"/>
    </row>
    <row r="184" spans="1:14" ht="15.6">
      <c r="A184" s="679"/>
      <c r="B184" s="202"/>
      <c r="C184" s="202"/>
      <c r="D184" s="202"/>
      <c r="E184" s="202"/>
      <c r="F184" s="202"/>
      <c r="G184" s="202"/>
      <c r="H184" s="202"/>
      <c r="I184" s="202"/>
      <c r="J184" s="202"/>
      <c r="K184" s="202"/>
      <c r="L184" s="202"/>
      <c r="M184" s="202"/>
      <c r="N184" s="202"/>
    </row>
    <row r="185" spans="1:14" ht="15.6">
      <c r="A185" s="202"/>
      <c r="B185" s="202"/>
      <c r="C185" s="202"/>
      <c r="D185" s="202"/>
      <c r="E185" s="202"/>
      <c r="F185" s="202"/>
      <c r="G185" s="202"/>
      <c r="H185" s="202"/>
      <c r="I185" s="202"/>
      <c r="J185" s="202"/>
      <c r="K185" s="202"/>
      <c r="L185" s="202"/>
      <c r="M185" s="202"/>
      <c r="N185" s="202"/>
    </row>
    <row r="186" spans="1:14" ht="15.6">
      <c r="A186" s="202"/>
      <c r="B186" s="202"/>
      <c r="C186" s="202"/>
      <c r="D186" s="202"/>
      <c r="E186" s="202"/>
      <c r="F186" s="202"/>
      <c r="G186" s="202"/>
      <c r="H186" s="202"/>
      <c r="I186" s="202"/>
      <c r="J186" s="202"/>
      <c r="K186" s="202"/>
      <c r="L186" s="202"/>
      <c r="M186" s="202"/>
      <c r="N186" s="202"/>
    </row>
    <row r="187" spans="1:14" ht="15.6">
      <c r="A187" s="202"/>
      <c r="B187" s="202"/>
      <c r="C187" s="202"/>
      <c r="D187" s="202"/>
      <c r="E187" s="202"/>
      <c r="F187" s="202"/>
      <c r="G187" s="202"/>
      <c r="H187" s="202"/>
      <c r="I187" s="202"/>
      <c r="J187" s="202"/>
      <c r="K187" s="202"/>
      <c r="L187" s="202"/>
      <c r="M187" s="202"/>
      <c r="N187" s="202"/>
    </row>
    <row r="188" spans="1:14" ht="15.6">
      <c r="A188" s="202"/>
      <c r="B188" s="202"/>
      <c r="C188" s="202"/>
      <c r="D188" s="202"/>
      <c r="E188" s="202"/>
      <c r="F188" s="202"/>
      <c r="G188" s="202"/>
      <c r="H188" s="202"/>
      <c r="I188" s="202"/>
      <c r="J188" s="202"/>
      <c r="K188" s="202"/>
      <c r="L188" s="202"/>
      <c r="M188" s="202"/>
      <c r="N188" s="202"/>
    </row>
    <row r="189" spans="1:14" ht="15.6">
      <c r="A189" s="202"/>
      <c r="B189" s="202"/>
      <c r="C189" s="202"/>
      <c r="D189" s="202"/>
      <c r="E189" s="202"/>
      <c r="F189" s="202"/>
      <c r="G189" s="202"/>
      <c r="H189" s="202"/>
      <c r="I189" s="202"/>
      <c r="J189" s="202"/>
      <c r="K189" s="202"/>
      <c r="L189" s="202"/>
      <c r="M189" s="202"/>
      <c r="N189" s="202"/>
    </row>
    <row r="190" spans="1:14" ht="15.6">
      <c r="A190" s="202"/>
      <c r="B190" s="202"/>
      <c r="C190" s="202"/>
      <c r="D190" s="202"/>
      <c r="E190" s="202"/>
      <c r="F190" s="202"/>
      <c r="G190" s="202"/>
      <c r="H190" s="202"/>
      <c r="I190" s="202"/>
      <c r="J190" s="202"/>
      <c r="K190" s="202"/>
      <c r="L190" s="202"/>
      <c r="M190" s="202"/>
      <c r="N190" s="202"/>
    </row>
    <row r="191" spans="1:14" ht="15.6">
      <c r="A191" s="202"/>
      <c r="B191" s="202"/>
      <c r="C191" s="202"/>
      <c r="D191" s="202"/>
      <c r="E191" s="202"/>
      <c r="F191" s="202"/>
      <c r="G191" s="202"/>
      <c r="H191" s="202"/>
      <c r="I191" s="202"/>
      <c r="J191" s="202"/>
      <c r="K191" s="202"/>
      <c r="L191" s="202"/>
      <c r="M191" s="202"/>
      <c r="N191" s="202"/>
    </row>
    <row r="192" spans="1:14" ht="15.6">
      <c r="A192" s="202"/>
      <c r="B192" s="202"/>
      <c r="C192" s="202"/>
      <c r="D192" s="202"/>
      <c r="E192" s="202"/>
      <c r="F192" s="202"/>
      <c r="G192" s="202"/>
      <c r="H192" s="202"/>
      <c r="I192" s="202"/>
      <c r="J192" s="202"/>
      <c r="K192" s="202"/>
      <c r="L192" s="202"/>
      <c r="M192" s="202"/>
      <c r="N192" s="202"/>
    </row>
    <row r="193" spans="1:14" ht="15.6">
      <c r="A193" s="202"/>
      <c r="B193" s="202"/>
      <c r="C193" s="202"/>
      <c r="D193" s="202"/>
      <c r="E193" s="202"/>
      <c r="F193" s="202"/>
      <c r="G193" s="202"/>
      <c r="H193" s="202"/>
      <c r="I193" s="202"/>
      <c r="J193" s="202"/>
      <c r="K193" s="202"/>
      <c r="L193" s="202"/>
      <c r="M193" s="202"/>
      <c r="N193" s="202"/>
    </row>
    <row r="194" spans="1:14" ht="15.6">
      <c r="A194" s="202"/>
      <c r="B194" s="202"/>
      <c r="C194" s="202"/>
      <c r="D194" s="202"/>
      <c r="E194" s="202"/>
      <c r="F194" s="202"/>
      <c r="G194" s="202"/>
      <c r="H194" s="202"/>
      <c r="I194" s="202"/>
      <c r="J194" s="202"/>
      <c r="K194" s="202"/>
      <c r="L194" s="202"/>
      <c r="M194" s="202"/>
      <c r="N194" s="202"/>
    </row>
    <row r="195" spans="1:14" ht="15.6">
      <c r="A195" s="202"/>
      <c r="B195" s="202"/>
      <c r="C195" s="202"/>
      <c r="D195" s="202"/>
      <c r="E195" s="202"/>
      <c r="F195" s="202"/>
      <c r="G195" s="202"/>
      <c r="H195" s="202"/>
      <c r="I195" s="202"/>
      <c r="J195" s="202"/>
      <c r="K195" s="202"/>
      <c r="L195" s="202"/>
      <c r="M195" s="202"/>
      <c r="N195" s="202"/>
    </row>
    <row r="196" spans="1:14" ht="15.6">
      <c r="A196" s="202"/>
      <c r="B196" s="202"/>
      <c r="C196" s="202"/>
      <c r="D196" s="202"/>
      <c r="E196" s="202"/>
      <c r="F196" s="202"/>
      <c r="G196" s="202"/>
      <c r="H196" s="202"/>
      <c r="I196" s="202"/>
      <c r="J196" s="202"/>
      <c r="K196" s="202"/>
      <c r="L196" s="202"/>
      <c r="M196" s="202"/>
      <c r="N196" s="202"/>
    </row>
    <row r="197" spans="1:14" ht="15.6">
      <c r="A197" s="202"/>
      <c r="B197" s="202"/>
      <c r="C197" s="202"/>
      <c r="D197" s="202"/>
      <c r="E197" s="202"/>
      <c r="F197" s="202"/>
      <c r="G197" s="202"/>
      <c r="H197" s="202"/>
      <c r="I197" s="202"/>
      <c r="J197" s="202"/>
      <c r="K197" s="202"/>
      <c r="L197" s="202"/>
      <c r="M197" s="202"/>
      <c r="N197" s="202"/>
    </row>
    <row r="198" spans="1:14" ht="15.6">
      <c r="A198" s="202"/>
      <c r="B198" s="202"/>
      <c r="C198" s="202"/>
      <c r="D198" s="202"/>
      <c r="E198" s="202"/>
      <c r="F198" s="202"/>
      <c r="G198" s="202"/>
      <c r="H198" s="202"/>
      <c r="I198" s="202"/>
      <c r="J198" s="202"/>
      <c r="K198" s="202"/>
      <c r="L198" s="202"/>
      <c r="M198" s="202"/>
      <c r="N198" s="202"/>
    </row>
    <row r="199" spans="1:14" ht="15.6">
      <c r="A199" s="202"/>
      <c r="B199" s="202"/>
      <c r="C199" s="202"/>
      <c r="D199" s="202"/>
      <c r="E199" s="202"/>
      <c r="F199" s="202"/>
      <c r="G199" s="202"/>
      <c r="H199" s="202"/>
      <c r="I199" s="202"/>
      <c r="J199" s="202"/>
      <c r="K199" s="202"/>
      <c r="L199" s="202"/>
      <c r="M199" s="202"/>
      <c r="N199" s="202"/>
    </row>
    <row r="200" spans="1:14" ht="15.6">
      <c r="A200" s="202"/>
      <c r="B200" s="202"/>
      <c r="C200" s="202"/>
      <c r="D200" s="202"/>
      <c r="E200" s="202"/>
      <c r="F200" s="202"/>
      <c r="G200" s="202"/>
      <c r="H200" s="202"/>
      <c r="I200" s="202"/>
      <c r="J200" s="202"/>
      <c r="K200" s="202"/>
      <c r="L200" s="202"/>
      <c r="M200" s="202"/>
      <c r="N200" s="202"/>
    </row>
    <row r="201" spans="1:14" ht="15.6">
      <c r="A201" s="202"/>
      <c r="B201" s="202"/>
      <c r="C201" s="202"/>
      <c r="D201" s="202"/>
      <c r="E201" s="202"/>
      <c r="F201" s="202"/>
      <c r="G201" s="202"/>
      <c r="H201" s="202"/>
      <c r="I201" s="202"/>
      <c r="J201" s="202"/>
      <c r="K201" s="202"/>
      <c r="L201" s="202"/>
      <c r="M201" s="202"/>
      <c r="N201" s="202"/>
    </row>
    <row r="202" spans="1:14" ht="15.6">
      <c r="A202" s="202"/>
      <c r="B202" s="202"/>
      <c r="C202" s="202"/>
      <c r="D202" s="202"/>
      <c r="E202" s="202"/>
      <c r="F202" s="202"/>
      <c r="G202" s="202"/>
      <c r="H202" s="202"/>
      <c r="I202" s="202"/>
      <c r="J202" s="202"/>
      <c r="K202" s="202"/>
      <c r="L202" s="202"/>
      <c r="M202" s="202"/>
      <c r="N202" s="202"/>
    </row>
    <row r="203" spans="1:14" ht="15.6">
      <c r="A203" s="202"/>
      <c r="B203" s="202"/>
      <c r="C203" s="202"/>
      <c r="D203" s="202"/>
      <c r="E203" s="202"/>
      <c r="F203" s="202"/>
      <c r="G203" s="202"/>
      <c r="H203" s="202"/>
      <c r="I203" s="202"/>
      <c r="J203" s="202"/>
      <c r="K203" s="202"/>
      <c r="L203" s="202"/>
      <c r="M203" s="202"/>
      <c r="N203" s="202"/>
    </row>
    <row r="204" spans="1:14" ht="15.6">
      <c r="A204" s="202"/>
      <c r="B204" s="202"/>
      <c r="C204" s="202"/>
      <c r="D204" s="202"/>
      <c r="E204" s="202"/>
      <c r="F204" s="202"/>
      <c r="G204" s="202"/>
      <c r="H204" s="202"/>
      <c r="I204" s="202"/>
      <c r="J204" s="202"/>
      <c r="K204" s="202"/>
      <c r="L204" s="202"/>
      <c r="M204" s="202"/>
      <c r="N204" s="202"/>
    </row>
    <row r="205" spans="1:14" ht="15.6">
      <c r="A205" s="202"/>
      <c r="B205" s="202"/>
      <c r="C205" s="202"/>
      <c r="D205" s="202"/>
      <c r="E205" s="202"/>
      <c r="F205" s="202"/>
      <c r="G205" s="202"/>
      <c r="H205" s="202"/>
      <c r="I205" s="202"/>
      <c r="J205" s="202"/>
      <c r="K205" s="202"/>
      <c r="L205" s="202"/>
      <c r="M205" s="202"/>
      <c r="N205" s="202"/>
    </row>
    <row r="206" spans="1:14" ht="15.6">
      <c r="A206" s="202"/>
      <c r="B206" s="202"/>
      <c r="C206" s="202"/>
      <c r="D206" s="202"/>
      <c r="E206" s="202"/>
      <c r="F206" s="202"/>
      <c r="G206" s="202"/>
      <c r="H206" s="202"/>
      <c r="I206" s="202"/>
      <c r="J206" s="202"/>
      <c r="K206" s="202"/>
      <c r="L206" s="202"/>
      <c r="M206" s="202"/>
      <c r="N206" s="202"/>
    </row>
    <row r="207" spans="1:14" ht="15.6">
      <c r="A207" s="202"/>
      <c r="B207" s="202"/>
      <c r="C207" s="202"/>
      <c r="D207" s="202"/>
      <c r="E207" s="202"/>
      <c r="F207" s="202"/>
      <c r="G207" s="202"/>
      <c r="H207" s="202"/>
      <c r="I207" s="202"/>
      <c r="J207" s="202"/>
      <c r="K207" s="202"/>
      <c r="L207" s="202"/>
      <c r="M207" s="202"/>
      <c r="N207" s="202"/>
    </row>
    <row r="208" spans="1:14" ht="15.6">
      <c r="A208" s="202"/>
      <c r="B208" s="202"/>
      <c r="C208" s="202"/>
      <c r="D208" s="202"/>
      <c r="E208" s="202"/>
      <c r="F208" s="202"/>
      <c r="G208" s="202"/>
      <c r="H208" s="202"/>
      <c r="I208" s="202"/>
      <c r="J208" s="202"/>
      <c r="K208" s="202"/>
      <c r="L208" s="202"/>
      <c r="M208" s="202"/>
      <c r="N208" s="202"/>
    </row>
    <row r="209" spans="1:14" ht="15.6">
      <c r="A209" s="202"/>
      <c r="B209" s="202"/>
      <c r="C209" s="202"/>
      <c r="D209" s="202"/>
      <c r="E209" s="202"/>
      <c r="F209" s="202"/>
      <c r="G209" s="202"/>
      <c r="H209" s="202"/>
      <c r="I209" s="202"/>
      <c r="J209" s="202"/>
      <c r="K209" s="202"/>
      <c r="L209" s="202"/>
      <c r="M209" s="202"/>
      <c r="N209" s="202"/>
    </row>
    <row r="210" spans="1:14" ht="15.6">
      <c r="A210" s="202"/>
      <c r="B210" s="202"/>
      <c r="C210" s="202"/>
      <c r="D210" s="202"/>
      <c r="E210" s="202"/>
      <c r="F210" s="202"/>
      <c r="G210" s="202"/>
      <c r="H210" s="202"/>
      <c r="I210" s="202"/>
      <c r="J210" s="202"/>
      <c r="K210" s="202"/>
      <c r="L210" s="202"/>
      <c r="M210" s="202"/>
      <c r="N210" s="202"/>
    </row>
    <row r="211" spans="1:14" ht="15.6">
      <c r="A211" s="679"/>
      <c r="B211" s="202"/>
      <c r="C211" s="202"/>
      <c r="D211" s="202"/>
      <c r="E211" s="202"/>
      <c r="F211" s="202"/>
      <c r="G211" s="202"/>
      <c r="H211" s="202"/>
      <c r="I211" s="202"/>
      <c r="J211" s="202"/>
      <c r="K211" s="202"/>
      <c r="L211" s="202"/>
      <c r="M211" s="202"/>
      <c r="N211" s="202"/>
    </row>
    <row r="212" spans="1:14" ht="15.6">
      <c r="A212" s="679"/>
      <c r="B212" s="202"/>
      <c r="C212" s="202"/>
      <c r="D212" s="202"/>
      <c r="E212" s="202"/>
      <c r="F212" s="202"/>
      <c r="G212" s="202"/>
      <c r="H212" s="202"/>
      <c r="I212" s="202"/>
      <c r="J212" s="202"/>
      <c r="K212" s="202"/>
      <c r="L212" s="202"/>
      <c r="M212" s="202"/>
      <c r="N212" s="202"/>
    </row>
    <row r="213" spans="1:14" ht="15.6">
      <c r="A213" s="679"/>
      <c r="B213" s="202"/>
      <c r="C213" s="202"/>
      <c r="D213" s="202"/>
      <c r="E213" s="202"/>
      <c r="F213" s="202"/>
      <c r="G213" s="202"/>
      <c r="H213" s="202"/>
      <c r="I213" s="202"/>
      <c r="J213" s="202"/>
      <c r="K213" s="202"/>
      <c r="L213" s="202"/>
      <c r="M213" s="202"/>
      <c r="N213" s="202"/>
    </row>
    <row r="214" spans="1:14" ht="15.6">
      <c r="A214" s="679"/>
      <c r="B214" s="202"/>
      <c r="C214" s="202"/>
      <c r="D214" s="202"/>
      <c r="E214" s="202"/>
      <c r="F214" s="202"/>
      <c r="G214" s="202"/>
      <c r="H214" s="202"/>
      <c r="I214" s="202"/>
      <c r="J214" s="202"/>
      <c r="K214" s="202"/>
      <c r="L214" s="202"/>
      <c r="M214" s="202"/>
      <c r="N214" s="202"/>
    </row>
    <row r="215" spans="1:14" ht="15.6">
      <c r="A215" s="679"/>
      <c r="B215" s="202"/>
      <c r="C215" s="202"/>
      <c r="D215" s="202"/>
      <c r="E215" s="202"/>
      <c r="F215" s="202"/>
      <c r="G215" s="202"/>
      <c r="H215" s="202"/>
      <c r="I215" s="202"/>
      <c r="J215" s="202"/>
      <c r="K215" s="202"/>
      <c r="L215" s="202"/>
      <c r="M215" s="202"/>
      <c r="N215" s="202"/>
    </row>
    <row r="216" spans="1:14" ht="15.6">
      <c r="A216" s="679"/>
      <c r="B216" s="202"/>
      <c r="C216" s="202"/>
      <c r="D216" s="202"/>
      <c r="E216" s="202"/>
      <c r="F216" s="202"/>
      <c r="G216" s="202"/>
      <c r="H216" s="202"/>
      <c r="I216" s="202"/>
      <c r="J216" s="202"/>
      <c r="K216" s="202"/>
      <c r="L216" s="202"/>
      <c r="M216" s="202"/>
      <c r="N216" s="202"/>
    </row>
    <row r="217" spans="1:14" ht="15.6">
      <c r="A217" s="679"/>
      <c r="B217" s="202"/>
      <c r="C217" s="202"/>
      <c r="D217" s="202"/>
      <c r="E217" s="202"/>
      <c r="F217" s="202"/>
      <c r="G217" s="202"/>
      <c r="H217" s="202"/>
      <c r="I217" s="202"/>
      <c r="J217" s="202"/>
      <c r="K217" s="202"/>
      <c r="L217" s="202"/>
      <c r="M217" s="202"/>
      <c r="N217" s="202"/>
    </row>
    <row r="218" spans="1:14" ht="15.6">
      <c r="A218" s="679"/>
      <c r="B218" s="202"/>
      <c r="C218" s="202"/>
      <c r="D218" s="202"/>
      <c r="E218" s="202"/>
      <c r="F218" s="202"/>
      <c r="G218" s="202"/>
      <c r="H218" s="202"/>
      <c r="I218" s="202"/>
      <c r="J218" s="202"/>
      <c r="K218" s="202"/>
      <c r="L218" s="202"/>
      <c r="M218" s="202"/>
      <c r="N218" s="202"/>
    </row>
    <row r="219" spans="1:14" ht="15.6">
      <c r="A219" s="679"/>
      <c r="B219" s="202"/>
      <c r="C219" s="202"/>
      <c r="D219" s="202"/>
      <c r="E219" s="202"/>
      <c r="F219" s="202"/>
      <c r="G219" s="202"/>
      <c r="H219" s="202"/>
      <c r="I219" s="202"/>
      <c r="J219" s="202"/>
      <c r="K219" s="202"/>
      <c r="L219" s="202"/>
      <c r="M219" s="202"/>
      <c r="N219" s="202"/>
    </row>
    <row r="220" spans="1:14" ht="15.6">
      <c r="A220" s="679"/>
      <c r="B220" s="202"/>
      <c r="C220" s="202"/>
      <c r="D220" s="202"/>
      <c r="E220" s="202"/>
      <c r="F220" s="202"/>
      <c r="G220" s="202"/>
      <c r="H220" s="202"/>
      <c r="I220" s="202"/>
      <c r="J220" s="202"/>
      <c r="K220" s="202"/>
      <c r="L220" s="202"/>
      <c r="M220" s="202"/>
      <c r="N220" s="202"/>
    </row>
    <row r="221" spans="1:14" ht="15.6">
      <c r="A221" s="679"/>
      <c r="B221" s="202"/>
      <c r="C221" s="202"/>
      <c r="D221" s="202"/>
      <c r="E221" s="202"/>
      <c r="F221" s="202"/>
      <c r="G221" s="202"/>
      <c r="H221" s="202"/>
      <c r="I221" s="202"/>
      <c r="J221" s="202"/>
      <c r="K221" s="202"/>
      <c r="L221" s="202"/>
      <c r="M221" s="202"/>
      <c r="N221" s="202"/>
    </row>
    <row r="222" spans="1:14" ht="15.6">
      <c r="A222" s="679"/>
      <c r="B222" s="202"/>
      <c r="C222" s="202"/>
      <c r="D222" s="202"/>
      <c r="E222" s="202"/>
      <c r="F222" s="202"/>
      <c r="G222" s="202"/>
      <c r="H222" s="202"/>
      <c r="I222" s="202"/>
      <c r="J222" s="202"/>
      <c r="K222" s="202"/>
      <c r="L222" s="202"/>
      <c r="M222" s="202"/>
      <c r="N222" s="202"/>
    </row>
    <row r="223" spans="1:14" ht="15.6">
      <c r="A223" s="679"/>
      <c r="B223" s="202"/>
      <c r="C223" s="202"/>
      <c r="D223" s="202"/>
      <c r="E223" s="202"/>
      <c r="F223" s="202"/>
      <c r="G223" s="202"/>
      <c r="H223" s="202"/>
      <c r="I223" s="202"/>
      <c r="J223" s="202"/>
      <c r="K223" s="202"/>
      <c r="L223" s="202"/>
      <c r="M223" s="202"/>
      <c r="N223" s="202"/>
    </row>
    <row r="224" spans="1:14" ht="15.6">
      <c r="A224" s="679"/>
      <c r="B224" s="202"/>
      <c r="C224" s="202"/>
      <c r="D224" s="202"/>
      <c r="E224" s="202"/>
      <c r="F224" s="202"/>
      <c r="G224" s="202"/>
      <c r="H224" s="202"/>
      <c r="I224" s="202"/>
      <c r="J224" s="202"/>
      <c r="K224" s="202"/>
      <c r="L224" s="202"/>
      <c r="M224" s="202"/>
      <c r="N224" s="202"/>
    </row>
    <row r="225" spans="1:14" ht="15.6">
      <c r="A225" s="679"/>
      <c r="B225" s="202"/>
      <c r="C225" s="202"/>
      <c r="D225" s="202"/>
      <c r="E225" s="202"/>
      <c r="F225" s="202"/>
      <c r="G225" s="202"/>
      <c r="H225" s="202"/>
      <c r="I225" s="202"/>
      <c r="J225" s="202"/>
      <c r="K225" s="202"/>
      <c r="L225" s="202"/>
      <c r="M225" s="202"/>
      <c r="N225" s="202"/>
    </row>
    <row r="226" spans="1:14" ht="15.6">
      <c r="A226" s="679"/>
      <c r="B226" s="202"/>
      <c r="C226" s="202"/>
      <c r="D226" s="202"/>
      <c r="E226" s="202"/>
      <c r="F226" s="202"/>
      <c r="G226" s="202"/>
      <c r="H226" s="202"/>
      <c r="I226" s="202"/>
      <c r="J226" s="202"/>
      <c r="K226" s="202"/>
      <c r="L226" s="202"/>
      <c r="M226" s="202"/>
      <c r="N226" s="202"/>
    </row>
    <row r="227" spans="1:14" ht="15.6">
      <c r="A227" s="679"/>
      <c r="B227" s="202"/>
      <c r="C227" s="202"/>
      <c r="D227" s="202"/>
      <c r="E227" s="202"/>
      <c r="F227" s="202"/>
      <c r="G227" s="202"/>
      <c r="H227" s="202"/>
      <c r="I227" s="202"/>
      <c r="J227" s="202"/>
      <c r="K227" s="202"/>
      <c r="L227" s="202"/>
      <c r="M227" s="202"/>
      <c r="N227" s="202"/>
    </row>
    <row r="228" spans="1:14" ht="15.6">
      <c r="A228" s="679"/>
      <c r="B228" s="202"/>
      <c r="C228" s="202"/>
      <c r="D228" s="202"/>
      <c r="E228" s="202"/>
      <c r="F228" s="202"/>
      <c r="G228" s="202"/>
      <c r="H228" s="202"/>
      <c r="I228" s="202"/>
      <c r="J228" s="202"/>
      <c r="K228" s="202"/>
      <c r="L228" s="202"/>
      <c r="M228" s="202"/>
      <c r="N228" s="202"/>
    </row>
    <row r="229" spans="1:14" ht="15.6">
      <c r="A229" s="679"/>
      <c r="B229" s="202"/>
      <c r="C229" s="202"/>
      <c r="D229" s="202"/>
      <c r="E229" s="202"/>
      <c r="F229" s="202"/>
      <c r="G229" s="202"/>
      <c r="H229" s="202"/>
      <c r="I229" s="202"/>
      <c r="J229" s="202"/>
      <c r="K229" s="202"/>
      <c r="L229" s="202"/>
      <c r="M229" s="202"/>
      <c r="N229" s="202"/>
    </row>
    <row r="230" spans="1:14" ht="15.6">
      <c r="A230" s="679"/>
      <c r="B230" s="202"/>
      <c r="C230" s="202"/>
      <c r="D230" s="202"/>
      <c r="E230" s="202"/>
      <c r="F230" s="202"/>
      <c r="G230" s="202"/>
      <c r="H230" s="202"/>
      <c r="I230" s="202"/>
      <c r="J230" s="202"/>
      <c r="K230" s="202"/>
      <c r="L230" s="202"/>
      <c r="M230" s="202"/>
      <c r="N230" s="202"/>
    </row>
    <row r="231" spans="1:14" ht="15.6">
      <c r="A231" s="679"/>
      <c r="B231" s="202"/>
      <c r="C231" s="202"/>
      <c r="D231" s="202"/>
      <c r="E231" s="202"/>
      <c r="F231" s="202"/>
      <c r="G231" s="202"/>
      <c r="H231" s="202"/>
      <c r="I231" s="202"/>
      <c r="J231" s="202"/>
      <c r="K231" s="202"/>
      <c r="L231" s="202"/>
      <c r="M231" s="202"/>
      <c r="N231" s="202"/>
    </row>
    <row r="232" spans="1:14" ht="15.6">
      <c r="A232" s="679"/>
      <c r="B232" s="202"/>
      <c r="C232" s="202"/>
      <c r="D232" s="202"/>
      <c r="E232" s="202"/>
      <c r="F232" s="202"/>
      <c r="G232" s="202"/>
      <c r="H232" s="202"/>
      <c r="I232" s="202"/>
      <c r="J232" s="202"/>
      <c r="K232" s="202"/>
      <c r="L232" s="202"/>
      <c r="M232" s="202"/>
      <c r="N232" s="202"/>
    </row>
    <row r="233" spans="1:14" ht="15.6">
      <c r="A233" s="679"/>
      <c r="B233" s="202"/>
      <c r="C233" s="202"/>
      <c r="D233" s="202"/>
      <c r="E233" s="202"/>
      <c r="F233" s="202"/>
      <c r="G233" s="202"/>
      <c r="H233" s="202"/>
      <c r="I233" s="202"/>
      <c r="J233" s="202"/>
      <c r="K233" s="202"/>
      <c r="L233" s="202"/>
      <c r="M233" s="202"/>
      <c r="N233" s="202"/>
    </row>
    <row r="234" spans="1:14" ht="15.6">
      <c r="A234" s="679"/>
      <c r="B234" s="202"/>
      <c r="C234" s="202"/>
      <c r="D234" s="202"/>
      <c r="E234" s="202"/>
      <c r="F234" s="202"/>
      <c r="G234" s="202"/>
      <c r="H234" s="202"/>
      <c r="I234" s="202"/>
      <c r="J234" s="202"/>
      <c r="K234" s="202"/>
      <c r="L234" s="202"/>
      <c r="M234" s="202"/>
      <c r="N234" s="202"/>
    </row>
    <row r="235" spans="1:14" ht="15.6">
      <c r="A235" s="679"/>
      <c r="B235" s="202"/>
      <c r="C235" s="202"/>
      <c r="D235" s="202"/>
      <c r="E235" s="202"/>
      <c r="F235" s="202"/>
      <c r="G235" s="202"/>
      <c r="H235" s="202"/>
      <c r="I235" s="202"/>
      <c r="J235" s="202"/>
      <c r="K235" s="202"/>
      <c r="L235" s="202"/>
      <c r="M235" s="202"/>
      <c r="N235" s="202"/>
    </row>
    <row r="236" spans="1:14" ht="15.6">
      <c r="A236" s="679"/>
      <c r="B236" s="202"/>
      <c r="C236" s="202"/>
      <c r="D236" s="202"/>
      <c r="E236" s="202"/>
      <c r="F236" s="202"/>
      <c r="G236" s="202"/>
      <c r="H236" s="202"/>
      <c r="I236" s="202"/>
      <c r="J236" s="202"/>
      <c r="K236" s="202"/>
      <c r="L236" s="202"/>
      <c r="M236" s="202"/>
      <c r="N236" s="202"/>
    </row>
    <row r="237" spans="1:14" ht="15.6">
      <c r="A237" s="679"/>
      <c r="B237" s="202"/>
      <c r="C237" s="202"/>
      <c r="D237" s="202"/>
      <c r="E237" s="202"/>
      <c r="F237" s="202"/>
      <c r="G237" s="202"/>
      <c r="H237" s="202"/>
      <c r="I237" s="202"/>
      <c r="J237" s="202"/>
      <c r="K237" s="202"/>
      <c r="L237" s="202"/>
      <c r="M237" s="202"/>
      <c r="N237" s="202"/>
    </row>
    <row r="238" spans="1:14" ht="15.6">
      <c r="A238" s="679"/>
      <c r="B238" s="202"/>
      <c r="C238" s="202"/>
      <c r="D238" s="202"/>
      <c r="E238" s="202"/>
      <c r="F238" s="202"/>
      <c r="G238" s="202"/>
      <c r="H238" s="202"/>
      <c r="I238" s="202"/>
      <c r="J238" s="202"/>
      <c r="K238" s="202"/>
      <c r="L238" s="202"/>
      <c r="M238" s="202"/>
      <c r="N238" s="202"/>
    </row>
    <row r="239" spans="1:14" ht="15.6">
      <c r="A239" s="679"/>
      <c r="B239" s="202"/>
      <c r="C239" s="202"/>
      <c r="D239" s="202"/>
      <c r="E239" s="202"/>
      <c r="F239" s="202"/>
      <c r="G239" s="202"/>
      <c r="H239" s="202"/>
      <c r="I239" s="202"/>
      <c r="J239" s="202"/>
      <c r="K239" s="202"/>
      <c r="L239" s="202"/>
      <c r="M239" s="202"/>
      <c r="N239" s="202"/>
    </row>
    <row r="240" spans="1:14" ht="15.6">
      <c r="A240" s="679"/>
      <c r="B240" s="202"/>
      <c r="C240" s="202"/>
      <c r="D240" s="202"/>
      <c r="E240" s="202"/>
      <c r="F240" s="202"/>
      <c r="G240" s="202"/>
      <c r="H240" s="202"/>
      <c r="I240" s="202"/>
      <c r="J240" s="202"/>
      <c r="K240" s="202"/>
      <c r="L240" s="202"/>
      <c r="M240" s="202"/>
      <c r="N240" s="202"/>
    </row>
    <row r="241" spans="1:14" ht="15.6">
      <c r="A241" s="679"/>
      <c r="B241" s="202"/>
      <c r="C241" s="202"/>
      <c r="D241" s="202"/>
      <c r="E241" s="202"/>
      <c r="F241" s="202"/>
      <c r="G241" s="202"/>
      <c r="H241" s="202"/>
      <c r="I241" s="202"/>
      <c r="J241" s="202"/>
      <c r="K241" s="202"/>
      <c r="L241" s="202"/>
      <c r="M241" s="202"/>
      <c r="N241" s="202"/>
    </row>
    <row r="242" spans="1:14" ht="15.6">
      <c r="A242" s="679"/>
      <c r="B242" s="202"/>
      <c r="C242" s="202"/>
      <c r="D242" s="202"/>
      <c r="E242" s="202"/>
      <c r="F242" s="202"/>
      <c r="G242" s="202"/>
      <c r="H242" s="202"/>
      <c r="I242" s="202"/>
      <c r="J242" s="202"/>
      <c r="K242" s="202"/>
      <c r="L242" s="202"/>
      <c r="M242" s="202"/>
      <c r="N242" s="202"/>
    </row>
    <row r="243" spans="1:14" ht="15.6">
      <c r="A243" s="679"/>
      <c r="B243" s="202"/>
      <c r="C243" s="202"/>
      <c r="D243" s="202"/>
      <c r="E243" s="202"/>
      <c r="F243" s="202"/>
      <c r="G243" s="202"/>
      <c r="H243" s="202"/>
      <c r="I243" s="202"/>
      <c r="J243" s="202"/>
      <c r="K243" s="202"/>
      <c r="L243" s="202"/>
      <c r="M243" s="202"/>
      <c r="N243" s="202"/>
    </row>
    <row r="244" spans="1:14" ht="15.6">
      <c r="A244" s="679"/>
      <c r="B244" s="202"/>
      <c r="C244" s="202"/>
      <c r="D244" s="202"/>
      <c r="E244" s="202"/>
      <c r="F244" s="202"/>
      <c r="G244" s="202"/>
      <c r="H244" s="202"/>
      <c r="I244" s="202"/>
      <c r="J244" s="202"/>
      <c r="K244" s="202"/>
      <c r="L244" s="202"/>
      <c r="M244" s="202"/>
      <c r="N244" s="202"/>
    </row>
    <row r="245" spans="1:14" ht="15.6">
      <c r="A245" s="679"/>
      <c r="B245" s="202"/>
      <c r="C245" s="202"/>
      <c r="D245" s="202"/>
      <c r="E245" s="202"/>
      <c r="F245" s="202"/>
      <c r="G245" s="202"/>
      <c r="H245" s="202"/>
      <c r="I245" s="202"/>
      <c r="J245" s="202"/>
      <c r="K245" s="202"/>
      <c r="L245" s="202"/>
      <c r="M245" s="202"/>
      <c r="N245" s="202"/>
    </row>
    <row r="246" spans="1:14" ht="15.6">
      <c r="A246" s="679"/>
      <c r="B246" s="202"/>
      <c r="C246" s="202"/>
      <c r="D246" s="202"/>
      <c r="E246" s="202"/>
      <c r="F246" s="202"/>
      <c r="G246" s="202"/>
      <c r="H246" s="202"/>
      <c r="I246" s="202"/>
      <c r="J246" s="202"/>
      <c r="K246" s="202"/>
      <c r="L246" s="202"/>
      <c r="M246" s="202"/>
      <c r="N246" s="202"/>
    </row>
    <row r="247" spans="1:14" ht="15.6">
      <c r="A247" s="679"/>
      <c r="B247" s="202"/>
      <c r="C247" s="202"/>
      <c r="D247" s="202"/>
      <c r="E247" s="202"/>
      <c r="F247" s="202"/>
      <c r="G247" s="202"/>
      <c r="H247" s="202"/>
      <c r="I247" s="202"/>
      <c r="J247" s="202"/>
      <c r="K247" s="202"/>
      <c r="L247" s="202"/>
      <c r="M247" s="202"/>
      <c r="N247" s="202"/>
    </row>
    <row r="248" spans="1:14" ht="15.6">
      <c r="A248" s="679"/>
      <c r="B248" s="202"/>
      <c r="C248" s="202"/>
      <c r="D248" s="202"/>
      <c r="E248" s="202"/>
      <c r="F248" s="202"/>
      <c r="G248" s="202"/>
      <c r="H248" s="202"/>
      <c r="I248" s="202"/>
      <c r="J248" s="202"/>
      <c r="K248" s="202"/>
      <c r="L248" s="202"/>
      <c r="M248" s="202"/>
      <c r="N248" s="202"/>
    </row>
    <row r="249" spans="1:14" ht="15.6">
      <c r="A249" s="679"/>
      <c r="B249" s="202"/>
      <c r="C249" s="202"/>
      <c r="D249" s="202"/>
      <c r="E249" s="202"/>
      <c r="F249" s="202"/>
      <c r="G249" s="202"/>
      <c r="H249" s="202"/>
      <c r="I249" s="202"/>
      <c r="J249" s="202"/>
      <c r="K249" s="202"/>
      <c r="L249" s="202"/>
      <c r="M249" s="202"/>
      <c r="N249" s="202"/>
    </row>
    <row r="250" spans="1:14" ht="15.6">
      <c r="A250" s="679"/>
      <c r="B250" s="202"/>
      <c r="C250" s="202"/>
      <c r="D250" s="202"/>
      <c r="E250" s="202"/>
      <c r="F250" s="202"/>
      <c r="G250" s="202"/>
      <c r="H250" s="202"/>
      <c r="I250" s="202"/>
      <c r="J250" s="202"/>
      <c r="K250" s="202"/>
      <c r="L250" s="202"/>
      <c r="M250" s="202"/>
      <c r="N250" s="202"/>
    </row>
    <row r="251" spans="1:14" ht="15.6">
      <c r="A251" s="679"/>
      <c r="B251" s="202"/>
      <c r="C251" s="202"/>
      <c r="D251" s="202"/>
      <c r="E251" s="202"/>
      <c r="F251" s="202"/>
      <c r="G251" s="202"/>
      <c r="H251" s="202"/>
      <c r="I251" s="202"/>
      <c r="J251" s="202"/>
      <c r="K251" s="202"/>
      <c r="L251" s="202"/>
      <c r="M251" s="202"/>
      <c r="N251" s="202"/>
    </row>
    <row r="252" spans="1:14" ht="15.6">
      <c r="A252" s="679"/>
      <c r="B252" s="202"/>
      <c r="C252" s="202"/>
      <c r="D252" s="202"/>
      <c r="E252" s="202"/>
      <c r="F252" s="202"/>
      <c r="G252" s="202"/>
      <c r="H252" s="202"/>
      <c r="I252" s="202"/>
      <c r="J252" s="202"/>
      <c r="K252" s="202"/>
      <c r="L252" s="202"/>
      <c r="M252" s="202"/>
      <c r="N252" s="202"/>
    </row>
  </sheetData>
  <mergeCells count="24">
    <mergeCell ref="D1:I1"/>
    <mergeCell ref="D2:I2"/>
    <mergeCell ref="A3:F3"/>
    <mergeCell ref="J3:M3"/>
    <mergeCell ref="A33:F33"/>
    <mergeCell ref="J33:M33"/>
    <mergeCell ref="J34:M34"/>
    <mergeCell ref="A52:F52"/>
    <mergeCell ref="J52:M52"/>
    <mergeCell ref="C44:J48"/>
    <mergeCell ref="J53:M53"/>
    <mergeCell ref="A61:F61"/>
    <mergeCell ref="J61:M61"/>
    <mergeCell ref="J66:M66"/>
    <mergeCell ref="A70:F70"/>
    <mergeCell ref="L70:M70"/>
    <mergeCell ref="J118:M118"/>
    <mergeCell ref="A118:F118"/>
    <mergeCell ref="A77:F77"/>
    <mergeCell ref="J77:M77"/>
    <mergeCell ref="J85:M85"/>
    <mergeCell ref="A88:F88"/>
    <mergeCell ref="I90:M90"/>
    <mergeCell ref="I88:M88"/>
  </mergeCells>
  <printOptions horizontalCentered="1"/>
  <pageMargins left="0.25" right="0.25" top="0.75" bottom="0.75" header="0.5" footer="0.5"/>
  <pageSetup scale="59" fitToHeight="0" orientation="landscape" r:id="rId1"/>
  <headerFooter alignWithMargins="0"/>
  <rowBreaks count="4" manualBreakCount="4">
    <brk id="50" max="12" man="1"/>
    <brk id="93" max="12" man="1"/>
    <brk id="115" max="12" man="1"/>
    <brk id="1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4"/>
  <sheetViews>
    <sheetView view="pageBreakPreview" topLeftCell="C1" zoomScale="60" zoomScaleNormal="100" workbookViewId="0">
      <selection activeCell="C1" sqref="C1"/>
    </sheetView>
  </sheetViews>
  <sheetFormatPr defaultRowHeight="15.6"/>
  <cols>
    <col min="1" max="1" width="8.90625" style="1039"/>
    <col min="2" max="2" width="41.36328125" style="1039" customWidth="1"/>
    <col min="3" max="3" width="23.6328125" style="1039" customWidth="1"/>
    <col min="4" max="4" width="13.453125" style="1039" bestFit="1" customWidth="1"/>
    <col min="5" max="5" width="8.90625" style="1039"/>
    <col min="6" max="6" width="12.08984375" style="1039" bestFit="1" customWidth="1"/>
    <col min="7" max="8" width="8.90625" style="1039"/>
    <col min="9" max="9" width="13.1796875" style="1039" customWidth="1"/>
    <col min="10" max="10" width="13.08984375" style="1039" bestFit="1" customWidth="1"/>
    <col min="11" max="12" width="13.453125" style="1039" bestFit="1" customWidth="1"/>
    <col min="13" max="13" width="14.1796875" style="1039" bestFit="1" customWidth="1"/>
    <col min="14" max="14" width="13.1796875" style="1039" customWidth="1"/>
    <col min="15" max="15" width="13.90625" style="1039" customWidth="1"/>
    <col min="16" max="16" width="14" style="1039" customWidth="1"/>
    <col min="17" max="17" width="15.1796875" style="1039" customWidth="1"/>
    <col min="18" max="18" width="8.90625" style="1039"/>
  </cols>
  <sheetData>
    <row r="1" spans="1:17" ht="17.399999999999999">
      <c r="E1" s="1511" t="s">
        <v>509</v>
      </c>
      <c r="F1" s="1511"/>
      <c r="G1" s="1511"/>
      <c r="H1" s="1511"/>
      <c r="I1" s="1511"/>
      <c r="J1" s="1511"/>
      <c r="O1" s="202"/>
    </row>
    <row r="2" spans="1:17" ht="17.399999999999999">
      <c r="A2" s="1191" t="s">
        <v>770</v>
      </c>
      <c r="E2" s="1511" t="str">
        <f>'Appendix A'!$E$9</f>
        <v>New York Transco LLC</v>
      </c>
      <c r="F2" s="1511"/>
      <c r="G2" s="1511"/>
      <c r="H2" s="1511"/>
      <c r="I2" s="1511"/>
      <c r="J2" s="1511"/>
    </row>
    <row r="3" spans="1:17" ht="16.2" thickBot="1">
      <c r="A3" s="1520"/>
      <c r="B3" s="1520"/>
      <c r="C3" s="1520"/>
      <c r="D3" s="1520"/>
      <c r="E3" s="1520"/>
      <c r="F3" s="1520"/>
      <c r="G3" s="1167"/>
      <c r="H3" s="1521"/>
      <c r="I3" s="1522"/>
      <c r="J3" s="1522"/>
      <c r="K3" s="1522"/>
      <c r="L3" s="1522"/>
      <c r="M3" s="1522"/>
      <c r="N3" s="1168"/>
      <c r="O3" s="1168"/>
      <c r="P3" s="1168"/>
      <c r="Q3" s="1168"/>
    </row>
    <row r="4" spans="1:17">
      <c r="A4" s="1169"/>
      <c r="B4" s="1170"/>
      <c r="C4" s="1171"/>
      <c r="D4" s="1172"/>
      <c r="E4" s="1173"/>
      <c r="F4" s="1173"/>
      <c r="G4" s="1173"/>
      <c r="H4" s="1172"/>
      <c r="I4" s="1172"/>
      <c r="J4" s="1172"/>
      <c r="K4" s="1172"/>
      <c r="L4" s="1172"/>
      <c r="M4" s="1172"/>
      <c r="N4" s="1174"/>
      <c r="O4" s="1174"/>
      <c r="P4" s="1174"/>
      <c r="Q4" s="1175"/>
    </row>
    <row r="5" spans="1:17">
      <c r="A5" s="1176"/>
      <c r="B5" s="1145"/>
      <c r="C5" s="1145"/>
      <c r="D5" s="1146"/>
      <c r="E5" s="1146"/>
      <c r="F5" s="1146"/>
      <c r="G5" s="1146"/>
      <c r="H5" s="1146"/>
      <c r="I5" s="1146"/>
      <c r="J5" s="1146"/>
      <c r="K5" s="1146"/>
      <c r="L5" s="1146"/>
      <c r="M5" s="1146"/>
      <c r="N5" s="1146"/>
      <c r="O5" s="1146"/>
      <c r="P5" s="1146"/>
      <c r="Q5" s="1147"/>
    </row>
    <row r="6" spans="1:17">
      <c r="A6" s="1148"/>
      <c r="B6" s="1145"/>
      <c r="C6" s="1177" t="s">
        <v>717</v>
      </c>
      <c r="D6" s="1146"/>
      <c r="E6" s="1146"/>
      <c r="F6" s="1146"/>
      <c r="G6" s="1146"/>
      <c r="H6" s="1146"/>
      <c r="I6" s="1146"/>
      <c r="J6" s="1146"/>
      <c r="K6" s="1146"/>
      <c r="L6" s="1146"/>
      <c r="M6" s="1146"/>
      <c r="N6" s="1146"/>
      <c r="O6" s="1146"/>
      <c r="P6" s="1146"/>
      <c r="Q6" s="1147"/>
    </row>
    <row r="7" spans="1:17">
      <c r="A7" s="1178" t="s">
        <v>328</v>
      </c>
      <c r="B7" s="1179" t="s">
        <v>500</v>
      </c>
      <c r="C7" s="1180" t="s">
        <v>718</v>
      </c>
      <c r="D7" s="1181" t="s">
        <v>164</v>
      </c>
      <c r="E7" s="1181" t="s">
        <v>174</v>
      </c>
      <c r="F7" s="1181" t="s">
        <v>173</v>
      </c>
      <c r="G7" s="1181" t="s">
        <v>172</v>
      </c>
      <c r="H7" s="1181" t="s">
        <v>155</v>
      </c>
      <c r="I7" s="1181" t="s">
        <v>152</v>
      </c>
      <c r="J7" s="1181" t="s">
        <v>277</v>
      </c>
      <c r="K7" s="1181" t="s">
        <v>170</v>
      </c>
      <c r="L7" s="1181" t="s">
        <v>169</v>
      </c>
      <c r="M7" s="1181" t="s">
        <v>168</v>
      </c>
      <c r="N7" s="1181" t="s">
        <v>181</v>
      </c>
      <c r="O7" s="1181" t="s">
        <v>166</v>
      </c>
      <c r="P7" s="1181" t="s">
        <v>164</v>
      </c>
      <c r="Q7" s="1182" t="s">
        <v>719</v>
      </c>
    </row>
    <row r="8" spans="1:17">
      <c r="A8" s="1148"/>
      <c r="B8" s="1149"/>
      <c r="C8" s="1149"/>
      <c r="D8" s="1150" t="s">
        <v>720</v>
      </c>
      <c r="E8" s="1150" t="s">
        <v>721</v>
      </c>
      <c r="F8" s="1150" t="s">
        <v>722</v>
      </c>
      <c r="G8" s="1150" t="s">
        <v>723</v>
      </c>
      <c r="H8" s="1150" t="s">
        <v>724</v>
      </c>
      <c r="I8" s="1150" t="s">
        <v>725</v>
      </c>
      <c r="J8" s="1150" t="s">
        <v>726</v>
      </c>
      <c r="K8" s="1150" t="s">
        <v>727</v>
      </c>
      <c r="L8" s="1150" t="s">
        <v>728</v>
      </c>
      <c r="M8" s="1150" t="s">
        <v>729</v>
      </c>
      <c r="N8" s="1150" t="s">
        <v>730</v>
      </c>
      <c r="O8" s="1150" t="s">
        <v>731</v>
      </c>
      <c r="P8" s="1150" t="s">
        <v>732</v>
      </c>
      <c r="Q8" s="1151" t="s">
        <v>733</v>
      </c>
    </row>
    <row r="9" spans="1:17">
      <c r="A9" s="1148">
        <v>244</v>
      </c>
      <c r="B9" s="381" t="s">
        <v>734</v>
      </c>
      <c r="C9" s="1149"/>
      <c r="D9" s="1152"/>
      <c r="E9" s="1152"/>
      <c r="F9" s="1152"/>
      <c r="G9" s="1152"/>
      <c r="H9" s="1152"/>
      <c r="I9" s="1152"/>
      <c r="J9" s="1152"/>
      <c r="K9" s="1152"/>
      <c r="L9" s="1152"/>
      <c r="M9" s="1152"/>
      <c r="N9" s="1152"/>
      <c r="O9" s="1152"/>
      <c r="P9" s="1152"/>
      <c r="Q9" s="1153"/>
    </row>
    <row r="10" spans="1:17">
      <c r="A10" s="1148">
        <f t="shared" ref="A10:A40" si="0">A9+1</f>
        <v>245</v>
      </c>
      <c r="B10" s="1154" t="s">
        <v>735</v>
      </c>
      <c r="C10" s="1155" t="s">
        <v>736</v>
      </c>
      <c r="D10" s="1158">
        <v>0</v>
      </c>
      <c r="E10" s="1158">
        <v>0</v>
      </c>
      <c r="F10" s="1158">
        <v>0</v>
      </c>
      <c r="G10" s="1158">
        <v>0</v>
      </c>
      <c r="H10" s="1158">
        <v>0</v>
      </c>
      <c r="I10" s="1158">
        <v>0</v>
      </c>
      <c r="J10" s="1158">
        <v>0</v>
      </c>
      <c r="K10" s="1158">
        <v>0</v>
      </c>
      <c r="L10" s="1158">
        <v>0</v>
      </c>
      <c r="M10" s="1158">
        <v>0</v>
      </c>
      <c r="N10" s="1158">
        <v>0</v>
      </c>
      <c r="O10" s="1158">
        <v>0</v>
      </c>
      <c r="P10" s="1158">
        <v>0</v>
      </c>
      <c r="Q10" s="1153">
        <f>AVERAGE(D10:P10)</f>
        <v>0</v>
      </c>
    </row>
    <row r="11" spans="1:17">
      <c r="A11" s="1148">
        <f t="shared" si="0"/>
        <v>246</v>
      </c>
      <c r="B11" s="1154" t="s">
        <v>737</v>
      </c>
      <c r="C11" s="1155" t="s">
        <v>738</v>
      </c>
      <c r="D11" s="1183">
        <v>0</v>
      </c>
      <c r="E11" s="1183">
        <v>0</v>
      </c>
      <c r="F11" s="1183">
        <v>0</v>
      </c>
      <c r="G11" s="1183">
        <v>0</v>
      </c>
      <c r="H11" s="1183">
        <v>0</v>
      </c>
      <c r="I11" s="1183">
        <v>0</v>
      </c>
      <c r="J11" s="1183">
        <v>0</v>
      </c>
      <c r="K11" s="1183">
        <v>0</v>
      </c>
      <c r="L11" s="1183">
        <v>0</v>
      </c>
      <c r="M11" s="1183">
        <v>0</v>
      </c>
      <c r="N11" s="1183">
        <v>0</v>
      </c>
      <c r="O11" s="1183">
        <v>0</v>
      </c>
      <c r="P11" s="1183">
        <v>0</v>
      </c>
      <c r="Q11" s="1184">
        <f>AVERAGE(D11:P11)</f>
        <v>0</v>
      </c>
    </row>
    <row r="12" spans="1:17">
      <c r="A12" s="1148">
        <f t="shared" si="0"/>
        <v>247</v>
      </c>
      <c r="B12" s="1154" t="s">
        <v>739</v>
      </c>
      <c r="C12" s="1155" t="s">
        <v>740</v>
      </c>
      <c r="D12" s="1183">
        <v>0</v>
      </c>
      <c r="E12" s="1183">
        <v>0</v>
      </c>
      <c r="F12" s="1183">
        <v>0</v>
      </c>
      <c r="G12" s="1183">
        <v>0</v>
      </c>
      <c r="H12" s="1183">
        <v>0</v>
      </c>
      <c r="I12" s="1183">
        <v>0</v>
      </c>
      <c r="J12" s="1183">
        <v>0</v>
      </c>
      <c r="K12" s="1183">
        <v>0</v>
      </c>
      <c r="L12" s="1183">
        <v>0</v>
      </c>
      <c r="M12" s="1183">
        <v>0</v>
      </c>
      <c r="N12" s="1183">
        <v>0</v>
      </c>
      <c r="O12" s="1183">
        <v>0</v>
      </c>
      <c r="P12" s="1183">
        <v>0</v>
      </c>
      <c r="Q12" s="1184">
        <f>AVERAGE(D12:P12)</f>
        <v>0</v>
      </c>
    </row>
    <row r="13" spans="1:17" ht="16.2" thickBot="1">
      <c r="A13" s="1148">
        <f t="shared" si="0"/>
        <v>248</v>
      </c>
      <c r="B13" s="1156" t="s">
        <v>741</v>
      </c>
      <c r="C13" s="1155" t="s">
        <v>945</v>
      </c>
      <c r="D13" s="1160">
        <v>0</v>
      </c>
      <c r="E13" s="1160">
        <v>0</v>
      </c>
      <c r="F13" s="1160">
        <v>0</v>
      </c>
      <c r="G13" s="1160">
        <v>0</v>
      </c>
      <c r="H13" s="1160">
        <v>0</v>
      </c>
      <c r="I13" s="1160">
        <v>0</v>
      </c>
      <c r="J13" s="1160">
        <v>0</v>
      </c>
      <c r="K13" s="1160">
        <v>0</v>
      </c>
      <c r="L13" s="1160">
        <v>0</v>
      </c>
      <c r="M13" s="1160">
        <v>0</v>
      </c>
      <c r="N13" s="1160">
        <v>0</v>
      </c>
      <c r="O13" s="1160">
        <v>0</v>
      </c>
      <c r="P13" s="1160">
        <v>0</v>
      </c>
      <c r="Q13" s="1184">
        <f>AVERAGE(D13:P13)</f>
        <v>0</v>
      </c>
    </row>
    <row r="14" spans="1:17" ht="16.2" thickBot="1">
      <c r="A14" s="1148">
        <f t="shared" si="0"/>
        <v>249</v>
      </c>
      <c r="B14" s="1157" t="s">
        <v>742</v>
      </c>
      <c r="C14" s="1155" t="str">
        <f>"Sum Lines "&amp;A9&amp;" - "&amp;A13</f>
        <v>Sum Lines 244 - 248</v>
      </c>
      <c r="D14" s="1152">
        <f>SUM(D10:D13)</f>
        <v>0</v>
      </c>
      <c r="E14" s="1152">
        <f>SUM(E10:E13)</f>
        <v>0</v>
      </c>
      <c r="F14" s="1152">
        <f t="shared" ref="F14:P14" si="1">SUM(F10:F13)</f>
        <v>0</v>
      </c>
      <c r="G14" s="1152">
        <f t="shared" si="1"/>
        <v>0</v>
      </c>
      <c r="H14" s="1152">
        <f t="shared" si="1"/>
        <v>0</v>
      </c>
      <c r="I14" s="1152">
        <f t="shared" si="1"/>
        <v>0</v>
      </c>
      <c r="J14" s="1152">
        <f t="shared" si="1"/>
        <v>0</v>
      </c>
      <c r="K14" s="1152">
        <f t="shared" si="1"/>
        <v>0</v>
      </c>
      <c r="L14" s="1152">
        <f t="shared" si="1"/>
        <v>0</v>
      </c>
      <c r="M14" s="1152">
        <f t="shared" si="1"/>
        <v>0</v>
      </c>
      <c r="N14" s="1152">
        <f t="shared" si="1"/>
        <v>0</v>
      </c>
      <c r="O14" s="1152">
        <f t="shared" si="1"/>
        <v>0</v>
      </c>
      <c r="P14" s="1152">
        <f t="shared" si="1"/>
        <v>0</v>
      </c>
      <c r="Q14" s="1161">
        <f>SUM(Q10:Q13)</f>
        <v>0</v>
      </c>
    </row>
    <row r="15" spans="1:17" ht="16.2" thickBot="1">
      <c r="A15" s="1148">
        <f t="shared" si="0"/>
        <v>250</v>
      </c>
      <c r="B15" s="381"/>
      <c r="C15" s="381"/>
      <c r="D15" s="1152"/>
      <c r="E15" s="1152"/>
      <c r="F15" s="1152"/>
      <c r="G15" s="1152"/>
      <c r="H15" s="1152"/>
      <c r="I15" s="1152"/>
      <c r="J15" s="1152"/>
      <c r="K15" s="1152"/>
      <c r="L15" s="1152"/>
      <c r="M15" s="1152"/>
      <c r="N15" s="1152"/>
      <c r="O15" s="1152"/>
      <c r="P15" s="1152"/>
      <c r="Q15" s="1153"/>
    </row>
    <row r="16" spans="1:17" ht="16.2" thickBot="1">
      <c r="A16" s="1148">
        <f t="shared" si="0"/>
        <v>251</v>
      </c>
      <c r="B16" s="1157" t="s">
        <v>743</v>
      </c>
      <c r="C16" s="1155" t="s">
        <v>744</v>
      </c>
      <c r="D16" s="1158">
        <v>0</v>
      </c>
      <c r="E16" s="1158">
        <v>0</v>
      </c>
      <c r="F16" s="1158">
        <v>0</v>
      </c>
      <c r="G16" s="1158">
        <v>0</v>
      </c>
      <c r="H16" s="1158">
        <v>0</v>
      </c>
      <c r="I16" s="1158">
        <v>0</v>
      </c>
      <c r="J16" s="1158">
        <v>0</v>
      </c>
      <c r="K16" s="1158">
        <v>0</v>
      </c>
      <c r="L16" s="1158">
        <v>0</v>
      </c>
      <c r="M16" s="1158">
        <v>0</v>
      </c>
      <c r="N16" s="1158">
        <v>0</v>
      </c>
      <c r="O16" s="1158">
        <v>0</v>
      </c>
      <c r="P16" s="1159">
        <v>0</v>
      </c>
      <c r="Q16" s="1161">
        <f>AVERAGE(D16:P16)</f>
        <v>0</v>
      </c>
    </row>
    <row r="17" spans="1:17">
      <c r="A17" s="1148">
        <f t="shared" si="0"/>
        <v>252</v>
      </c>
      <c r="B17" s="381"/>
      <c r="C17" s="381"/>
      <c r="D17" s="1152"/>
      <c r="E17" s="1152"/>
      <c r="F17" s="1152"/>
      <c r="G17" s="1152"/>
      <c r="H17" s="1152"/>
      <c r="I17" s="1152"/>
      <c r="J17" s="1152"/>
      <c r="K17" s="1152"/>
      <c r="L17" s="1152"/>
      <c r="M17" s="1152"/>
      <c r="N17" s="1152"/>
      <c r="O17" s="1152"/>
      <c r="P17" s="1152"/>
      <c r="Q17" s="1153"/>
    </row>
    <row r="18" spans="1:17">
      <c r="A18" s="1148">
        <f t="shared" si="0"/>
        <v>253</v>
      </c>
      <c r="B18" s="381" t="s">
        <v>745</v>
      </c>
      <c r="C18" s="1155" t="s">
        <v>746</v>
      </c>
      <c r="D18" s="1158">
        <v>0</v>
      </c>
      <c r="E18" s="1158">
        <v>0</v>
      </c>
      <c r="F18" s="1158">
        <v>0</v>
      </c>
      <c r="G18" s="1158">
        <v>0</v>
      </c>
      <c r="H18" s="1158">
        <v>0</v>
      </c>
      <c r="I18" s="1158">
        <v>0</v>
      </c>
      <c r="J18" s="1158">
        <v>0</v>
      </c>
      <c r="K18" s="1158">
        <v>0</v>
      </c>
      <c r="L18" s="1158">
        <v>0</v>
      </c>
      <c r="M18" s="1158">
        <v>0</v>
      </c>
      <c r="N18" s="1158">
        <v>0</v>
      </c>
      <c r="O18" s="1158">
        <v>0</v>
      </c>
      <c r="P18" s="1158">
        <v>0</v>
      </c>
      <c r="Q18" s="1153">
        <f>AVERAGE(D18:P18)</f>
        <v>0</v>
      </c>
    </row>
    <row r="19" spans="1:17">
      <c r="A19" s="1148">
        <f t="shared" si="0"/>
        <v>254</v>
      </c>
      <c r="B19" s="1154" t="s">
        <v>747</v>
      </c>
      <c r="C19" s="1155" t="s">
        <v>744</v>
      </c>
      <c r="D19" s="1158">
        <v>0</v>
      </c>
      <c r="E19" s="1158">
        <v>0</v>
      </c>
      <c r="F19" s="1158">
        <v>0</v>
      </c>
      <c r="G19" s="1158">
        <v>0</v>
      </c>
      <c r="H19" s="1158">
        <v>0</v>
      </c>
      <c r="I19" s="1158">
        <v>0</v>
      </c>
      <c r="J19" s="1158">
        <v>0</v>
      </c>
      <c r="K19" s="1158">
        <v>0</v>
      </c>
      <c r="L19" s="1158">
        <v>0</v>
      </c>
      <c r="M19" s="1158">
        <v>0</v>
      </c>
      <c r="N19" s="1158">
        <v>0</v>
      </c>
      <c r="O19" s="1158">
        <v>0</v>
      </c>
      <c r="P19" s="1158">
        <v>0</v>
      </c>
      <c r="Q19" s="1153">
        <f>AVERAGE(D19:P19)</f>
        <v>0</v>
      </c>
    </row>
    <row r="20" spans="1:17">
      <c r="A20" s="1148">
        <f t="shared" si="0"/>
        <v>255</v>
      </c>
      <c r="B20" s="1162" t="s">
        <v>748</v>
      </c>
      <c r="C20" s="1155" t="s">
        <v>749</v>
      </c>
      <c r="D20" s="1158">
        <v>0</v>
      </c>
      <c r="E20" s="1158">
        <v>0</v>
      </c>
      <c r="F20" s="1158">
        <v>0</v>
      </c>
      <c r="G20" s="1158">
        <v>0</v>
      </c>
      <c r="H20" s="1158">
        <v>0</v>
      </c>
      <c r="I20" s="1158">
        <v>0</v>
      </c>
      <c r="J20" s="1158">
        <v>0</v>
      </c>
      <c r="K20" s="1158">
        <v>0</v>
      </c>
      <c r="L20" s="1158">
        <v>0</v>
      </c>
      <c r="M20" s="1158">
        <v>0</v>
      </c>
      <c r="N20" s="1158">
        <v>0</v>
      </c>
      <c r="O20" s="1158">
        <v>0</v>
      </c>
      <c r="P20" s="1158">
        <v>0</v>
      </c>
      <c r="Q20" s="1153">
        <f>AVERAGE(D20:P20)</f>
        <v>0</v>
      </c>
    </row>
    <row r="21" spans="1:17" ht="31.8" thickBot="1">
      <c r="A21" s="1148">
        <f t="shared" si="0"/>
        <v>256</v>
      </c>
      <c r="B21" s="1162" t="s">
        <v>750</v>
      </c>
      <c r="C21" s="1155" t="s">
        <v>751</v>
      </c>
      <c r="D21" s="1160">
        <v>0</v>
      </c>
      <c r="E21" s="1160">
        <v>0</v>
      </c>
      <c r="F21" s="1160">
        <v>0</v>
      </c>
      <c r="G21" s="1160">
        <v>0</v>
      </c>
      <c r="H21" s="1160">
        <v>0</v>
      </c>
      <c r="I21" s="1160">
        <v>0</v>
      </c>
      <c r="J21" s="1160">
        <v>0</v>
      </c>
      <c r="K21" s="1160">
        <v>0</v>
      </c>
      <c r="L21" s="1160">
        <v>0</v>
      </c>
      <c r="M21" s="1160">
        <v>0</v>
      </c>
      <c r="N21" s="1160">
        <v>0</v>
      </c>
      <c r="O21" s="1160">
        <v>0</v>
      </c>
      <c r="P21" s="1160">
        <v>0</v>
      </c>
      <c r="Q21" s="1185">
        <f>AVERAGE(D21:P21)</f>
        <v>0</v>
      </c>
    </row>
    <row r="22" spans="1:17" ht="16.2" thickBot="1">
      <c r="A22" s="1148">
        <f t="shared" si="0"/>
        <v>257</v>
      </c>
      <c r="B22" s="381" t="str">
        <f>"Adjusted Common Equity"</f>
        <v>Adjusted Common Equity</v>
      </c>
      <c r="C22" s="1155" t="str">
        <f>"Ln "&amp; A18&amp;" - "&amp;A19&amp;" - "&amp;A20&amp;" - "&amp;A21</f>
        <v>Ln 253 - 254 - 255 - 256</v>
      </c>
      <c r="D22" s="1152">
        <f>D18-D19-D20-D21</f>
        <v>0</v>
      </c>
      <c r="E22" s="1152">
        <f t="shared" ref="E22:Q22" si="2">E18-E19-E20-E21</f>
        <v>0</v>
      </c>
      <c r="F22" s="1152">
        <f t="shared" si="2"/>
        <v>0</v>
      </c>
      <c r="G22" s="1152">
        <f t="shared" si="2"/>
        <v>0</v>
      </c>
      <c r="H22" s="1152">
        <f t="shared" si="2"/>
        <v>0</v>
      </c>
      <c r="I22" s="1152">
        <f t="shared" si="2"/>
        <v>0</v>
      </c>
      <c r="J22" s="1152">
        <f t="shared" si="2"/>
        <v>0</v>
      </c>
      <c r="K22" s="1152">
        <f t="shared" si="2"/>
        <v>0</v>
      </c>
      <c r="L22" s="1152">
        <f t="shared" si="2"/>
        <v>0</v>
      </c>
      <c r="M22" s="1152">
        <f t="shared" si="2"/>
        <v>0</v>
      </c>
      <c r="N22" s="1152">
        <f t="shared" si="2"/>
        <v>0</v>
      </c>
      <c r="O22" s="1152">
        <f t="shared" si="2"/>
        <v>0</v>
      </c>
      <c r="P22" s="1152">
        <f t="shared" si="2"/>
        <v>0</v>
      </c>
      <c r="Q22" s="1161">
        <f t="shared" si="2"/>
        <v>0</v>
      </c>
    </row>
    <row r="23" spans="1:17">
      <c r="A23" s="1148">
        <f t="shared" si="0"/>
        <v>258</v>
      </c>
      <c r="B23" s="381"/>
      <c r="C23" s="381"/>
      <c r="D23" s="1152"/>
      <c r="E23" s="1152"/>
      <c r="F23" s="1152"/>
      <c r="G23" s="1152"/>
      <c r="H23" s="1152"/>
      <c r="I23" s="1152"/>
      <c r="J23" s="1152"/>
      <c r="K23" s="1152"/>
      <c r="L23" s="1152"/>
      <c r="M23" s="1152"/>
      <c r="N23" s="1152"/>
      <c r="O23" s="1152"/>
      <c r="P23" s="1152"/>
      <c r="Q23" s="1153"/>
    </row>
    <row r="24" spans="1:17">
      <c r="A24" s="1148">
        <f t="shared" si="0"/>
        <v>259</v>
      </c>
      <c r="B24" s="381" t="str">
        <f>"Total (Line "&amp;A14&amp;" plus Line "&amp;A16&amp;" plus Line "&amp;A22&amp;")"</f>
        <v>Total (Line 249 plus Line 251 plus Line 257)</v>
      </c>
      <c r="C24" s="381"/>
      <c r="D24" s="1152">
        <f>D14+D16+D22</f>
        <v>0</v>
      </c>
      <c r="E24" s="1152">
        <f t="shared" ref="E24:Q24" si="3">E14+E16+E22</f>
        <v>0</v>
      </c>
      <c r="F24" s="1152">
        <f t="shared" si="3"/>
        <v>0</v>
      </c>
      <c r="G24" s="1152">
        <f t="shared" si="3"/>
        <v>0</v>
      </c>
      <c r="H24" s="1152">
        <f t="shared" si="3"/>
        <v>0</v>
      </c>
      <c r="I24" s="1152">
        <f t="shared" si="3"/>
        <v>0</v>
      </c>
      <c r="J24" s="1152">
        <f t="shared" si="3"/>
        <v>0</v>
      </c>
      <c r="K24" s="1152">
        <f t="shared" si="3"/>
        <v>0</v>
      </c>
      <c r="L24" s="1152">
        <f t="shared" si="3"/>
        <v>0</v>
      </c>
      <c r="M24" s="1152">
        <f t="shared" si="3"/>
        <v>0</v>
      </c>
      <c r="N24" s="1152">
        <f t="shared" si="3"/>
        <v>0</v>
      </c>
      <c r="O24" s="1152">
        <f t="shared" si="3"/>
        <v>0</v>
      </c>
      <c r="P24" s="1152">
        <f t="shared" si="3"/>
        <v>0</v>
      </c>
      <c r="Q24" s="1153">
        <f t="shared" si="3"/>
        <v>0</v>
      </c>
    </row>
    <row r="25" spans="1:17">
      <c r="A25" s="1148">
        <f t="shared" si="0"/>
        <v>260</v>
      </c>
      <c r="B25" s="381"/>
      <c r="C25" s="381"/>
      <c r="D25" s="1152"/>
      <c r="E25" s="1152"/>
      <c r="F25" s="1152"/>
      <c r="G25" s="1152"/>
      <c r="H25" s="1152"/>
      <c r="I25" s="1152"/>
      <c r="J25" s="1152"/>
      <c r="K25" s="1152"/>
      <c r="L25" s="1152"/>
      <c r="M25" s="1152"/>
      <c r="N25" s="1152"/>
      <c r="O25" s="1152"/>
      <c r="P25" s="1152"/>
      <c r="Q25" s="1153"/>
    </row>
    <row r="26" spans="1:17">
      <c r="A26" s="1148">
        <f t="shared" si="0"/>
        <v>261</v>
      </c>
      <c r="B26" s="381" t="s">
        <v>752</v>
      </c>
      <c r="C26" s="381"/>
      <c r="D26" s="1152"/>
      <c r="E26" s="1186"/>
      <c r="F26" s="1186"/>
      <c r="G26" s="1186"/>
      <c r="H26" s="1186"/>
      <c r="I26" s="1186"/>
      <c r="J26" s="1186"/>
      <c r="K26" s="1186"/>
      <c r="L26" s="1186"/>
      <c r="M26" s="1186"/>
      <c r="N26" s="1186"/>
      <c r="O26" s="1186"/>
      <c r="P26" s="1186"/>
      <c r="Q26" s="1187"/>
    </row>
    <row r="27" spans="1:17">
      <c r="A27" s="1148">
        <f t="shared" si="0"/>
        <v>262</v>
      </c>
      <c r="B27" s="1162" t="s">
        <v>753</v>
      </c>
      <c r="C27" s="1155" t="s">
        <v>754</v>
      </c>
      <c r="D27" s="1146"/>
      <c r="E27" s="1152"/>
      <c r="F27" s="1152"/>
      <c r="G27" s="1152"/>
      <c r="H27" s="1152"/>
      <c r="I27" s="1152"/>
      <c r="J27" s="1152"/>
      <c r="K27" s="1152"/>
      <c r="L27" s="1152"/>
      <c r="M27" s="1152"/>
      <c r="N27" s="1152"/>
      <c r="O27" s="1152"/>
      <c r="P27" s="1159">
        <v>0</v>
      </c>
      <c r="Q27" s="1153"/>
    </row>
    <row r="28" spans="1:17">
      <c r="A28" s="1148">
        <f t="shared" si="0"/>
        <v>263</v>
      </c>
      <c r="B28" s="1162" t="s">
        <v>755</v>
      </c>
      <c r="C28" s="1155" t="s">
        <v>756</v>
      </c>
      <c r="D28" s="1146"/>
      <c r="E28" s="1152"/>
      <c r="F28" s="1152"/>
      <c r="G28" s="1152"/>
      <c r="H28" s="1152"/>
      <c r="I28" s="1152"/>
      <c r="J28" s="1152"/>
      <c r="K28" s="1152"/>
      <c r="L28" s="1152"/>
      <c r="M28" s="1152"/>
      <c r="N28" s="1152"/>
      <c r="O28" s="1152"/>
      <c r="P28" s="1159">
        <v>0</v>
      </c>
      <c r="Q28" s="1153"/>
    </row>
    <row r="29" spans="1:17">
      <c r="A29" s="1148">
        <f t="shared" si="0"/>
        <v>264</v>
      </c>
      <c r="B29" s="1162" t="s">
        <v>757</v>
      </c>
      <c r="C29" s="1155" t="s">
        <v>758</v>
      </c>
      <c r="D29" s="1146"/>
      <c r="E29" s="1152"/>
      <c r="F29" s="1152"/>
      <c r="G29" s="1152"/>
      <c r="H29" s="1152"/>
      <c r="I29" s="1152"/>
      <c r="J29" s="1152"/>
      <c r="K29" s="1152"/>
      <c r="L29" s="1152"/>
      <c r="M29" s="1152"/>
      <c r="N29" s="1152"/>
      <c r="O29" s="1152"/>
      <c r="P29" s="1159">
        <v>0</v>
      </c>
      <c r="Q29" s="1153"/>
    </row>
    <row r="30" spans="1:17" ht="31.2">
      <c r="A30" s="1148">
        <f t="shared" si="0"/>
        <v>265</v>
      </c>
      <c r="B30" s="1162" t="s">
        <v>759</v>
      </c>
      <c r="C30" s="1155" t="s">
        <v>760</v>
      </c>
      <c r="D30" s="1146"/>
      <c r="E30" s="1152"/>
      <c r="F30" s="1152"/>
      <c r="G30" s="1152"/>
      <c r="H30" s="1152"/>
      <c r="I30" s="1152"/>
      <c r="J30" s="1152"/>
      <c r="K30" s="1152"/>
      <c r="L30" s="1152"/>
      <c r="M30" s="1152"/>
      <c r="N30" s="1152"/>
      <c r="O30" s="1152"/>
      <c r="P30" s="1159">
        <v>0</v>
      </c>
      <c r="Q30" s="1153"/>
    </row>
    <row r="31" spans="1:17">
      <c r="A31" s="1148">
        <f t="shared" si="0"/>
        <v>266</v>
      </c>
      <c r="B31" s="1188" t="s">
        <v>761</v>
      </c>
      <c r="C31" s="1157" t="s">
        <v>762</v>
      </c>
      <c r="D31" s="1146"/>
      <c r="E31" s="1152"/>
      <c r="F31" s="1152"/>
      <c r="G31" s="1152"/>
      <c r="H31" s="1152"/>
      <c r="I31" s="1152"/>
      <c r="J31" s="1152"/>
      <c r="K31" s="1152"/>
      <c r="L31" s="1152"/>
      <c r="M31" s="1152"/>
      <c r="N31" s="1152"/>
      <c r="O31" s="1152"/>
      <c r="P31" s="1159">
        <v>0</v>
      </c>
      <c r="Q31" s="1153"/>
    </row>
    <row r="32" spans="1:17">
      <c r="A32" s="1148">
        <f t="shared" si="0"/>
        <v>267</v>
      </c>
      <c r="B32" s="1188" t="s">
        <v>763</v>
      </c>
      <c r="C32" s="1157" t="s">
        <v>764</v>
      </c>
      <c r="D32" s="1146"/>
      <c r="E32" s="1152"/>
      <c r="F32" s="1152"/>
      <c r="G32" s="1152"/>
      <c r="H32" s="1152"/>
      <c r="I32" s="1152"/>
      <c r="J32" s="1152"/>
      <c r="K32" s="1152"/>
      <c r="L32" s="1152"/>
      <c r="M32" s="1152"/>
      <c r="N32" s="1152"/>
      <c r="O32" s="1152"/>
      <c r="P32" s="1189">
        <v>0</v>
      </c>
      <c r="Q32" s="1153"/>
    </row>
    <row r="33" spans="1:17">
      <c r="A33" s="1148">
        <f>A32+1</f>
        <v>268</v>
      </c>
      <c r="B33" s="1162" t="s">
        <v>765</v>
      </c>
      <c r="C33" s="1155" t="str">
        <f>"Sum Lines "&amp;A27&amp;" - "&amp;A32</f>
        <v>Sum Lines 262 - 267</v>
      </c>
      <c r="D33" s="1152"/>
      <c r="E33" s="1152"/>
      <c r="F33" s="1152"/>
      <c r="G33" s="1152"/>
      <c r="H33" s="1152"/>
      <c r="I33" s="1152"/>
      <c r="J33" s="1152"/>
      <c r="K33" s="1152"/>
      <c r="L33" s="1152"/>
      <c r="M33" s="1152"/>
      <c r="N33" s="1152"/>
      <c r="O33" s="1152"/>
      <c r="P33" s="1152">
        <f>SUM(P27:P32)</f>
        <v>0</v>
      </c>
      <c r="Q33" s="1153"/>
    </row>
    <row r="34" spans="1:17" ht="16.2" thickBot="1">
      <c r="A34" s="1148">
        <f t="shared" si="0"/>
        <v>269</v>
      </c>
      <c r="B34" s="1154"/>
      <c r="C34" s="381"/>
      <c r="D34" s="1152"/>
      <c r="E34" s="1152"/>
      <c r="F34" s="1152"/>
      <c r="G34" s="1152"/>
      <c r="H34" s="1152"/>
      <c r="I34" s="1152"/>
      <c r="J34" s="1152"/>
      <c r="K34" s="1152"/>
      <c r="L34" s="1152"/>
      <c r="M34" s="1152"/>
      <c r="N34" s="1152"/>
      <c r="O34" s="1152"/>
      <c r="P34" s="1152"/>
      <c r="Q34" s="1153"/>
    </row>
    <row r="35" spans="1:17" ht="16.2" thickBot="1">
      <c r="A35" s="1148">
        <f t="shared" si="0"/>
        <v>270</v>
      </c>
      <c r="B35" s="1154" t="str">
        <f>"Average Cost of Debt (Line "&amp;A33&amp;" / Line "&amp;A14&amp;")"</f>
        <v>Average Cost of Debt (Line 268 / Line 249)</v>
      </c>
      <c r="C35" s="381"/>
      <c r="D35" s="1152"/>
      <c r="E35" s="1152"/>
      <c r="F35" s="1152"/>
      <c r="G35" s="1152"/>
      <c r="H35" s="1152"/>
      <c r="I35" s="1152"/>
      <c r="J35" s="1152"/>
      <c r="K35" s="1152"/>
      <c r="L35" s="1152"/>
      <c r="M35" s="1152"/>
      <c r="N35" s="1152"/>
      <c r="O35" s="1152"/>
      <c r="P35" s="1161">
        <f>IF(Q14=0,0,ROUND(P33/Q14,4))</f>
        <v>0</v>
      </c>
      <c r="Q35" s="1153"/>
    </row>
    <row r="36" spans="1:17">
      <c r="A36" s="1148">
        <f t="shared" si="0"/>
        <v>271</v>
      </c>
      <c r="B36" s="1154"/>
      <c r="C36" s="381"/>
      <c r="D36" s="1152"/>
      <c r="E36" s="1152"/>
      <c r="F36" s="1152"/>
      <c r="G36" s="1152"/>
      <c r="H36" s="1152"/>
      <c r="I36" s="1152"/>
      <c r="J36" s="1152"/>
      <c r="K36" s="1152"/>
      <c r="L36" s="1152"/>
      <c r="M36" s="1152"/>
      <c r="N36" s="1152"/>
      <c r="O36" s="1152"/>
      <c r="P36" s="1152"/>
      <c r="Q36" s="1153"/>
    </row>
    <row r="37" spans="1:17">
      <c r="A37" s="1148">
        <f t="shared" si="0"/>
        <v>272</v>
      </c>
      <c r="B37" s="381" t="s">
        <v>360</v>
      </c>
      <c r="C37" s="381"/>
      <c r="D37" s="1152"/>
      <c r="E37" s="1152"/>
      <c r="F37" s="1152"/>
      <c r="G37" s="1152"/>
      <c r="H37" s="1152"/>
      <c r="I37" s="1152"/>
      <c r="J37" s="1152"/>
      <c r="K37" s="1152"/>
      <c r="L37" s="1152"/>
      <c r="M37" s="1152"/>
      <c r="N37" s="1152"/>
      <c r="O37" s="1152"/>
      <c r="P37" s="1152"/>
      <c r="Q37" s="1153"/>
    </row>
    <row r="38" spans="1:17">
      <c r="A38" s="1148">
        <f t="shared" si="0"/>
        <v>273</v>
      </c>
      <c r="B38" s="1190" t="s">
        <v>766</v>
      </c>
      <c r="C38" s="1155" t="s">
        <v>767</v>
      </c>
      <c r="D38" s="1152"/>
      <c r="E38" s="1152"/>
      <c r="F38" s="1152"/>
      <c r="G38" s="1152"/>
      <c r="H38" s="1152"/>
      <c r="I38" s="1152"/>
      <c r="J38" s="1152"/>
      <c r="K38" s="1152"/>
      <c r="L38" s="1152"/>
      <c r="M38" s="1152"/>
      <c r="N38" s="1152"/>
      <c r="O38" s="1152"/>
      <c r="P38" s="1158"/>
      <c r="Q38" s="1153"/>
    </row>
    <row r="39" spans="1:17">
      <c r="A39" s="1148">
        <f t="shared" si="0"/>
        <v>274</v>
      </c>
      <c r="B39" s="1190"/>
      <c r="C39" s="381"/>
      <c r="D39" s="1152"/>
      <c r="E39" s="1152"/>
      <c r="F39" s="1152"/>
      <c r="G39" s="1152"/>
      <c r="H39" s="1152"/>
      <c r="I39" s="1152"/>
      <c r="J39" s="1152"/>
      <c r="K39" s="1152"/>
      <c r="L39" s="1152"/>
      <c r="M39" s="1152"/>
      <c r="N39" s="1152"/>
      <c r="O39" s="1152"/>
      <c r="P39" s="1152"/>
      <c r="Q39" s="1153"/>
    </row>
    <row r="40" spans="1:17">
      <c r="A40" s="1148">
        <f t="shared" si="0"/>
        <v>275</v>
      </c>
      <c r="B40" s="1190" t="str">
        <f>"Average Cost of Preferred Stock (Line "&amp;A38&amp;" / Line "&amp;A16&amp;")"</f>
        <v>Average Cost of Preferred Stock (Line 273 / Line 251)</v>
      </c>
      <c r="C40" s="381"/>
      <c r="D40" s="1152"/>
      <c r="E40" s="1152"/>
      <c r="F40" s="1152"/>
      <c r="G40" s="1152"/>
      <c r="H40" s="1152"/>
      <c r="I40" s="1152"/>
      <c r="J40" s="1152"/>
      <c r="K40" s="1152"/>
      <c r="L40" s="1152"/>
      <c r="M40" s="1152"/>
      <c r="N40" s="1152"/>
      <c r="O40" s="1152"/>
      <c r="P40" s="1152">
        <f>IF(P38=0,0,ROUND(P38/Q16,4))</f>
        <v>0</v>
      </c>
      <c r="Q40" s="1153"/>
    </row>
    <row r="41" spans="1:17">
      <c r="A41" s="1148"/>
      <c r="B41" s="1190"/>
      <c r="C41" s="1149"/>
      <c r="D41" s="1152"/>
      <c r="E41" s="1152"/>
      <c r="F41" s="1152"/>
      <c r="G41" s="1152"/>
      <c r="H41" s="1152"/>
      <c r="I41" s="1152"/>
      <c r="J41" s="1152"/>
      <c r="K41" s="1152"/>
      <c r="L41" s="1152"/>
      <c r="M41" s="1152"/>
      <c r="N41" s="1152"/>
      <c r="O41" s="1152"/>
      <c r="P41" s="1152"/>
      <c r="Q41" s="1153"/>
    </row>
    <row r="42" spans="1:17">
      <c r="A42" s="1148"/>
      <c r="B42" s="1523" t="s">
        <v>768</v>
      </c>
      <c r="C42" s="1523"/>
      <c r="D42" s="1523"/>
      <c r="E42" s="1523"/>
      <c r="F42" s="1523"/>
      <c r="G42" s="1523"/>
      <c r="H42" s="1152"/>
      <c r="I42" s="1152"/>
      <c r="J42" s="1152"/>
      <c r="K42" s="1152"/>
      <c r="L42" s="1152"/>
      <c r="M42" s="1152"/>
      <c r="N42" s="1152"/>
      <c r="O42" s="1152"/>
      <c r="P42" s="1152"/>
      <c r="Q42" s="1153"/>
    </row>
    <row r="43" spans="1:17">
      <c r="A43" s="1148"/>
      <c r="B43" s="694" t="s">
        <v>769</v>
      </c>
      <c r="C43" s="1149"/>
      <c r="D43" s="1152"/>
      <c r="E43" s="1152"/>
      <c r="F43" s="1152"/>
      <c r="G43" s="1152"/>
      <c r="H43" s="1152"/>
      <c r="I43" s="1152"/>
      <c r="J43" s="1152"/>
      <c r="K43" s="1152"/>
      <c r="L43" s="1152"/>
      <c r="M43" s="1152"/>
      <c r="N43" s="1152"/>
      <c r="O43" s="1152"/>
      <c r="P43" s="1152"/>
      <c r="Q43" s="1153"/>
    </row>
    <row r="44" spans="1:17" ht="16.2" thickBot="1">
      <c r="A44" s="1163"/>
      <c r="B44" s="1164"/>
      <c r="C44" s="1164"/>
      <c r="D44" s="1165"/>
      <c r="E44" s="1165"/>
      <c r="F44" s="1165"/>
      <c r="G44" s="1165"/>
      <c r="H44" s="1165"/>
      <c r="I44" s="1165"/>
      <c r="J44" s="1165"/>
      <c r="K44" s="1165"/>
      <c r="L44" s="1165"/>
      <c r="M44" s="1165"/>
      <c r="N44" s="1165"/>
      <c r="O44" s="1165"/>
      <c r="P44" s="1165"/>
      <c r="Q44" s="1166"/>
    </row>
  </sheetData>
  <mergeCells count="5">
    <mergeCell ref="A3:F3"/>
    <mergeCell ref="H3:M3"/>
    <mergeCell ref="B42:G42"/>
    <mergeCell ref="E1:J1"/>
    <mergeCell ref="E2:J2"/>
  </mergeCells>
  <pageMargins left="0.7" right="0.7" top="0.75" bottom="0.75" header="0.3" footer="0.3"/>
  <pageSetup scale="3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Q150"/>
  <sheetViews>
    <sheetView view="pageBreakPreview" topLeftCell="A108" zoomScale="73" zoomScaleNormal="100" zoomScaleSheetLayoutView="73" workbookViewId="0">
      <selection activeCell="C115" sqref="C115:C116"/>
    </sheetView>
  </sheetViews>
  <sheetFormatPr defaultRowHeight="15"/>
  <cols>
    <col min="1" max="1" width="8.90625" style="1336"/>
    <col min="2" max="2" width="23.54296875" customWidth="1"/>
    <col min="3" max="3" width="43.90625" customWidth="1"/>
    <col min="4" max="4" width="11" customWidth="1"/>
    <col min="5" max="5" width="10.90625" customWidth="1"/>
    <col min="6" max="6" width="11.36328125" customWidth="1"/>
    <col min="7" max="7" width="10.81640625" customWidth="1"/>
    <col min="8" max="8" width="11.90625" customWidth="1"/>
    <col min="9" max="9" width="13.453125" bestFit="1" customWidth="1"/>
    <col min="10" max="10" width="17.36328125" customWidth="1"/>
    <col min="11" max="11" width="17" customWidth="1"/>
    <col min="12" max="12" width="23.453125" customWidth="1"/>
    <col min="13" max="13" width="13.08984375" customWidth="1"/>
    <col min="14" max="14" width="12.453125" customWidth="1"/>
    <col min="15" max="15" width="16.1796875" customWidth="1"/>
    <col min="16" max="16" width="14.81640625" customWidth="1"/>
    <col min="17" max="17" width="14.6328125" customWidth="1"/>
  </cols>
  <sheetData>
    <row r="1" spans="1:10" ht="15.6">
      <c r="A1" s="1326"/>
      <c r="B1" s="784" t="s">
        <v>469</v>
      </c>
      <c r="C1" s="785"/>
      <c r="D1" s="785"/>
      <c r="E1" s="785"/>
      <c r="F1" s="786" t="s">
        <v>397</v>
      </c>
      <c r="G1" s="785"/>
      <c r="H1" s="785"/>
      <c r="I1" s="785"/>
      <c r="J1" s="787" t="s">
        <v>398</v>
      </c>
    </row>
    <row r="2" spans="1:10">
      <c r="A2" s="1326"/>
      <c r="B2" s="785" t="s">
        <v>508</v>
      </c>
      <c r="C2" s="785"/>
      <c r="D2" s="788" t="s">
        <v>29</v>
      </c>
      <c r="E2" s="788"/>
      <c r="F2" s="789" t="s">
        <v>590</v>
      </c>
      <c r="G2" s="788"/>
      <c r="H2" s="788"/>
      <c r="I2" s="788"/>
      <c r="J2" s="790"/>
    </row>
    <row r="3" spans="1:10">
      <c r="A3" s="1326"/>
      <c r="B3" s="791"/>
      <c r="C3" s="791"/>
      <c r="D3" s="791"/>
      <c r="E3" s="791"/>
      <c r="F3" s="791"/>
      <c r="G3" s="791"/>
      <c r="H3" s="791"/>
      <c r="I3" s="791"/>
      <c r="J3" s="791"/>
    </row>
    <row r="4" spans="1:10">
      <c r="A4" s="1326"/>
      <c r="B4" s="791" t="s">
        <v>1009</v>
      </c>
      <c r="C4" s="791"/>
      <c r="D4" s="791"/>
      <c r="E4" s="791"/>
      <c r="F4" s="791"/>
      <c r="G4" s="791"/>
      <c r="H4" s="791"/>
      <c r="I4" s="791"/>
      <c r="J4" s="791"/>
    </row>
    <row r="5" spans="1:10">
      <c r="A5" s="1326"/>
      <c r="B5" s="791" t="s">
        <v>985</v>
      </c>
      <c r="C5" s="791"/>
      <c r="D5" s="791"/>
      <c r="E5" s="791"/>
      <c r="F5" s="791"/>
      <c r="G5" s="791"/>
      <c r="H5" s="791"/>
      <c r="I5" s="791"/>
      <c r="J5" s="791"/>
    </row>
    <row r="6" spans="1:10">
      <c r="A6" s="1326"/>
      <c r="B6" s="791" t="s">
        <v>986</v>
      </c>
      <c r="C6" s="791"/>
      <c r="D6" s="791"/>
      <c r="E6" s="791"/>
      <c r="F6" s="791"/>
      <c r="G6" s="791"/>
      <c r="H6" s="791"/>
      <c r="I6" s="791"/>
      <c r="J6" s="791"/>
    </row>
    <row r="7" spans="1:10">
      <c r="A7" s="1326"/>
      <c r="B7" s="791"/>
      <c r="C7" s="791"/>
      <c r="D7" s="791"/>
      <c r="E7" s="791"/>
      <c r="F7" s="791"/>
      <c r="G7" s="791"/>
      <c r="H7" s="791"/>
      <c r="I7" s="791"/>
      <c r="J7" s="791"/>
    </row>
    <row r="8" spans="1:10" ht="15.6">
      <c r="A8" s="1326"/>
      <c r="B8" s="791"/>
      <c r="C8" s="791"/>
      <c r="D8" s="791"/>
      <c r="E8" s="791"/>
      <c r="F8" s="792" t="str">
        <f>+'1 - Revenue Credits'!A2</f>
        <v>New York Transco LLC</v>
      </c>
      <c r="G8" s="791"/>
      <c r="H8" s="791"/>
      <c r="I8" s="791"/>
      <c r="J8" s="791"/>
    </row>
    <row r="9" spans="1:10" ht="15.6">
      <c r="A9" s="1339" t="s">
        <v>497</v>
      </c>
      <c r="B9" s="791"/>
      <c r="C9" s="791"/>
      <c r="D9" s="791"/>
      <c r="E9" s="791"/>
      <c r="F9" s="792"/>
      <c r="G9" s="791"/>
      <c r="H9" s="791"/>
      <c r="I9" s="791"/>
      <c r="J9" s="791"/>
    </row>
    <row r="10" spans="1:10" ht="15.6">
      <c r="A10" s="1326"/>
      <c r="B10" s="793"/>
      <c r="C10" s="793"/>
      <c r="D10" s="793"/>
      <c r="E10" s="793"/>
      <c r="F10" s="1323" t="s">
        <v>43</v>
      </c>
      <c r="G10" s="793"/>
      <c r="H10" s="793"/>
      <c r="I10" s="793"/>
      <c r="J10" s="1322" t="s">
        <v>817</v>
      </c>
    </row>
    <row r="11" spans="1:10" ht="15.6">
      <c r="A11" s="1326">
        <v>1</v>
      </c>
      <c r="B11" s="793" t="s">
        <v>399</v>
      </c>
      <c r="C11" s="793"/>
      <c r="D11" s="793"/>
      <c r="E11" s="793"/>
      <c r="F11" s="793"/>
      <c r="G11" s="793"/>
      <c r="H11" s="793"/>
      <c r="I11" s="793"/>
      <c r="J11" s="832">
        <f>+'Appendix A'!J116</f>
        <v>133354829.82516025</v>
      </c>
    </row>
    <row r="12" spans="1:10" ht="15.6">
      <c r="A12" s="1326"/>
      <c r="B12" s="793"/>
      <c r="C12" s="793"/>
      <c r="D12" s="793"/>
      <c r="E12" s="793"/>
      <c r="F12" s="793"/>
      <c r="G12" s="793"/>
      <c r="H12" s="793"/>
      <c r="I12" s="793"/>
      <c r="J12" s="832"/>
    </row>
    <row r="13" spans="1:10" ht="15.6">
      <c r="A13" s="1327">
        <f>+A11+1</f>
        <v>2</v>
      </c>
      <c r="B13" s="796" t="s">
        <v>818</v>
      </c>
      <c r="C13" s="797"/>
      <c r="D13" s="797"/>
      <c r="E13" s="797"/>
      <c r="F13" s="797"/>
      <c r="G13" s="797"/>
      <c r="H13" s="797"/>
      <c r="I13" s="1419"/>
      <c r="J13" s="832"/>
    </row>
    <row r="14" spans="1:10" ht="15.6">
      <c r="A14" s="1327"/>
      <c r="B14" s="798"/>
      <c r="C14" s="797"/>
      <c r="D14" s="797"/>
      <c r="E14" s="797"/>
      <c r="F14" s="797"/>
      <c r="G14" s="799"/>
      <c r="H14" s="797"/>
      <c r="I14" s="797"/>
      <c r="J14" s="832"/>
    </row>
    <row r="15" spans="1:10" ht="16.2" thickBot="1">
      <c r="A15" s="1327"/>
      <c r="B15" s="798"/>
      <c r="C15" s="797"/>
      <c r="D15" s="800" t="s">
        <v>83</v>
      </c>
      <c r="E15" s="800" t="s">
        <v>92</v>
      </c>
      <c r="F15" s="797"/>
      <c r="G15" s="800" t="s">
        <v>91</v>
      </c>
      <c r="H15" s="797"/>
      <c r="I15" s="800" t="s">
        <v>93</v>
      </c>
      <c r="J15" s="832"/>
    </row>
    <row r="16" spans="1:10" ht="15.6">
      <c r="A16" s="1327">
        <f>+A13+1</f>
        <v>3</v>
      </c>
      <c r="B16" s="796" t="s">
        <v>430</v>
      </c>
      <c r="C16" s="803" t="s">
        <v>949</v>
      </c>
      <c r="D16" s="805">
        <v>0</v>
      </c>
      <c r="E16" s="1288">
        <f>+'Appendix A'!G233</f>
        <v>0.47</v>
      </c>
      <c r="F16" s="802"/>
      <c r="G16" s="1287">
        <f>+'Appendix A'!I233</f>
        <v>3.85E-2</v>
      </c>
      <c r="H16" s="803"/>
      <c r="I16" s="1289">
        <f>E16*G16</f>
        <v>1.8095E-2</v>
      </c>
      <c r="J16" s="832"/>
    </row>
    <row r="17" spans="1:10" ht="15.6">
      <c r="A17" s="1327">
        <f>+A16+1</f>
        <v>4</v>
      </c>
      <c r="B17" s="796" t="s">
        <v>431</v>
      </c>
      <c r="C17" s="803" t="s">
        <v>950</v>
      </c>
      <c r="D17" s="805">
        <v>0</v>
      </c>
      <c r="E17" s="1288">
        <f>+'Appendix A'!G234</f>
        <v>0</v>
      </c>
      <c r="F17" s="802"/>
      <c r="G17" s="1003">
        <f>+'Appendix A'!I234</f>
        <v>0</v>
      </c>
      <c r="H17" s="803"/>
      <c r="I17" s="1289">
        <f>E17*G17</f>
        <v>0</v>
      </c>
      <c r="J17" s="832"/>
    </row>
    <row r="18" spans="1:10" ht="16.2" thickBot="1">
      <c r="A18" s="1327">
        <f>+A17+1</f>
        <v>5</v>
      </c>
      <c r="B18" s="796" t="s">
        <v>507</v>
      </c>
      <c r="C18" s="803" t="s">
        <v>948</v>
      </c>
      <c r="D18" s="804">
        <v>0</v>
      </c>
      <c r="E18" s="1288">
        <f>+'Appendix A'!G235</f>
        <v>0.53</v>
      </c>
      <c r="F18" s="802"/>
      <c r="G18" s="1003">
        <f>+'Appendix A'!I235</f>
        <v>9.5000000000000001E-2</v>
      </c>
      <c r="H18" s="803"/>
      <c r="I18" s="1290">
        <f>E18*G18</f>
        <v>5.0350000000000006E-2</v>
      </c>
      <c r="J18" s="832"/>
    </row>
    <row r="19" spans="1:10" ht="15.6">
      <c r="A19" s="1327">
        <f>+A18+1</f>
        <v>6</v>
      </c>
      <c r="B19" s="798" t="s">
        <v>466</v>
      </c>
      <c r="C19" s="803"/>
      <c r="D19" s="805">
        <f>SUM(D16:D18)</f>
        <v>0</v>
      </c>
      <c r="E19" s="797" t="s">
        <v>29</v>
      </c>
      <c r="F19" s="797"/>
      <c r="G19" s="797"/>
      <c r="H19" s="797"/>
      <c r="I19" s="1289">
        <f>SUM(I16:I18)</f>
        <v>6.8445000000000006E-2</v>
      </c>
      <c r="J19" s="832"/>
    </row>
    <row r="20" spans="1:10" ht="15.6">
      <c r="A20" s="1327">
        <f t="shared" ref="A20:A32" si="0">+A19+1</f>
        <v>7</v>
      </c>
      <c r="B20" s="798" t="s">
        <v>498</v>
      </c>
      <c r="C20" s="803"/>
      <c r="D20" s="805"/>
      <c r="E20" s="797"/>
      <c r="F20" s="797"/>
      <c r="G20" s="797"/>
      <c r="H20" s="797"/>
      <c r="I20" s="802"/>
      <c r="J20" s="832">
        <f>+I19*J11</f>
        <v>9127471.3273830935</v>
      </c>
    </row>
    <row r="21" spans="1:10" ht="15.6">
      <c r="A21" s="1327"/>
      <c r="B21" s="793"/>
      <c r="C21" s="793"/>
      <c r="D21" s="793"/>
      <c r="E21" s="793"/>
      <c r="F21" s="793"/>
      <c r="G21" s="793"/>
      <c r="H21" s="793"/>
      <c r="I21" s="793"/>
      <c r="J21" s="832"/>
    </row>
    <row r="22" spans="1:10" ht="15.6">
      <c r="A22" s="1327">
        <f>+A20+1</f>
        <v>8</v>
      </c>
      <c r="B22" s="798" t="s">
        <v>75</v>
      </c>
      <c r="C22" s="806"/>
      <c r="D22" s="797"/>
      <c r="E22" s="797"/>
      <c r="F22" s="803"/>
      <c r="G22" s="807"/>
      <c r="H22" s="797"/>
      <c r="I22" s="803"/>
      <c r="J22" s="832"/>
    </row>
    <row r="23" spans="1:10" ht="15.6">
      <c r="A23" s="1327">
        <f t="shared" si="0"/>
        <v>9</v>
      </c>
      <c r="B23" s="59" t="s">
        <v>980</v>
      </c>
      <c r="C23" s="11"/>
      <c r="D23" s="528">
        <f>+'Appendix A'!E$171</f>
        <v>0.39615</v>
      </c>
      <c r="E23" s="797"/>
      <c r="F23" s="803"/>
      <c r="G23" s="807"/>
      <c r="H23" s="797"/>
      <c r="I23" s="803"/>
      <c r="J23" s="832"/>
    </row>
    <row r="24" spans="1:10" ht="15.6">
      <c r="A24" s="1327">
        <f t="shared" si="0"/>
        <v>10</v>
      </c>
      <c r="B24" s="1" t="s">
        <v>76</v>
      </c>
      <c r="C24" s="11"/>
      <c r="D24" s="528">
        <f>IF('4 - Incentives'!D23&gt;0,('4 - Incentives'!D23/(1-'4 - Incentives'!D23))*(1-'4 - Incentives'!I16/'4 - Incentives'!I19),0)</f>
        <v>0.48260113246960468</v>
      </c>
      <c r="E24" s="797"/>
      <c r="F24" s="803"/>
      <c r="G24" s="807"/>
      <c r="H24" s="797"/>
      <c r="I24" s="803"/>
      <c r="J24" s="832"/>
    </row>
    <row r="25" spans="1:10" ht="15.6">
      <c r="A25" s="1327">
        <f t="shared" si="0"/>
        <v>11</v>
      </c>
      <c r="B25" s="18" t="str">
        <f>"       where WCLTD=(line "&amp;A16&amp;") and R= (line "&amp;A19&amp;")"</f>
        <v xml:space="preserve">       where WCLTD=(line 3) and R= (line 6)</v>
      </c>
      <c r="C25" s="11"/>
      <c r="D25" s="11"/>
      <c r="E25" s="797"/>
      <c r="F25" s="803"/>
      <c r="G25" s="807"/>
      <c r="H25" s="797"/>
      <c r="I25" s="803"/>
      <c r="J25" s="832"/>
    </row>
    <row r="26" spans="1:10" ht="15.6">
      <c r="A26" s="1327">
        <f t="shared" si="0"/>
        <v>12</v>
      </c>
      <c r="B26" s="18" t="str">
        <f>"       and FIT, SIT &amp; p are as given in footnote "&amp;'Appendix A'!$A$286&amp;" on Appendix A."</f>
        <v xml:space="preserve">       and FIT, SIT &amp; p are as given in footnote F on Appendix A.</v>
      </c>
      <c r="C26" s="11"/>
      <c r="D26" s="11"/>
      <c r="E26" s="797"/>
      <c r="F26" s="803"/>
      <c r="G26" s="807"/>
      <c r="H26" s="797"/>
      <c r="I26" s="803"/>
      <c r="J26" s="832"/>
    </row>
    <row r="27" spans="1:10" ht="15.6">
      <c r="A27" s="1327">
        <f t="shared" si="0"/>
        <v>13</v>
      </c>
      <c r="B27" s="59" t="str">
        <f>"      1 / (1 - T)  = (T from line "&amp;A23&amp;")"</f>
        <v xml:space="preserve">      1 / (1 - T)  = (T from line 9)</v>
      </c>
      <c r="C27" s="11"/>
      <c r="D27" s="528">
        <f>IF(D23&gt;0,1/(1-D23),0)</f>
        <v>1.6560404073859403</v>
      </c>
      <c r="E27" s="797"/>
      <c r="F27" s="803"/>
      <c r="G27" s="807"/>
      <c r="H27" s="797"/>
      <c r="I27" s="803"/>
      <c r="J27" s="832"/>
    </row>
    <row r="28" spans="1:10" ht="15.6">
      <c r="A28" s="1327">
        <f t="shared" si="0"/>
        <v>14</v>
      </c>
      <c r="B28" s="18" t="s">
        <v>77</v>
      </c>
      <c r="C28" s="11"/>
      <c r="D28" s="1005">
        <v>0</v>
      </c>
      <c r="E28" s="797"/>
      <c r="F28" s="803"/>
      <c r="G28" s="807"/>
      <c r="H28" s="797"/>
      <c r="I28" s="803"/>
      <c r="J28" s="832"/>
    </row>
    <row r="29" spans="1:10" ht="15.6">
      <c r="A29" s="1327"/>
      <c r="B29" s="18"/>
      <c r="C29" s="11"/>
      <c r="D29" s="186"/>
      <c r="E29" s="797"/>
      <c r="F29" s="803"/>
      <c r="G29" s="808"/>
      <c r="H29" s="797"/>
      <c r="I29" s="803"/>
      <c r="J29" s="832"/>
    </row>
    <row r="30" spans="1:10" ht="15.6">
      <c r="A30" s="1327">
        <f>+A28+1</f>
        <v>15</v>
      </c>
      <c r="B30" s="59" t="str">
        <f>"Income Tax Calculation = line "&amp;A24&amp;" * line "&amp;A20&amp; " * (1-n)"</f>
        <v>Income Tax Calculation = line 10 * line 7 * (1-n)</v>
      </c>
      <c r="C30" s="60"/>
      <c r="D30" s="186">
        <f>+D24*J20*(1-'Appendix A'!$E$295)</f>
        <v>4404927.9991789265</v>
      </c>
      <c r="E30" s="797"/>
      <c r="F30" s="810"/>
      <c r="G30" s="811"/>
      <c r="H30" s="810"/>
      <c r="J30" s="186">
        <f>+D30</f>
        <v>4404927.9991789265</v>
      </c>
    </row>
    <row r="31" spans="1:10" ht="15.6">
      <c r="A31" s="1327">
        <f t="shared" si="0"/>
        <v>16</v>
      </c>
      <c r="B31" s="520" t="str">
        <f>"ITC adjustment (line "&amp;A27&amp;" * line "&amp;A28&amp;")  * (1-n)"</f>
        <v>ITC adjustment (line 13 * line 14)  * (1-n)</v>
      </c>
      <c r="C31" s="521"/>
      <c r="D31" s="516">
        <f>+D27*D28*(1-'Appendix A'!E295)</f>
        <v>0</v>
      </c>
      <c r="E31" s="810"/>
      <c r="F31" s="813" t="s">
        <v>60</v>
      </c>
      <c r="G31" s="795">
        <f>+'Appendix A'!H97</f>
        <v>1</v>
      </c>
      <c r="H31" s="810"/>
      <c r="J31" s="1324">
        <f>G31*D31</f>
        <v>0</v>
      </c>
    </row>
    <row r="32" spans="1:10" ht="15.6">
      <c r="A32" s="1327">
        <f t="shared" si="0"/>
        <v>17</v>
      </c>
      <c r="B32" s="61" t="s">
        <v>78</v>
      </c>
      <c r="C32" s="1" t="str">
        <f>"(line "&amp;A30&amp;" plus line "&amp;A31&amp;")"</f>
        <v>(line 15 plus line 16)</v>
      </c>
      <c r="D32" s="196">
        <f>+D31+D30</f>
        <v>4404927.9991789265</v>
      </c>
      <c r="E32" s="810"/>
      <c r="J32" s="832">
        <f>+J30+J31</f>
        <v>4404927.9991789265</v>
      </c>
    </row>
    <row r="33" spans="1:14" ht="15.6">
      <c r="A33" s="1327"/>
      <c r="B33" s="801"/>
      <c r="C33" s="809"/>
      <c r="D33" s="812"/>
      <c r="E33" s="810"/>
      <c r="F33" s="813"/>
      <c r="G33" s="795"/>
      <c r="H33" s="810"/>
      <c r="I33" s="812"/>
      <c r="J33" s="832"/>
    </row>
    <row r="34" spans="1:14" ht="15.6">
      <c r="A34" s="1327"/>
      <c r="B34" s="793"/>
      <c r="C34" s="793"/>
      <c r="D34" s="793"/>
      <c r="E34" s="793"/>
      <c r="F34" s="793"/>
      <c r="G34" s="793"/>
      <c r="H34" s="793"/>
      <c r="I34" s="793"/>
      <c r="J34" s="832"/>
      <c r="K34" s="793"/>
      <c r="L34" s="793"/>
      <c r="M34" s="793"/>
      <c r="N34" s="793"/>
    </row>
    <row r="35" spans="1:14" ht="15.6">
      <c r="A35" s="1327">
        <f>+A32+1</f>
        <v>18</v>
      </c>
      <c r="B35" s="801" t="s">
        <v>499</v>
      </c>
      <c r="C35" s="793"/>
      <c r="D35" s="793"/>
      <c r="E35" s="793" t="s">
        <v>819</v>
      </c>
      <c r="F35" s="793"/>
      <c r="G35" s="793"/>
      <c r="H35" s="793"/>
      <c r="I35" s="793"/>
      <c r="J35" s="832">
        <f>+J32+J20</f>
        <v>13532399.326562021</v>
      </c>
      <c r="K35" s="793"/>
      <c r="L35" s="793"/>
      <c r="M35" s="793"/>
      <c r="N35" s="793"/>
    </row>
    <row r="36" spans="1:14" ht="15.6">
      <c r="A36" s="1328">
        <f>+A35+1</f>
        <v>19</v>
      </c>
      <c r="B36" s="793" t="s">
        <v>399</v>
      </c>
      <c r="C36" s="793"/>
      <c r="D36" s="793"/>
      <c r="E36" s="793" t="s">
        <v>495</v>
      </c>
      <c r="F36" s="793"/>
      <c r="G36" s="793"/>
      <c r="H36" s="793"/>
      <c r="I36" s="793"/>
      <c r="J36" s="808">
        <f>+J11</f>
        <v>133354829.82516025</v>
      </c>
      <c r="K36" s="793"/>
      <c r="L36" s="793"/>
      <c r="M36" s="793"/>
      <c r="N36" s="793"/>
    </row>
    <row r="37" spans="1:14" ht="15.6">
      <c r="A37" s="1328">
        <f>+A36+1</f>
        <v>20</v>
      </c>
      <c r="B37" s="793" t="s">
        <v>496</v>
      </c>
      <c r="C37" s="793"/>
      <c r="D37" s="793"/>
      <c r="E37" s="793" t="s">
        <v>820</v>
      </c>
      <c r="F37" s="793"/>
      <c r="G37" s="793"/>
      <c r="H37" s="793"/>
      <c r="I37" s="793"/>
      <c r="J37" s="964">
        <f>IF(J36=0,0,J35/J36)</f>
        <v>0.1014766345118821</v>
      </c>
      <c r="K37" s="793"/>
      <c r="L37" s="793"/>
      <c r="M37" s="793"/>
      <c r="N37" s="793"/>
    </row>
    <row r="38" spans="1:14" ht="15.6">
      <c r="A38" s="1328"/>
      <c r="B38" s="801"/>
      <c r="C38" s="793"/>
      <c r="D38" s="793"/>
      <c r="E38" s="793"/>
      <c r="F38" s="793"/>
      <c r="G38" s="793"/>
      <c r="H38" s="793"/>
      <c r="I38" s="793"/>
      <c r="J38" s="832"/>
      <c r="K38" s="793"/>
      <c r="L38" s="793"/>
      <c r="M38" s="793"/>
      <c r="N38" s="793"/>
    </row>
    <row r="39" spans="1:14" ht="15.6">
      <c r="A39" s="1329"/>
      <c r="B39" s="793"/>
      <c r="C39" s="793"/>
      <c r="D39" s="793"/>
      <c r="E39" s="793"/>
      <c r="F39" s="793"/>
      <c r="G39" s="793"/>
      <c r="H39" s="793"/>
      <c r="I39" s="793"/>
      <c r="J39" s="793"/>
      <c r="K39" s="793"/>
      <c r="L39" s="793"/>
      <c r="M39" s="793"/>
      <c r="N39" s="793"/>
    </row>
    <row r="40" spans="1:14" ht="15.6">
      <c r="A40" s="1338" t="s">
        <v>922</v>
      </c>
      <c r="B40" s="173"/>
      <c r="C40" s="936"/>
      <c r="D40" s="793"/>
      <c r="E40" s="793"/>
      <c r="F40" s="793"/>
      <c r="G40" s="793"/>
      <c r="H40" s="793"/>
      <c r="I40" s="793"/>
      <c r="J40" s="785" t="str">
        <f>+B2</f>
        <v>Attachment 4</v>
      </c>
      <c r="K40" s="793"/>
      <c r="L40" s="793"/>
      <c r="M40" s="793"/>
      <c r="N40" s="793"/>
    </row>
    <row r="41" spans="1:14" ht="15.6">
      <c r="A41" s="1330"/>
      <c r="B41" s="173"/>
      <c r="C41" s="936"/>
      <c r="D41" s="793"/>
      <c r="E41" s="793"/>
      <c r="F41" s="793"/>
      <c r="G41" s="793"/>
      <c r="H41" s="793"/>
      <c r="I41" s="793"/>
      <c r="J41" s="785"/>
      <c r="K41" s="793"/>
      <c r="L41" s="793"/>
      <c r="M41" s="793"/>
      <c r="N41" s="793"/>
    </row>
    <row r="42" spans="1:14" ht="15.6">
      <c r="A42" s="1328"/>
      <c r="B42" s="801"/>
      <c r="C42" s="936"/>
      <c r="D42" s="793"/>
      <c r="E42" s="793"/>
      <c r="F42" s="793"/>
      <c r="G42" s="793"/>
      <c r="H42" s="793"/>
      <c r="I42" s="793"/>
      <c r="J42" s="1322" t="s">
        <v>817</v>
      </c>
      <c r="K42" s="793"/>
      <c r="L42" s="793"/>
      <c r="M42" s="793"/>
      <c r="N42" s="793"/>
    </row>
    <row r="43" spans="1:14" ht="15.6">
      <c r="A43" s="1331">
        <f>+A37+1</f>
        <v>21</v>
      </c>
      <c r="B43" s="936" t="s">
        <v>399</v>
      </c>
      <c r="C43" s="936"/>
      <c r="D43" s="793"/>
      <c r="E43" s="793"/>
      <c r="F43" s="793"/>
      <c r="G43" s="793"/>
      <c r="H43" s="793"/>
      <c r="I43" s="793"/>
      <c r="J43" s="795">
        <f>+J11</f>
        <v>133354829.82516025</v>
      </c>
      <c r="K43" s="793"/>
      <c r="L43" s="793"/>
      <c r="M43" s="793"/>
      <c r="N43" s="793"/>
    </row>
    <row r="44" spans="1:14" ht="15.6">
      <c r="A44" s="1331"/>
      <c r="B44" s="936"/>
      <c r="C44" s="936"/>
      <c r="D44" s="793"/>
      <c r="E44" s="793"/>
      <c r="F44" s="793"/>
      <c r="G44" s="793"/>
      <c r="H44" s="793"/>
      <c r="I44" s="793"/>
      <c r="J44" s="794"/>
      <c r="K44" s="793"/>
      <c r="L44" s="793"/>
      <c r="M44" s="793"/>
      <c r="N44" s="793"/>
    </row>
    <row r="45" spans="1:14" ht="15.6">
      <c r="A45" s="1328">
        <f>+A43+1</f>
        <v>22</v>
      </c>
      <c r="B45" s="937" t="s">
        <v>923</v>
      </c>
      <c r="C45" s="806"/>
      <c r="D45" s="797"/>
      <c r="E45" s="797"/>
      <c r="F45" s="797"/>
      <c r="G45" s="797"/>
      <c r="H45" s="797"/>
      <c r="I45" s="1419"/>
      <c r="J45" s="794"/>
      <c r="K45" s="793"/>
      <c r="L45" s="793"/>
      <c r="M45" s="793"/>
      <c r="N45" s="793"/>
    </row>
    <row r="46" spans="1:14" ht="15.6">
      <c r="A46" s="1328"/>
      <c r="B46" s="938"/>
      <c r="C46" s="806"/>
      <c r="D46" s="797"/>
      <c r="E46" s="797"/>
      <c r="F46" s="797"/>
      <c r="G46" s="799"/>
      <c r="H46" s="797"/>
      <c r="I46" s="797"/>
      <c r="J46" s="794"/>
      <c r="K46" s="793"/>
      <c r="L46" s="793"/>
      <c r="M46" s="793"/>
      <c r="N46" s="793"/>
    </row>
    <row r="47" spans="1:14" ht="16.2" thickBot="1">
      <c r="A47" s="1328"/>
      <c r="B47" s="938"/>
      <c r="C47" s="806"/>
      <c r="D47" s="800" t="s">
        <v>83</v>
      </c>
      <c r="E47" s="800" t="s">
        <v>92</v>
      </c>
      <c r="F47" s="797"/>
      <c r="G47" s="800" t="s">
        <v>91</v>
      </c>
      <c r="H47" s="797"/>
      <c r="I47" s="800" t="s">
        <v>93</v>
      </c>
      <c r="J47" s="794"/>
      <c r="K47" s="793"/>
      <c r="L47" s="793"/>
      <c r="M47" s="793"/>
      <c r="N47" s="793"/>
    </row>
    <row r="48" spans="1:14" ht="15.6">
      <c r="A48" s="1328">
        <f>+A45+1</f>
        <v>23</v>
      </c>
      <c r="B48" s="937" t="s">
        <v>430</v>
      </c>
      <c r="C48" s="801" t="s">
        <v>951</v>
      </c>
      <c r="D48" s="805">
        <v>0</v>
      </c>
      <c r="E48" s="1288">
        <f>+E16</f>
        <v>0.47</v>
      </c>
      <c r="F48" s="795"/>
      <c r="G48" s="1287">
        <f>G16</f>
        <v>3.85E-2</v>
      </c>
      <c r="H48" s="795"/>
      <c r="I48" s="1291">
        <f>E48*G48</f>
        <v>1.8095E-2</v>
      </c>
      <c r="J48" s="794"/>
      <c r="K48" s="793"/>
      <c r="L48" s="793"/>
      <c r="M48" s="793"/>
      <c r="N48" s="793"/>
    </row>
    <row r="49" spans="1:14" ht="15.6">
      <c r="A49" s="1328">
        <f>+A48+1</f>
        <v>24</v>
      </c>
      <c r="B49" s="937" t="s">
        <v>431</v>
      </c>
      <c r="C49" s="801" t="s">
        <v>952</v>
      </c>
      <c r="D49" s="805">
        <v>0</v>
      </c>
      <c r="E49" s="1288">
        <f>+E17</f>
        <v>0</v>
      </c>
      <c r="F49" s="795"/>
      <c r="G49" s="1416">
        <f>+G17</f>
        <v>0</v>
      </c>
      <c r="H49" s="795"/>
      <c r="I49" s="1291">
        <f>E49*G49</f>
        <v>0</v>
      </c>
      <c r="J49" s="794"/>
      <c r="K49" s="793"/>
      <c r="L49" s="793"/>
      <c r="M49" s="793"/>
      <c r="N49" s="793"/>
    </row>
    <row r="50" spans="1:14" ht="16.2" thickBot="1">
      <c r="A50" s="1328">
        <f>+A49+1</f>
        <v>25</v>
      </c>
      <c r="B50" s="937" t="s">
        <v>953</v>
      </c>
      <c r="C50" s="801" t="s">
        <v>954</v>
      </c>
      <c r="D50" s="804">
        <v>0</v>
      </c>
      <c r="E50" s="1288">
        <f>+E18</f>
        <v>0.53</v>
      </c>
      <c r="F50" s="795"/>
      <c r="G50" s="1003">
        <f>G18+0.01</f>
        <v>0.105</v>
      </c>
      <c r="H50" s="795"/>
      <c r="I50" s="1292">
        <f>E50*G50</f>
        <v>5.5649999999999998E-2</v>
      </c>
      <c r="J50" s="794"/>
      <c r="K50" s="1018"/>
      <c r="L50" s="793"/>
      <c r="M50" s="793"/>
      <c r="N50" s="793"/>
    </row>
    <row r="51" spans="1:14" ht="15.6">
      <c r="A51" s="1328">
        <f>+A50+1</f>
        <v>26</v>
      </c>
      <c r="B51" s="938" t="s">
        <v>781</v>
      </c>
      <c r="C51" s="801"/>
      <c r="D51" s="805">
        <f>SUM(D48:D50)</f>
        <v>0</v>
      </c>
      <c r="E51" s="795" t="s">
        <v>29</v>
      </c>
      <c r="F51" s="795"/>
      <c r="G51" s="795"/>
      <c r="H51" s="795"/>
      <c r="I51" s="1291">
        <f>SUM(I48:I50)</f>
        <v>7.3745000000000005E-2</v>
      </c>
      <c r="J51" s="794"/>
      <c r="K51" s="793"/>
      <c r="L51" s="793"/>
      <c r="M51" s="793"/>
      <c r="N51" s="793"/>
    </row>
    <row r="52" spans="1:14" ht="15.6">
      <c r="A52" s="1328">
        <f t="shared" ref="A52:A64" si="1">+A51+1</f>
        <v>27</v>
      </c>
      <c r="B52" s="938" t="s">
        <v>823</v>
      </c>
      <c r="C52" s="801"/>
      <c r="D52" s="805"/>
      <c r="E52" s="797"/>
      <c r="F52" s="797"/>
      <c r="G52" s="797"/>
      <c r="H52" s="797"/>
      <c r="I52" s="802"/>
      <c r="J52" s="795">
        <f>+I51*J43</f>
        <v>9834251.9254564438</v>
      </c>
      <c r="K52" s="793"/>
      <c r="L52" s="793"/>
      <c r="M52" s="793"/>
      <c r="N52" s="793"/>
    </row>
    <row r="53" spans="1:14" ht="15.6">
      <c r="A53" s="1328"/>
      <c r="B53" s="936"/>
      <c r="C53" s="936"/>
      <c r="D53" s="793"/>
      <c r="E53" s="793"/>
      <c r="F53" s="793"/>
      <c r="G53" s="793"/>
      <c r="H53" s="793"/>
      <c r="I53" s="793"/>
      <c r="J53" s="794"/>
      <c r="K53" s="793"/>
      <c r="L53" s="793"/>
      <c r="M53" s="793"/>
      <c r="N53" s="793"/>
    </row>
    <row r="54" spans="1:14" ht="15.6">
      <c r="A54" s="1328">
        <f>+A52+1</f>
        <v>28</v>
      </c>
      <c r="B54" s="938" t="s">
        <v>75</v>
      </c>
      <c r="C54" s="806"/>
      <c r="D54" s="797"/>
      <c r="E54" s="797"/>
      <c r="F54" s="803"/>
      <c r="G54" s="807"/>
      <c r="H54" s="797"/>
      <c r="I54" s="803"/>
      <c r="J54" s="794"/>
      <c r="K54" s="793"/>
      <c r="L54" s="793"/>
      <c r="M54" s="793"/>
      <c r="N54" s="793"/>
    </row>
    <row r="55" spans="1:14" ht="15.6">
      <c r="A55" s="1328">
        <f t="shared" si="1"/>
        <v>29</v>
      </c>
      <c r="B55" s="59" t="s">
        <v>980</v>
      </c>
      <c r="C55" s="19"/>
      <c r="D55" s="528">
        <f>+'Appendix A'!E$171</f>
        <v>0.39615</v>
      </c>
      <c r="E55" s="797"/>
      <c r="F55" s="803"/>
      <c r="G55" s="807"/>
      <c r="H55" s="797"/>
      <c r="I55" s="803"/>
      <c r="J55" s="794"/>
    </row>
    <row r="56" spans="1:14" ht="15.6">
      <c r="A56" s="1328">
        <f t="shared" si="1"/>
        <v>30</v>
      </c>
      <c r="B56" s="69" t="s">
        <v>76</v>
      </c>
      <c r="C56" s="19"/>
      <c r="D56" s="528">
        <f>IF('4 - Incentives'!D55&gt;0,('4 - Incentives'!D55/(1-'4 - Incentives'!D55))*(1-'4 - Incentives'!I48/'4 - Incentives'!I51),0)</f>
        <v>0.49506608815550313</v>
      </c>
      <c r="E56" s="797"/>
      <c r="F56" s="803"/>
      <c r="G56" s="807"/>
      <c r="H56" s="797"/>
      <c r="I56" s="803"/>
      <c r="J56" s="794"/>
    </row>
    <row r="57" spans="1:14" ht="15.6">
      <c r="A57" s="1328">
        <f t="shared" si="1"/>
        <v>31</v>
      </c>
      <c r="B57" s="54" t="str">
        <f>"       where WCLTD=(line "&amp;A48&amp;") and R= (line "&amp;A51&amp;")"</f>
        <v xml:space="preserve">       where WCLTD=(line 23) and R= (line 26)</v>
      </c>
      <c r="C57" s="19"/>
      <c r="E57" s="797"/>
      <c r="F57" s="803"/>
      <c r="G57" s="807"/>
      <c r="H57" s="797"/>
      <c r="I57" s="803"/>
      <c r="J57" s="794"/>
    </row>
    <row r="58" spans="1:14" ht="15.6">
      <c r="A58" s="1328">
        <f t="shared" si="1"/>
        <v>32</v>
      </c>
      <c r="B58" s="18" t="str">
        <f>"       and FIT, SIT &amp; p are as given in footnote "&amp;'Appendix A'!$A$286&amp;" on Appendix A."</f>
        <v xml:space="preserve">       and FIT, SIT &amp; p are as given in footnote F on Appendix A.</v>
      </c>
      <c r="C58" s="19"/>
      <c r="D58" s="11"/>
      <c r="E58" s="797"/>
      <c r="F58" s="803"/>
      <c r="G58" s="807"/>
      <c r="H58" s="797"/>
      <c r="I58" s="803"/>
      <c r="J58" s="794"/>
    </row>
    <row r="59" spans="1:14" ht="15.6">
      <c r="A59" s="1328">
        <f t="shared" si="1"/>
        <v>33</v>
      </c>
      <c r="B59" s="939" t="str">
        <f>"      1 / (1 - T)  = (T from line "&amp;A55&amp;")"</f>
        <v xml:space="preserve">      1 / (1 - T)  = (T from line 29)</v>
      </c>
      <c r="C59" s="19"/>
      <c r="D59" s="528">
        <f>IF(D55&gt;0,1/(1-D55),0)</f>
        <v>1.6560404073859403</v>
      </c>
      <c r="E59" s="797"/>
      <c r="F59" s="803"/>
      <c r="G59" s="807"/>
      <c r="H59" s="797"/>
      <c r="I59" s="803"/>
      <c r="J59" s="794"/>
    </row>
    <row r="60" spans="1:14" ht="15.6">
      <c r="A60" s="1328">
        <f t="shared" si="1"/>
        <v>34</v>
      </c>
      <c r="B60" s="18" t="s">
        <v>981</v>
      </c>
      <c r="C60" s="19"/>
      <c r="D60" s="113">
        <f>D28</f>
        <v>0</v>
      </c>
      <c r="E60" s="797"/>
      <c r="F60" s="803"/>
      <c r="G60" s="807"/>
      <c r="H60" s="797"/>
      <c r="I60" s="803"/>
      <c r="J60" s="794"/>
    </row>
    <row r="61" spans="1:14" ht="15.6">
      <c r="A61" s="1328"/>
      <c r="B61" s="54"/>
      <c r="C61" s="19"/>
      <c r="D61" s="186"/>
      <c r="E61" s="797"/>
      <c r="F61" s="803"/>
      <c r="G61" s="808"/>
      <c r="H61" s="797"/>
      <c r="I61" s="803"/>
      <c r="J61" s="794"/>
    </row>
    <row r="62" spans="1:14" ht="15.6">
      <c r="A62" s="1328">
        <f>+A60+1</f>
        <v>35</v>
      </c>
      <c r="B62" s="59" t="str">
        <f>"Income Tax Calculation = line "&amp;A56&amp;" * line "&amp;A52&amp; " * (1-n)"</f>
        <v>Income Tax Calculation = line 30 * line 27 * (1-n)</v>
      </c>
      <c r="C62" s="60"/>
      <c r="D62" s="186">
        <f>+D56*J52*(1-'Appendix A'!$E$295)</f>
        <v>4868604.6306714462</v>
      </c>
      <c r="E62" s="797"/>
      <c r="F62" s="810"/>
      <c r="G62" s="811"/>
      <c r="H62" s="810"/>
      <c r="J62" s="186">
        <f>+D62</f>
        <v>4868604.6306714462</v>
      </c>
    </row>
    <row r="63" spans="1:14" ht="15.6">
      <c r="A63" s="1328">
        <f t="shared" si="1"/>
        <v>36</v>
      </c>
      <c r="B63" s="520" t="str">
        <f>"ITC adjustment (line "&amp;A59&amp;" * line "&amp;A60&amp;")  * (1-n)"</f>
        <v>ITC adjustment (line 33 * line 34)  * (1-n)</v>
      </c>
      <c r="C63" s="521"/>
      <c r="D63" s="516">
        <f>+D59*D60*(1-'Appendix A'!E295)</f>
        <v>0</v>
      </c>
      <c r="E63" s="810"/>
      <c r="F63" s="813" t="s">
        <v>60</v>
      </c>
      <c r="G63" s="795">
        <f>+'Appendix A'!H97</f>
        <v>1</v>
      </c>
      <c r="H63" s="810"/>
      <c r="J63" s="1324">
        <f>G63*D63</f>
        <v>0</v>
      </c>
    </row>
    <row r="64" spans="1:14" ht="15.6">
      <c r="A64" s="1328">
        <f t="shared" si="1"/>
        <v>37</v>
      </c>
      <c r="B64" s="61" t="s">
        <v>78</v>
      </c>
      <c r="C64" s="1" t="str">
        <f>"(line "&amp;A62&amp;" plus line "&amp;A63&amp;")"</f>
        <v>(line 35 plus line 36)</v>
      </c>
      <c r="D64" s="196">
        <f>+D63+D62</f>
        <v>4868604.6306714462</v>
      </c>
      <c r="E64" s="810"/>
      <c r="J64" s="832">
        <f>+J62+J63</f>
        <v>4868604.6306714462</v>
      </c>
    </row>
    <row r="65" spans="1:10" ht="15.6">
      <c r="A65" s="1332"/>
      <c r="B65" s="829"/>
      <c r="C65" s="827"/>
      <c r="D65" s="830"/>
      <c r="E65" s="828"/>
      <c r="F65" s="828"/>
      <c r="G65" s="831"/>
      <c r="H65" s="828"/>
      <c r="I65" s="830"/>
      <c r="J65" s="812"/>
    </row>
    <row r="66" spans="1:10" ht="15.6">
      <c r="A66" s="1328"/>
      <c r="B66" s="936"/>
      <c r="C66" s="936"/>
      <c r="D66" s="793"/>
      <c r="E66" s="793"/>
      <c r="F66" s="793"/>
      <c r="G66" s="793"/>
      <c r="H66" s="793"/>
      <c r="I66" s="793"/>
      <c r="J66" s="794"/>
    </row>
    <row r="67" spans="1:10" ht="15.6">
      <c r="A67" s="1328">
        <f>+A64+1</f>
        <v>38</v>
      </c>
      <c r="B67" s="801" t="s">
        <v>782</v>
      </c>
      <c r="C67" s="936"/>
      <c r="D67" s="793"/>
      <c r="E67" s="793" t="s">
        <v>822</v>
      </c>
      <c r="F67" s="793"/>
      <c r="G67" s="793"/>
      <c r="H67" s="793"/>
      <c r="I67" s="793"/>
      <c r="J67" s="832">
        <f>+J64+J52</f>
        <v>14702856.556127891</v>
      </c>
    </row>
    <row r="68" spans="1:10" ht="15.6">
      <c r="A68" s="1328">
        <f>+A67+1</f>
        <v>39</v>
      </c>
      <c r="B68" s="793" t="s">
        <v>399</v>
      </c>
      <c r="C68" s="793"/>
      <c r="D68" s="793"/>
      <c r="E68" s="793" t="s">
        <v>821</v>
      </c>
      <c r="F68" s="793"/>
      <c r="G68" s="793"/>
      <c r="H68" s="793"/>
      <c r="I68" s="793"/>
      <c r="J68" s="808">
        <f>+J43</f>
        <v>133354829.82516025</v>
      </c>
    </row>
    <row r="69" spans="1:10" ht="15.6">
      <c r="A69" s="1328">
        <f>+A68+1</f>
        <v>40</v>
      </c>
      <c r="B69" s="793" t="s">
        <v>783</v>
      </c>
      <c r="C69" s="793"/>
      <c r="D69" s="793"/>
      <c r="E69" s="793" t="s">
        <v>824</v>
      </c>
      <c r="F69" s="793"/>
      <c r="G69" s="793"/>
      <c r="H69" s="793"/>
      <c r="I69" s="793"/>
      <c r="J69" s="964">
        <f>IF(J68=0,0,J67/J68)</f>
        <v>0.1102536486710276</v>
      </c>
    </row>
    <row r="70" spans="1:10" ht="15.6">
      <c r="A70" s="1328">
        <f>+A69+1</f>
        <v>41</v>
      </c>
      <c r="B70" s="936" t="s">
        <v>784</v>
      </c>
      <c r="C70" s="936"/>
      <c r="D70" s="793"/>
      <c r="E70" s="793" t="s">
        <v>967</v>
      </c>
      <c r="F70" s="793"/>
      <c r="G70" s="793"/>
      <c r="H70" s="793"/>
      <c r="I70" s="793"/>
      <c r="J70" s="964">
        <f>+J69-J37</f>
        <v>8.777014159145502E-3</v>
      </c>
    </row>
    <row r="71" spans="1:10">
      <c r="A71" s="1333"/>
      <c r="B71" s="1272"/>
      <c r="C71" s="1272"/>
      <c r="D71" s="1273"/>
    </row>
    <row r="72" spans="1:10">
      <c r="A72" s="1333"/>
      <c r="B72" s="1272"/>
      <c r="C72" s="1272"/>
      <c r="D72" s="1273"/>
    </row>
    <row r="73" spans="1:10" ht="15.6">
      <c r="A73" s="1338" t="s">
        <v>794</v>
      </c>
      <c r="B73" s="173"/>
      <c r="C73" s="936"/>
      <c r="D73" s="793"/>
      <c r="E73" s="793"/>
      <c r="F73" s="793"/>
      <c r="G73" s="793"/>
      <c r="H73" s="793"/>
      <c r="I73" s="793"/>
      <c r="J73" s="1286"/>
    </row>
    <row r="74" spans="1:10" ht="15.6">
      <c r="A74" s="1330"/>
      <c r="B74" s="173"/>
      <c r="C74" s="936"/>
      <c r="D74" s="793"/>
      <c r="E74" s="793"/>
      <c r="F74" s="793"/>
      <c r="G74" s="793"/>
      <c r="H74" s="793"/>
      <c r="I74" s="793"/>
      <c r="J74" s="1325" t="s">
        <v>825</v>
      </c>
    </row>
    <row r="75" spans="1:10" ht="15.6">
      <c r="A75" s="1328"/>
      <c r="B75" s="801"/>
      <c r="C75" s="936"/>
      <c r="D75" s="793"/>
      <c r="E75" s="793"/>
      <c r="F75" s="793"/>
      <c r="G75" s="793"/>
      <c r="H75" s="793"/>
      <c r="I75" s="793"/>
      <c r="J75" s="793"/>
    </row>
    <row r="76" spans="1:10" ht="15.6">
      <c r="A76" s="1331">
        <f>+A70+1</f>
        <v>42</v>
      </c>
      <c r="B76" s="936" t="s">
        <v>399</v>
      </c>
      <c r="C76" s="936"/>
      <c r="D76" s="793"/>
      <c r="E76" s="793"/>
      <c r="F76" s="793"/>
      <c r="G76" s="793"/>
      <c r="H76" s="793"/>
      <c r="I76" s="793"/>
      <c r="J76" s="832">
        <f>+J43</f>
        <v>133354829.82516025</v>
      </c>
    </row>
    <row r="77" spans="1:10" ht="15.6">
      <c r="A77" s="1331"/>
      <c r="B77" s="936"/>
      <c r="C77" s="936"/>
      <c r="D77" s="793"/>
      <c r="E77" s="793"/>
      <c r="F77" s="793"/>
      <c r="G77" s="793"/>
      <c r="H77" s="793"/>
      <c r="I77" s="793"/>
      <c r="J77" s="794"/>
    </row>
    <row r="78" spans="1:10" ht="15.6">
      <c r="A78" s="1328">
        <f>+A76+1</f>
        <v>43</v>
      </c>
      <c r="B78" s="937" t="s">
        <v>400</v>
      </c>
      <c r="C78" s="806"/>
      <c r="D78" s="797"/>
      <c r="E78" s="797"/>
      <c r="F78" s="797"/>
      <c r="G78" s="797"/>
      <c r="H78" s="797"/>
      <c r="I78" s="1419"/>
      <c r="J78" s="794"/>
    </row>
    <row r="79" spans="1:10" ht="15.6">
      <c r="A79" s="1328"/>
      <c r="B79" s="938"/>
      <c r="C79" s="806"/>
      <c r="D79" s="797"/>
      <c r="E79" s="797"/>
      <c r="F79" s="797"/>
      <c r="G79" s="799"/>
      <c r="H79" s="797"/>
      <c r="I79" s="797"/>
      <c r="J79" s="794"/>
    </row>
    <row r="80" spans="1:10" ht="16.2" thickBot="1">
      <c r="A80" s="1328"/>
      <c r="B80" s="938"/>
      <c r="C80" s="806"/>
      <c r="D80" s="800" t="s">
        <v>83</v>
      </c>
      <c r="E80" s="800" t="s">
        <v>92</v>
      </c>
      <c r="F80" s="797"/>
      <c r="G80" s="800" t="s">
        <v>91</v>
      </c>
      <c r="H80" s="797"/>
      <c r="I80" s="800" t="s">
        <v>93</v>
      </c>
      <c r="J80" s="794"/>
    </row>
    <row r="81" spans="1:10" ht="15.6">
      <c r="A81" s="1328">
        <f>+A78+1</f>
        <v>44</v>
      </c>
      <c r="B81" s="937" t="s">
        <v>430</v>
      </c>
      <c r="C81" s="801" t="s">
        <v>956</v>
      </c>
      <c r="D81" s="805">
        <v>0</v>
      </c>
      <c r="E81" s="1288">
        <f>+E48-0.01</f>
        <v>0.45999999999999996</v>
      </c>
      <c r="F81" s="795"/>
      <c r="G81" s="1287">
        <f>+G16</f>
        <v>3.85E-2</v>
      </c>
      <c r="H81" s="1289"/>
      <c r="I81" s="1289">
        <f>E81*G81</f>
        <v>1.771E-2</v>
      </c>
      <c r="J81" s="794"/>
    </row>
    <row r="82" spans="1:10" ht="15.6">
      <c r="A82" s="1328">
        <f>+A81+1</f>
        <v>45</v>
      </c>
      <c r="B82" s="937" t="s">
        <v>431</v>
      </c>
      <c r="C82" s="801" t="s">
        <v>952</v>
      </c>
      <c r="D82" s="805">
        <v>0</v>
      </c>
      <c r="E82" s="1288">
        <f>E17</f>
        <v>0</v>
      </c>
      <c r="F82" s="795"/>
      <c r="G82" s="1287">
        <f>+G17</f>
        <v>0</v>
      </c>
      <c r="H82" s="1289"/>
      <c r="I82" s="1289">
        <f>E82*G82</f>
        <v>0</v>
      </c>
      <c r="J82" s="794"/>
    </row>
    <row r="83" spans="1:10" ht="16.2" thickBot="1">
      <c r="A83" s="1328">
        <f>+A82+1</f>
        <v>46</v>
      </c>
      <c r="B83" s="937" t="s">
        <v>793</v>
      </c>
      <c r="C83" s="801" t="s">
        <v>955</v>
      </c>
      <c r="D83" s="804">
        <v>0</v>
      </c>
      <c r="E83" s="1288">
        <f>+E50+0.01</f>
        <v>0.54</v>
      </c>
      <c r="F83" s="795"/>
      <c r="G83" s="1287">
        <f>+G18</f>
        <v>9.5000000000000001E-2</v>
      </c>
      <c r="H83" s="1289"/>
      <c r="I83" s="1290">
        <f>E83*G83</f>
        <v>5.1300000000000005E-2</v>
      </c>
      <c r="J83" s="794"/>
    </row>
    <row r="84" spans="1:10" ht="15.6">
      <c r="A84" s="1328">
        <f>+A83+1</f>
        <v>47</v>
      </c>
      <c r="B84" s="938" t="s">
        <v>826</v>
      </c>
      <c r="C84" s="801"/>
      <c r="D84" s="805">
        <f>SUM(D81:D83)</f>
        <v>0</v>
      </c>
      <c r="E84" s="795" t="s">
        <v>29</v>
      </c>
      <c r="F84" s="795"/>
      <c r="G84" s="1289"/>
      <c r="H84" s="1289"/>
      <c r="I84" s="1289">
        <f>SUM(I81:I83)</f>
        <v>6.9010000000000002E-2</v>
      </c>
      <c r="J84" s="794"/>
    </row>
    <row r="85" spans="1:10" ht="15.6">
      <c r="A85" s="1328">
        <f t="shared" ref="A85:A97" si="2">+A84+1</f>
        <v>48</v>
      </c>
      <c r="B85" s="938" t="s">
        <v>972</v>
      </c>
      <c r="C85" s="801"/>
      <c r="D85" s="805"/>
      <c r="E85" s="797"/>
      <c r="F85" s="797"/>
      <c r="G85" s="1289"/>
      <c r="H85" s="1289"/>
      <c r="I85" s="1289"/>
      <c r="J85" s="795">
        <f>+I84*J76</f>
        <v>9202816.8062343094</v>
      </c>
    </row>
    <row r="86" spans="1:10" ht="15.6">
      <c r="A86" s="1328"/>
      <c r="B86" s="936"/>
      <c r="C86" s="936"/>
      <c r="D86" s="793"/>
      <c r="E86" s="793"/>
      <c r="F86" s="793"/>
      <c r="G86" s="793"/>
      <c r="H86" s="793"/>
      <c r="I86" s="793"/>
      <c r="J86" s="794"/>
    </row>
    <row r="87" spans="1:10" ht="15.6">
      <c r="A87" s="1328">
        <f>+A85+1</f>
        <v>49</v>
      </c>
      <c r="B87" s="938" t="s">
        <v>75</v>
      </c>
      <c r="C87" s="806"/>
      <c r="D87" s="797"/>
      <c r="E87" s="797"/>
      <c r="F87" s="803"/>
      <c r="G87" s="807"/>
      <c r="H87" s="797"/>
      <c r="I87" s="803"/>
      <c r="J87" s="794"/>
    </row>
    <row r="88" spans="1:10" ht="15.6">
      <c r="A88" s="1328">
        <f t="shared" si="2"/>
        <v>50</v>
      </c>
      <c r="B88" s="59" t="s">
        <v>980</v>
      </c>
      <c r="C88" s="19"/>
      <c r="D88" s="528">
        <f>+'Appendix A'!E$171</f>
        <v>0.39615</v>
      </c>
      <c r="E88" s="797"/>
      <c r="F88" s="803"/>
      <c r="G88" s="807"/>
      <c r="H88" s="797"/>
      <c r="I88" s="803"/>
      <c r="J88" s="794"/>
    </row>
    <row r="89" spans="1:10" ht="15.6">
      <c r="A89" s="1328">
        <f t="shared" si="2"/>
        <v>51</v>
      </c>
      <c r="B89" s="69" t="s">
        <v>76</v>
      </c>
      <c r="C89" s="19"/>
      <c r="D89" s="528">
        <f>IF('4 - Incentives'!D88&gt;0,('4 - Incentives'!D88/(1-'4 - Incentives'!D88))*(1-'4 - Incentives'!I81/'4 - Incentives'!I84),0)</f>
        <v>0.48768110272277548</v>
      </c>
      <c r="E89" s="797"/>
      <c r="F89" s="803"/>
      <c r="G89" s="807"/>
      <c r="H89" s="797"/>
      <c r="I89" s="803"/>
      <c r="J89" s="794"/>
    </row>
    <row r="90" spans="1:10" ht="15.6">
      <c r="A90" s="1328">
        <f t="shared" si="2"/>
        <v>52</v>
      </c>
      <c r="B90" s="54" t="str">
        <f>"       where WCLTD=(line "&amp;A81&amp;") and R= (line "&amp;A84&amp;")"</f>
        <v xml:space="preserve">       where WCLTD=(line 44) and R= (line 47)</v>
      </c>
      <c r="C90" s="19"/>
      <c r="E90" s="797"/>
      <c r="F90" s="803"/>
      <c r="G90" s="807"/>
      <c r="H90" s="797"/>
      <c r="I90" s="803"/>
      <c r="J90" s="794"/>
    </row>
    <row r="91" spans="1:10" ht="15.6">
      <c r="A91" s="1328">
        <f t="shared" si="2"/>
        <v>53</v>
      </c>
      <c r="B91" s="18" t="str">
        <f>"       and FIT, SIT &amp; p are as given in footnote "&amp;'Appendix A'!$A$286&amp;" on Appendix A."</f>
        <v xml:space="preserve">       and FIT, SIT &amp; p are as given in footnote F on Appendix A.</v>
      </c>
      <c r="C91" s="19"/>
      <c r="D91" s="11"/>
      <c r="E91" s="797"/>
      <c r="F91" s="803"/>
      <c r="G91" s="807"/>
      <c r="H91" s="797"/>
      <c r="I91" s="803"/>
      <c r="J91" s="794"/>
    </row>
    <row r="92" spans="1:10" ht="15.6">
      <c r="A92" s="1328">
        <f t="shared" si="2"/>
        <v>54</v>
      </c>
      <c r="B92" s="939" t="str">
        <f>"      1 / (1 - T)  = (T from line "&amp;A88&amp;")"</f>
        <v xml:space="preserve">      1 / (1 - T)  = (T from line 50)</v>
      </c>
      <c r="C92" s="19"/>
      <c r="D92" s="528">
        <f>IF(D88&gt;0,1/(1-D88),0)</f>
        <v>1.6560404073859403</v>
      </c>
      <c r="E92" s="797"/>
      <c r="F92" s="803"/>
      <c r="G92" s="807"/>
      <c r="H92" s="797"/>
      <c r="I92" s="803"/>
      <c r="J92" s="794"/>
    </row>
    <row r="93" spans="1:10" ht="15.6">
      <c r="A93" s="1328">
        <f t="shared" si="2"/>
        <v>55</v>
      </c>
      <c r="B93" s="18" t="s">
        <v>981</v>
      </c>
      <c r="C93" s="19"/>
      <c r="D93" s="113">
        <f>D28</f>
        <v>0</v>
      </c>
      <c r="E93" s="797"/>
      <c r="F93" s="803"/>
      <c r="G93" s="807"/>
      <c r="H93" s="797"/>
      <c r="I93" s="803"/>
      <c r="J93" s="794"/>
    </row>
    <row r="94" spans="1:10" ht="15.6">
      <c r="A94" s="1328"/>
      <c r="B94" s="54"/>
      <c r="C94" s="19"/>
      <c r="D94" s="186"/>
      <c r="E94" s="797"/>
      <c r="F94" s="803"/>
      <c r="G94" s="808"/>
      <c r="H94" s="797"/>
      <c r="I94" s="803"/>
      <c r="J94" s="794"/>
    </row>
    <row r="95" spans="1:10" ht="15.6">
      <c r="A95" s="1328">
        <f>+A93+1</f>
        <v>56</v>
      </c>
      <c r="B95" s="59" t="str">
        <f>"Income Tax Calculation = line "&amp;A89&amp;" * line "&amp;A85&amp; " * (1-n)"</f>
        <v>Income Tax Calculation = line 51 * line 48 * (1-n)</v>
      </c>
      <c r="C95" s="60"/>
      <c r="D95" s="186">
        <f>+D89*J85*(1-'Appendix A'!$E$295)</f>
        <v>4488039.8482200392</v>
      </c>
      <c r="E95" s="797"/>
      <c r="F95" s="810"/>
      <c r="G95" s="811"/>
      <c r="H95" s="810"/>
      <c r="J95" s="186">
        <f>+D95</f>
        <v>4488039.8482200392</v>
      </c>
    </row>
    <row r="96" spans="1:10" ht="15.6">
      <c r="A96" s="1328">
        <f t="shared" si="2"/>
        <v>57</v>
      </c>
      <c r="B96" s="520" t="str">
        <f>"ITC adjustment (line "&amp;A92&amp;" * line "&amp;A93&amp;")  * (1-n)"</f>
        <v>ITC adjustment (line 54 * line 55)  * (1-n)</v>
      </c>
      <c r="C96" s="521"/>
      <c r="D96" s="516">
        <f>+D92*D93*(1-'Appendix A'!E295)</f>
        <v>0</v>
      </c>
      <c r="E96" s="810"/>
      <c r="F96" s="813" t="s">
        <v>60</v>
      </c>
      <c r="G96" s="795">
        <f>+'Appendix A'!H97</f>
        <v>1</v>
      </c>
      <c r="H96" s="810"/>
      <c r="J96" s="1324">
        <f>G96*D96</f>
        <v>0</v>
      </c>
    </row>
    <row r="97" spans="1:10" ht="15.6">
      <c r="A97" s="1328">
        <f t="shared" si="2"/>
        <v>58</v>
      </c>
      <c r="B97" s="61" t="s">
        <v>78</v>
      </c>
      <c r="C97" s="1" t="str">
        <f>"(line "&amp;A95&amp;" plus line "&amp;A96&amp;")"</f>
        <v>(line 56 plus line 57)</v>
      </c>
      <c r="D97" s="196">
        <f>+D96+D95</f>
        <v>4488039.8482200392</v>
      </c>
      <c r="E97" s="810"/>
      <c r="J97" s="832">
        <f>+J95+J96</f>
        <v>4488039.8482200392</v>
      </c>
    </row>
    <row r="98" spans="1:10" ht="15.6">
      <c r="A98" s="1332"/>
      <c r="B98" s="829"/>
      <c r="C98" s="827"/>
      <c r="D98" s="830"/>
      <c r="E98" s="828"/>
      <c r="F98" s="828"/>
      <c r="G98" s="831"/>
      <c r="H98" s="828"/>
      <c r="I98" s="830"/>
      <c r="J98" s="812"/>
    </row>
    <row r="99" spans="1:10" ht="15.6">
      <c r="A99" s="1328"/>
      <c r="B99" s="936"/>
      <c r="C99" s="936"/>
      <c r="D99" s="793"/>
      <c r="E99" s="793"/>
      <c r="F99" s="793"/>
      <c r="G99" s="793"/>
      <c r="H99" s="793"/>
      <c r="I99" s="793"/>
      <c r="J99" s="794"/>
    </row>
    <row r="100" spans="1:10" ht="15.6">
      <c r="A100" s="1328">
        <f>+A97+1</f>
        <v>59</v>
      </c>
      <c r="B100" s="801" t="s">
        <v>795</v>
      </c>
      <c r="C100" s="936"/>
      <c r="D100" s="793"/>
      <c r="E100" s="793" t="s">
        <v>827</v>
      </c>
      <c r="F100" s="793"/>
      <c r="G100" s="793"/>
      <c r="H100" s="793"/>
      <c r="I100" s="793"/>
      <c r="J100" s="832">
        <f>+J97+J85</f>
        <v>13690856.654454349</v>
      </c>
    </row>
    <row r="101" spans="1:10" ht="15.6">
      <c r="A101" s="1328">
        <f>+A100+1</f>
        <v>60</v>
      </c>
      <c r="B101" s="793" t="s">
        <v>399</v>
      </c>
      <c r="C101" s="793"/>
      <c r="D101" s="793"/>
      <c r="E101" s="793" t="s">
        <v>501</v>
      </c>
      <c r="F101" s="793"/>
      <c r="G101" s="793"/>
      <c r="H101" s="793"/>
      <c r="I101" s="793"/>
      <c r="J101" s="808">
        <f>+J76</f>
        <v>133354829.82516025</v>
      </c>
    </row>
    <row r="102" spans="1:10" ht="15.6">
      <c r="A102" s="1328">
        <f>+A101+1</f>
        <v>61</v>
      </c>
      <c r="B102" s="793" t="s">
        <v>795</v>
      </c>
      <c r="C102" s="793"/>
      <c r="D102" s="793"/>
      <c r="E102" s="793" t="s">
        <v>828</v>
      </c>
      <c r="F102" s="793"/>
      <c r="G102" s="793"/>
      <c r="H102" s="793"/>
      <c r="I102" s="793"/>
      <c r="J102" s="964">
        <f>IF(J101=0,0,J100/J101)</f>
        <v>0.10266487289889875</v>
      </c>
    </row>
    <row r="103" spans="1:10" ht="15.6">
      <c r="A103" s="1328">
        <f>+A102+1</f>
        <v>62</v>
      </c>
      <c r="B103" s="936" t="s">
        <v>796</v>
      </c>
      <c r="C103" s="936"/>
      <c r="D103" s="793"/>
      <c r="E103" s="793" t="s">
        <v>829</v>
      </c>
      <c r="F103" s="793"/>
      <c r="G103" s="793"/>
      <c r="H103" s="793"/>
      <c r="I103" s="793"/>
      <c r="J103" s="964">
        <f>+J102-J37</f>
        <v>1.1882383870166491E-3</v>
      </c>
    </row>
    <row r="104" spans="1:10" ht="15.6">
      <c r="A104" s="1334"/>
      <c r="B104" s="779"/>
      <c r="C104" s="497"/>
      <c r="D104" s="497"/>
      <c r="E104" s="497"/>
      <c r="F104" s="497"/>
      <c r="G104" s="497"/>
      <c r="H104" s="497"/>
      <c r="I104" s="497"/>
      <c r="J104" s="785" t="str">
        <f>+J40</f>
        <v>Attachment 4</v>
      </c>
    </row>
    <row r="105" spans="1:10">
      <c r="A105" s="1335"/>
      <c r="B105" s="497"/>
      <c r="C105" s="497"/>
      <c r="D105" s="497"/>
      <c r="E105" s="497"/>
      <c r="F105" s="497"/>
      <c r="G105" s="497"/>
      <c r="H105" s="497"/>
      <c r="I105" s="497"/>
      <c r="J105" s="497"/>
    </row>
    <row r="106" spans="1:10" ht="15.6">
      <c r="A106" s="1328">
        <v>63</v>
      </c>
      <c r="B106" s="965" t="s">
        <v>540</v>
      </c>
      <c r="C106" s="497"/>
      <c r="D106" s="497"/>
      <c r="E106" s="962"/>
      <c r="F106" s="962"/>
      <c r="G106" s="962"/>
      <c r="H106" s="962"/>
      <c r="I106" s="497"/>
      <c r="J106" s="961"/>
    </row>
    <row r="107" spans="1:10" ht="15.6">
      <c r="B107" s="965"/>
      <c r="C107" s="497"/>
      <c r="D107" s="497"/>
      <c r="E107" s="962"/>
      <c r="F107" s="962"/>
      <c r="G107" s="962"/>
      <c r="H107" s="962"/>
      <c r="I107" s="497"/>
      <c r="J107" s="961"/>
    </row>
    <row r="108" spans="1:10" ht="15.6">
      <c r="A108" s="1328">
        <v>64</v>
      </c>
      <c r="B108" s="965" t="s">
        <v>713</v>
      </c>
      <c r="C108" s="1114" t="s">
        <v>1031</v>
      </c>
      <c r="E108" s="962"/>
      <c r="F108" s="962"/>
      <c r="G108" s="962"/>
      <c r="H108" s="962"/>
      <c r="I108" s="497"/>
      <c r="J108" s="1447">
        <f>IF(M133=0,0,('Appendix A'!J152+'Appendix A'!J168-'Appendix A'!J150)/M133)</f>
        <v>6.023461766449318E-2</v>
      </c>
    </row>
    <row r="109" spans="1:10" ht="15.6">
      <c r="A109" s="1328">
        <v>65</v>
      </c>
      <c r="B109" s="965" t="str">
        <f>+'Appendix A'!C248</f>
        <v>Base Carrying Charge (used in Attach 4, Line 65)</v>
      </c>
      <c r="C109" s="497" t="s">
        <v>542</v>
      </c>
      <c r="E109" s="962"/>
      <c r="F109" s="962"/>
      <c r="G109" s="962"/>
      <c r="H109" s="962"/>
      <c r="I109" s="497"/>
      <c r="J109" s="1447">
        <f>+'Appendix A'!M248</f>
        <v>0.10137369089201929</v>
      </c>
    </row>
    <row r="110" spans="1:10" ht="15.6">
      <c r="A110" s="1337"/>
      <c r="B110" s="497"/>
      <c r="C110" s="497"/>
      <c r="D110" s="962"/>
      <c r="E110" s="962"/>
      <c r="F110" s="962"/>
      <c r="G110" s="962"/>
      <c r="H110" s="962"/>
      <c r="I110" s="497"/>
      <c r="J110" s="961"/>
    </row>
    <row r="111" spans="1:10">
      <c r="A111" s="1343" t="s">
        <v>984</v>
      </c>
    </row>
    <row r="112" spans="1:10" ht="15.6">
      <c r="A112" s="1337"/>
      <c r="B112" s="497"/>
      <c r="C112" s="497"/>
      <c r="D112" s="962"/>
      <c r="E112" s="962"/>
      <c r="F112" s="962"/>
      <c r="G112" s="962"/>
      <c r="H112" s="962"/>
      <c r="I112" s="497"/>
      <c r="J112" s="961"/>
    </row>
    <row r="113" spans="1:17" ht="16.2" thickBot="1">
      <c r="A113" s="1337"/>
      <c r="B113" s="497" t="s">
        <v>467</v>
      </c>
      <c r="C113" s="497" t="s">
        <v>468</v>
      </c>
      <c r="D113" s="1143" t="s">
        <v>494</v>
      </c>
      <c r="E113" s="1143" t="s">
        <v>502</v>
      </c>
      <c r="F113" s="1143" t="s">
        <v>503</v>
      </c>
      <c r="G113" s="1143" t="s">
        <v>504</v>
      </c>
      <c r="H113" s="1143" t="s">
        <v>505</v>
      </c>
      <c r="I113" s="1143" t="s">
        <v>506</v>
      </c>
      <c r="J113" s="1143" t="s">
        <v>538</v>
      </c>
      <c r="K113" s="1143" t="s">
        <v>539</v>
      </c>
      <c r="L113" s="1143" t="s">
        <v>595</v>
      </c>
      <c r="M113" s="1143" t="s">
        <v>596</v>
      </c>
      <c r="N113" s="1143" t="s">
        <v>597</v>
      </c>
      <c r="O113" s="1143" t="s">
        <v>598</v>
      </c>
      <c r="P113" s="1143" t="s">
        <v>599</v>
      </c>
      <c r="Q113" s="1143" t="s">
        <v>600</v>
      </c>
    </row>
    <row r="114" spans="1:17" ht="92.25" customHeight="1" thickBot="1">
      <c r="A114" s="1407" t="s">
        <v>36</v>
      </c>
      <c r="B114" s="1408" t="s">
        <v>500</v>
      </c>
      <c r="C114" s="1409" t="s">
        <v>830</v>
      </c>
      <c r="D114" s="1409" t="s">
        <v>987</v>
      </c>
      <c r="E114" s="1409" t="s">
        <v>947</v>
      </c>
      <c r="F114" s="1409" t="s">
        <v>545</v>
      </c>
      <c r="G114" s="1410" t="s">
        <v>1015</v>
      </c>
      <c r="H114" s="1411" t="s">
        <v>544</v>
      </c>
      <c r="I114" s="1409" t="s">
        <v>543</v>
      </c>
      <c r="J114" s="1409" t="s">
        <v>962</v>
      </c>
      <c r="K114" s="1409" t="s">
        <v>797</v>
      </c>
      <c r="L114" s="1412" t="s">
        <v>989</v>
      </c>
      <c r="M114" s="1411" t="s">
        <v>715</v>
      </c>
      <c r="N114" s="1411" t="s">
        <v>988</v>
      </c>
      <c r="O114" s="1411" t="s">
        <v>990</v>
      </c>
      <c r="P114" s="1411" t="s">
        <v>714</v>
      </c>
      <c r="Q114" s="1413" t="s">
        <v>991</v>
      </c>
    </row>
    <row r="115" spans="1:17" ht="15.6">
      <c r="A115" s="1385">
        <v>66</v>
      </c>
      <c r="B115" s="1386" t="s">
        <v>1024</v>
      </c>
      <c r="C115" s="1386">
        <f>+O149</f>
        <v>121934785.11841685</v>
      </c>
      <c r="D115" s="1442">
        <v>9.5000000000000001E-2</v>
      </c>
      <c r="E115" s="1387">
        <f>+G18</f>
        <v>9.5000000000000001E-2</v>
      </c>
      <c r="F115" s="1443">
        <v>5.0000000000000001E-3</v>
      </c>
      <c r="G115" s="1444">
        <f>+$J$70</f>
        <v>8.777014159145502E-3</v>
      </c>
      <c r="H115" s="1445">
        <f>+F115/0.01*G115</f>
        <v>4.388507079572751E-3</v>
      </c>
      <c r="I115" s="1437">
        <f>+C115*H115</f>
        <v>535111.66773835442</v>
      </c>
      <c r="J115" s="1386">
        <v>0</v>
      </c>
      <c r="K115" s="1388">
        <f>+J115*$J$103*C115</f>
        <v>0</v>
      </c>
      <c r="L115" s="1389">
        <f>+C115*J$109</f>
        <v>12360979.215579184</v>
      </c>
      <c r="M115" s="1386">
        <f>+M149</f>
        <v>122769230.76923077</v>
      </c>
      <c r="N115" s="1448">
        <f>+J108</f>
        <v>6.023461766449318E-2</v>
      </c>
      <c r="O115" s="1388">
        <f>+M115*N115</f>
        <v>7394957.6763485475</v>
      </c>
      <c r="P115" s="1386">
        <f>+P149</f>
        <v>2736742.6556016598</v>
      </c>
      <c r="Q115" s="1390">
        <f>+I115+L115+O115+P115+K115</f>
        <v>23027791.215267748</v>
      </c>
    </row>
    <row r="116" spans="1:17" ht="15.6">
      <c r="A116" s="1391" t="s">
        <v>973</v>
      </c>
      <c r="B116" s="1384" t="s">
        <v>1025</v>
      </c>
      <c r="C116" s="966">
        <f>+O148-O149</f>
        <v>6952421.9585062265</v>
      </c>
      <c r="D116" s="1446">
        <v>9.5000000000000001E-2</v>
      </c>
      <c r="E116" s="1006">
        <f>+E115</f>
        <v>9.5000000000000001E-2</v>
      </c>
      <c r="F116" s="1382">
        <v>0</v>
      </c>
      <c r="G116" s="1447">
        <f t="shared" ref="G116:G117" si="3">+$J$70</f>
        <v>8.777014159145502E-3</v>
      </c>
      <c r="H116" s="1454">
        <f>+F116/0.01*G116</f>
        <v>0</v>
      </c>
      <c r="I116" s="1455">
        <f>+C116*H116</f>
        <v>0</v>
      </c>
      <c r="J116" s="966">
        <v>0</v>
      </c>
      <c r="K116" s="1392">
        <f>+J116*$J$103*C116</f>
        <v>0</v>
      </c>
      <c r="L116" s="960">
        <f>+C116*J$109</f>
        <v>704792.67457249761</v>
      </c>
      <c r="M116" s="966">
        <f>+M148-M149</f>
        <v>7000000</v>
      </c>
      <c r="N116" s="1449">
        <f>+N115</f>
        <v>6.023461766449318E-2</v>
      </c>
      <c r="O116" s="1392">
        <f>+M116*N116</f>
        <v>421642.32365145226</v>
      </c>
      <c r="P116" s="966">
        <f>+P148-P149</f>
        <v>156042.34439834021</v>
      </c>
      <c r="Q116" s="1393">
        <f>+I116+L116+O116+P116+K116</f>
        <v>1282477.3426222901</v>
      </c>
    </row>
    <row r="117" spans="1:17" ht="15.6">
      <c r="A117" s="1391" t="s">
        <v>974</v>
      </c>
      <c r="B117" s="1384" t="s">
        <v>1026</v>
      </c>
      <c r="C117" s="966">
        <f>+'10 - Workpaper'!Z10</f>
        <v>4603042.7846153844</v>
      </c>
      <c r="D117" s="1446">
        <f>+D116</f>
        <v>9.5000000000000001E-2</v>
      </c>
      <c r="E117" s="1006">
        <f t="shared" ref="E117:E131" si="4">+E116</f>
        <v>9.5000000000000001E-2</v>
      </c>
      <c r="F117" s="973">
        <v>0</v>
      </c>
      <c r="G117" s="1447">
        <f t="shared" si="3"/>
        <v>8.777014159145502E-3</v>
      </c>
      <c r="H117" s="1454">
        <f>+F117/0.01*G117</f>
        <v>0</v>
      </c>
      <c r="I117" s="1455">
        <f>+C117*H117</f>
        <v>0</v>
      </c>
      <c r="J117" s="966">
        <v>0</v>
      </c>
      <c r="K117" s="1392">
        <f>+J117*$J$103*C117</f>
        <v>0</v>
      </c>
      <c r="L117" s="960">
        <f>+C117*J$109</f>
        <v>466627.43641033972</v>
      </c>
      <c r="M117" s="966">
        <v>0</v>
      </c>
      <c r="N117" s="1449">
        <f>+N116</f>
        <v>6.023461766449318E-2</v>
      </c>
      <c r="O117" s="1392">
        <f>+M117*N117</f>
        <v>0</v>
      </c>
      <c r="P117" s="966">
        <f>+'Appendix A'!E150</f>
        <v>943416.01666666672</v>
      </c>
      <c r="Q117" s="1393">
        <f>+I117+L117+O117+P117+K117</f>
        <v>1410043.4530770064</v>
      </c>
    </row>
    <row r="118" spans="1:17" ht="15.6">
      <c r="A118" s="1391" t="s">
        <v>975</v>
      </c>
      <c r="B118" s="1384">
        <v>0</v>
      </c>
      <c r="C118" s="966">
        <v>0</v>
      </c>
      <c r="D118" s="1446">
        <v>0</v>
      </c>
      <c r="E118" s="1006">
        <f t="shared" si="4"/>
        <v>9.5000000000000001E-2</v>
      </c>
      <c r="F118" s="973">
        <v>0</v>
      </c>
      <c r="G118" s="960"/>
      <c r="H118" s="960"/>
      <c r="I118" s="960"/>
      <c r="J118" s="966">
        <v>0</v>
      </c>
      <c r="K118" s="1392"/>
      <c r="L118" s="960"/>
      <c r="M118" s="966"/>
      <c r="N118" s="1392">
        <f t="shared" ref="N118:N132" si="5">+N117</f>
        <v>6.023461766449318E-2</v>
      </c>
      <c r="O118" s="1392">
        <f t="shared" ref="O118:O132" si="6">+M118*N118</f>
        <v>0</v>
      </c>
      <c r="P118" s="966">
        <v>0</v>
      </c>
      <c r="Q118" s="1393"/>
    </row>
    <row r="119" spans="1:17" ht="15.6">
      <c r="A119" s="1391" t="s">
        <v>416</v>
      </c>
      <c r="B119" s="1384"/>
      <c r="C119" s="966"/>
      <c r="D119" s="968"/>
      <c r="E119" s="1006">
        <f t="shared" si="4"/>
        <v>9.5000000000000001E-2</v>
      </c>
      <c r="F119" s="973"/>
      <c r="G119" s="960"/>
      <c r="H119" s="960"/>
      <c r="I119" s="960"/>
      <c r="J119" s="966"/>
      <c r="K119" s="1392"/>
      <c r="L119" s="960"/>
      <c r="M119" s="966"/>
      <c r="N119" s="1392">
        <f t="shared" si="5"/>
        <v>6.023461766449318E-2</v>
      </c>
      <c r="O119" s="1392">
        <f t="shared" si="6"/>
        <v>0</v>
      </c>
      <c r="P119" s="966"/>
      <c r="Q119" s="1393"/>
    </row>
    <row r="120" spans="1:17" ht="15.6">
      <c r="A120" s="1391" t="s">
        <v>416</v>
      </c>
      <c r="B120" s="1384"/>
      <c r="C120" s="966"/>
      <c r="D120" s="968"/>
      <c r="E120" s="1006">
        <f t="shared" si="4"/>
        <v>9.5000000000000001E-2</v>
      </c>
      <c r="F120" s="973"/>
      <c r="G120" s="960"/>
      <c r="H120" s="960"/>
      <c r="I120" s="960"/>
      <c r="J120" s="966"/>
      <c r="K120" s="1392"/>
      <c r="L120" s="960"/>
      <c r="M120" s="966"/>
      <c r="N120" s="1392">
        <f t="shared" si="5"/>
        <v>6.023461766449318E-2</v>
      </c>
      <c r="O120" s="1392">
        <f t="shared" si="6"/>
        <v>0</v>
      </c>
      <c r="P120" s="966"/>
      <c r="Q120" s="1393"/>
    </row>
    <row r="121" spans="1:17" ht="15.6">
      <c r="A121" s="1391" t="s">
        <v>416</v>
      </c>
      <c r="B121" s="1384"/>
      <c r="C121" s="966"/>
      <c r="D121" s="967"/>
      <c r="E121" s="1006">
        <f t="shared" si="4"/>
        <v>9.5000000000000001E-2</v>
      </c>
      <c r="F121" s="966"/>
      <c r="G121" s="1383"/>
      <c r="H121" s="1383"/>
      <c r="I121" s="1383"/>
      <c r="J121" s="966"/>
      <c r="K121" s="1392"/>
      <c r="L121" s="1383"/>
      <c r="M121" s="966"/>
      <c r="N121" s="1392">
        <f t="shared" si="5"/>
        <v>6.023461766449318E-2</v>
      </c>
      <c r="O121" s="1392">
        <f t="shared" si="6"/>
        <v>0</v>
      </c>
      <c r="P121" s="966"/>
      <c r="Q121" s="1393"/>
    </row>
    <row r="122" spans="1:17" ht="15.6">
      <c r="A122" s="1391" t="s">
        <v>416</v>
      </c>
      <c r="B122" s="1384"/>
      <c r="C122" s="966"/>
      <c r="D122" s="969"/>
      <c r="E122" s="1006">
        <f t="shared" si="4"/>
        <v>9.5000000000000001E-2</v>
      </c>
      <c r="F122" s="973"/>
      <c r="G122" s="1438"/>
      <c r="H122" s="960"/>
      <c r="I122" s="960"/>
      <c r="J122" s="966"/>
      <c r="K122" s="1392"/>
      <c r="L122" s="960"/>
      <c r="M122" s="966"/>
      <c r="N122" s="1392">
        <f t="shared" si="5"/>
        <v>6.023461766449318E-2</v>
      </c>
      <c r="O122" s="1392">
        <f t="shared" si="6"/>
        <v>0</v>
      </c>
      <c r="P122" s="966"/>
      <c r="Q122" s="1393"/>
    </row>
    <row r="123" spans="1:17" ht="15.6">
      <c r="A123" s="1391" t="s">
        <v>416</v>
      </c>
      <c r="B123" s="1384"/>
      <c r="C123" s="966"/>
      <c r="D123" s="971"/>
      <c r="E123" s="1006">
        <f t="shared" si="4"/>
        <v>9.5000000000000001E-2</v>
      </c>
      <c r="F123" s="973"/>
      <c r="G123" s="1438"/>
      <c r="H123" s="960"/>
      <c r="I123" s="960"/>
      <c r="J123" s="966"/>
      <c r="K123" s="1392"/>
      <c r="L123" s="960"/>
      <c r="M123" s="966"/>
      <c r="N123" s="1392">
        <f t="shared" si="5"/>
        <v>6.023461766449318E-2</v>
      </c>
      <c r="O123" s="1392">
        <f t="shared" si="6"/>
        <v>0</v>
      </c>
      <c r="P123" s="966"/>
      <c r="Q123" s="1393"/>
    </row>
    <row r="124" spans="1:17" ht="15.6">
      <c r="A124" s="1391" t="s">
        <v>416</v>
      </c>
      <c r="B124" s="1384"/>
      <c r="C124" s="966"/>
      <c r="D124" s="971"/>
      <c r="E124" s="1006">
        <f t="shared" si="4"/>
        <v>9.5000000000000001E-2</v>
      </c>
      <c r="F124" s="973"/>
      <c r="G124" s="1438"/>
      <c r="H124" s="960"/>
      <c r="I124" s="960"/>
      <c r="J124" s="966"/>
      <c r="K124" s="1392"/>
      <c r="L124" s="960"/>
      <c r="M124" s="966"/>
      <c r="N124" s="1392">
        <f t="shared" si="5"/>
        <v>6.023461766449318E-2</v>
      </c>
      <c r="O124" s="1392">
        <f t="shared" si="6"/>
        <v>0</v>
      </c>
      <c r="P124" s="966"/>
      <c r="Q124" s="1393"/>
    </row>
    <row r="125" spans="1:17" ht="15.6">
      <c r="A125" s="1391" t="s">
        <v>416</v>
      </c>
      <c r="B125" s="1384"/>
      <c r="C125" s="966"/>
      <c r="D125" s="967"/>
      <c r="E125" s="1006">
        <f t="shared" si="4"/>
        <v>9.5000000000000001E-2</v>
      </c>
      <c r="F125" s="973"/>
      <c r="G125" s="1438"/>
      <c r="H125" s="960"/>
      <c r="I125" s="960"/>
      <c r="J125" s="966"/>
      <c r="K125" s="1392"/>
      <c r="L125" s="960"/>
      <c r="M125" s="966"/>
      <c r="N125" s="1392">
        <f t="shared" si="5"/>
        <v>6.023461766449318E-2</v>
      </c>
      <c r="O125" s="1392">
        <f t="shared" si="6"/>
        <v>0</v>
      </c>
      <c r="P125" s="966"/>
      <c r="Q125" s="1393"/>
    </row>
    <row r="126" spans="1:17" ht="15.6">
      <c r="A126" s="1391" t="s">
        <v>416</v>
      </c>
      <c r="B126" s="1384"/>
      <c r="C126" s="966"/>
      <c r="D126" s="970"/>
      <c r="E126" s="1006">
        <f t="shared" si="4"/>
        <v>9.5000000000000001E-2</v>
      </c>
      <c r="F126" s="973"/>
      <c r="G126" s="1438"/>
      <c r="H126" s="960"/>
      <c r="I126" s="960"/>
      <c r="J126" s="966"/>
      <c r="K126" s="1392"/>
      <c r="L126" s="960"/>
      <c r="M126" s="966"/>
      <c r="N126" s="1392">
        <f t="shared" si="5"/>
        <v>6.023461766449318E-2</v>
      </c>
      <c r="O126" s="1392">
        <f t="shared" si="6"/>
        <v>0</v>
      </c>
      <c r="P126" s="966"/>
      <c r="Q126" s="1393"/>
    </row>
    <row r="127" spans="1:17" ht="15.6">
      <c r="A127" s="1391" t="s">
        <v>416</v>
      </c>
      <c r="B127" s="1384"/>
      <c r="C127" s="966"/>
      <c r="D127" s="971"/>
      <c r="E127" s="1006">
        <f t="shared" si="4"/>
        <v>9.5000000000000001E-2</v>
      </c>
      <c r="F127" s="973"/>
      <c r="G127" s="1438"/>
      <c r="H127" s="960"/>
      <c r="I127" s="960"/>
      <c r="J127" s="966"/>
      <c r="K127" s="1392"/>
      <c r="L127" s="960"/>
      <c r="M127" s="966"/>
      <c r="N127" s="1392">
        <f t="shared" si="5"/>
        <v>6.023461766449318E-2</v>
      </c>
      <c r="O127" s="1392">
        <f t="shared" si="6"/>
        <v>0</v>
      </c>
      <c r="P127" s="966"/>
      <c r="Q127" s="1393"/>
    </row>
    <row r="128" spans="1:17" ht="15.6">
      <c r="A128" s="1391" t="s">
        <v>416</v>
      </c>
      <c r="B128" s="1384"/>
      <c r="C128" s="966"/>
      <c r="D128" s="972"/>
      <c r="E128" s="1006">
        <f t="shared" si="4"/>
        <v>9.5000000000000001E-2</v>
      </c>
      <c r="F128" s="973"/>
      <c r="G128" s="1438"/>
      <c r="H128" s="960"/>
      <c r="I128" s="960"/>
      <c r="J128" s="966"/>
      <c r="K128" s="1392"/>
      <c r="L128" s="960"/>
      <c r="M128" s="966"/>
      <c r="N128" s="1392">
        <f t="shared" si="5"/>
        <v>6.023461766449318E-2</v>
      </c>
      <c r="O128" s="1392">
        <f t="shared" si="6"/>
        <v>0</v>
      </c>
      <c r="P128" s="966"/>
      <c r="Q128" s="1393"/>
    </row>
    <row r="129" spans="1:17" ht="15.6">
      <c r="A129" s="1391" t="s">
        <v>416</v>
      </c>
      <c r="B129" s="1384"/>
      <c r="C129" s="966"/>
      <c r="D129" s="972"/>
      <c r="E129" s="1006">
        <f t="shared" si="4"/>
        <v>9.5000000000000001E-2</v>
      </c>
      <c r="F129" s="973"/>
      <c r="G129" s="960"/>
      <c r="H129" s="960"/>
      <c r="I129" s="960"/>
      <c r="J129" s="966"/>
      <c r="K129" s="1392"/>
      <c r="L129" s="960"/>
      <c r="M129" s="966"/>
      <c r="N129" s="1392">
        <f t="shared" si="5"/>
        <v>6.023461766449318E-2</v>
      </c>
      <c r="O129" s="1392">
        <f t="shared" si="6"/>
        <v>0</v>
      </c>
      <c r="P129" s="966"/>
      <c r="Q129" s="1393"/>
    </row>
    <row r="130" spans="1:17" ht="15.6">
      <c r="A130" s="1391" t="s">
        <v>416</v>
      </c>
      <c r="B130" s="1384"/>
      <c r="C130" s="966"/>
      <c r="D130" s="972"/>
      <c r="E130" s="1006">
        <f t="shared" si="4"/>
        <v>9.5000000000000001E-2</v>
      </c>
      <c r="F130" s="973"/>
      <c r="G130" s="960"/>
      <c r="H130" s="960"/>
      <c r="I130" s="158"/>
      <c r="J130" s="966"/>
      <c r="K130" s="1392"/>
      <c r="L130" s="1383"/>
      <c r="M130" s="966"/>
      <c r="N130" s="1392">
        <f t="shared" si="5"/>
        <v>6.023461766449318E-2</v>
      </c>
      <c r="O130" s="1392">
        <f t="shared" si="6"/>
        <v>0</v>
      </c>
      <c r="P130" s="966"/>
      <c r="Q130" s="1393"/>
    </row>
    <row r="131" spans="1:17" ht="15.6">
      <c r="A131" s="1391" t="s">
        <v>416</v>
      </c>
      <c r="B131" s="1384"/>
      <c r="C131" s="966"/>
      <c r="D131" s="972"/>
      <c r="E131" s="1006">
        <f t="shared" si="4"/>
        <v>9.5000000000000001E-2</v>
      </c>
      <c r="F131" s="973"/>
      <c r="G131" s="960"/>
      <c r="H131" s="960"/>
      <c r="I131" s="960"/>
      <c r="J131" s="966"/>
      <c r="K131" s="1392"/>
      <c r="L131" s="960"/>
      <c r="M131" s="966"/>
      <c r="N131" s="1392">
        <f t="shared" si="5"/>
        <v>6.023461766449318E-2</v>
      </c>
      <c r="O131" s="1392">
        <f t="shared" si="6"/>
        <v>0</v>
      </c>
      <c r="P131" s="966"/>
      <c r="Q131" s="1393"/>
    </row>
    <row r="132" spans="1:17" ht="16.2" thickBot="1">
      <c r="A132" s="1399"/>
      <c r="B132" s="1400"/>
      <c r="C132" s="1401"/>
      <c r="D132" s="1402"/>
      <c r="E132" s="1403">
        <f>+E131</f>
        <v>9.5000000000000001E-2</v>
      </c>
      <c r="F132" s="1404"/>
      <c r="G132" s="1396"/>
      <c r="H132" s="1396"/>
      <c r="I132" s="1396"/>
      <c r="J132" s="1404"/>
      <c r="K132" s="1397"/>
      <c r="L132" s="1405"/>
      <c r="M132" s="1404"/>
      <c r="N132" s="1397">
        <f t="shared" si="5"/>
        <v>6.023461766449318E-2</v>
      </c>
      <c r="O132" s="1397">
        <f t="shared" si="6"/>
        <v>0</v>
      </c>
      <c r="P132" s="1404"/>
      <c r="Q132" s="1406"/>
    </row>
    <row r="133" spans="1:17" ht="15.6" thickBot="1">
      <c r="A133" s="1394">
        <v>67</v>
      </c>
      <c r="B133" s="1395" t="s">
        <v>42</v>
      </c>
      <c r="C133" s="1395">
        <f>SUM(C115:C132)</f>
        <v>133490249.86153845</v>
      </c>
      <c r="D133" s="1395"/>
      <c r="E133" s="1395"/>
      <c r="F133" s="1395"/>
      <c r="G133" s="1395"/>
      <c r="H133" s="1395"/>
      <c r="I133" s="1396">
        <f>SUM(I115:I132)</f>
        <v>535111.66773835442</v>
      </c>
      <c r="J133" s="1397"/>
      <c r="K133" s="1396">
        <f>SUM(K115:K132)</f>
        <v>0</v>
      </c>
      <c r="L133" s="1396">
        <f>SUM(L115:L132)</f>
        <v>13532399.326562021</v>
      </c>
      <c r="M133" s="1456">
        <f>SUM(M115:M132)</f>
        <v>129769230.76923077</v>
      </c>
      <c r="N133" s="1397"/>
      <c r="O133" s="1396">
        <f>SUM(O115:O132)</f>
        <v>7816600</v>
      </c>
      <c r="P133" s="1396">
        <f>SUM(P115:P132)</f>
        <v>3836201.0166666666</v>
      </c>
      <c r="Q133" s="1398">
        <f>SUM(Q115:Q132)</f>
        <v>25720312.010967046</v>
      </c>
    </row>
    <row r="134" spans="1:17" ht="15.6">
      <c r="A134" s="1337"/>
      <c r="B134" s="827" t="s">
        <v>774</v>
      </c>
      <c r="C134" s="779"/>
      <c r="D134" s="779"/>
      <c r="E134" s="779"/>
      <c r="F134" s="779"/>
      <c r="G134" s="779"/>
      <c r="H134" s="779"/>
      <c r="I134" s="960"/>
      <c r="J134" s="784"/>
      <c r="K134" s="784"/>
      <c r="L134" s="960"/>
      <c r="M134" s="784"/>
      <c r="N134" s="784"/>
      <c r="O134" s="784"/>
      <c r="P134" s="784"/>
      <c r="Q134" s="784">
        <f>+'Appendix A'!J189</f>
        <v>25720312.010967042</v>
      </c>
    </row>
    <row r="135" spans="1:17" ht="15.6">
      <c r="A135" s="1337"/>
      <c r="B135" s="779" t="s">
        <v>546</v>
      </c>
      <c r="C135" s="779"/>
      <c r="D135" s="779"/>
      <c r="E135" s="779"/>
      <c r="F135" s="779"/>
      <c r="G135" s="779"/>
      <c r="H135" s="779"/>
      <c r="I135" s="960"/>
      <c r="J135" s="784"/>
      <c r="K135" s="784"/>
      <c r="L135" s="960"/>
      <c r="M135" s="784"/>
      <c r="N135" s="784"/>
      <c r="O135" s="784"/>
      <c r="P135" s="784"/>
      <c r="Q135" s="784">
        <f>+Q133-Q134</f>
        <v>0</v>
      </c>
    </row>
    <row r="136" spans="1:17" ht="15.6">
      <c r="A136" s="1337" t="s">
        <v>557</v>
      </c>
      <c r="B136" s="779"/>
      <c r="C136" s="779"/>
      <c r="D136" s="779"/>
      <c r="E136" s="779"/>
      <c r="F136" s="779"/>
      <c r="G136" s="779"/>
      <c r="H136" s="779"/>
      <c r="I136" s="960"/>
      <c r="J136" s="784"/>
      <c r="K136" s="784"/>
      <c r="L136" s="960"/>
      <c r="M136" s="784"/>
      <c r="N136" s="784"/>
      <c r="O136" s="784"/>
      <c r="P136" s="784"/>
      <c r="Q136" s="784"/>
    </row>
    <row r="137" spans="1:17" ht="15.6">
      <c r="A137" s="1336" t="s">
        <v>100</v>
      </c>
      <c r="B137" s="779" t="s">
        <v>716</v>
      </c>
      <c r="C137" s="779"/>
      <c r="D137" s="779"/>
      <c r="E137" s="779"/>
      <c r="F137" s="779"/>
      <c r="G137" s="779"/>
      <c r="H137" s="779"/>
      <c r="I137" s="779"/>
      <c r="J137" s="779"/>
      <c r="O137" s="1144"/>
    </row>
    <row r="138" spans="1:17">
      <c r="A138" s="1336" t="s">
        <v>101</v>
      </c>
      <c r="B138" t="s">
        <v>831</v>
      </c>
      <c r="C138" s="988"/>
      <c r="D138" s="988"/>
      <c r="E138" s="988"/>
      <c r="F138" s="988"/>
      <c r="G138" s="988"/>
      <c r="H138" s="988"/>
      <c r="I138" s="988"/>
      <c r="J138" s="988"/>
    </row>
    <row r="139" spans="1:17" ht="15.6">
      <c r="A139" s="1336" t="s">
        <v>102</v>
      </c>
      <c r="B139" s="779" t="s">
        <v>924</v>
      </c>
    </row>
    <row r="140" spans="1:17" ht="15.6">
      <c r="B140" s="1524" t="s">
        <v>663</v>
      </c>
      <c r="C140" s="1524"/>
      <c r="D140" s="1528" t="s">
        <v>925</v>
      </c>
      <c r="E140" s="1528"/>
      <c r="F140" s="1528"/>
      <c r="G140" s="1527" t="s">
        <v>98</v>
      </c>
      <c r="H140" s="1527"/>
      <c r="I140" s="1527"/>
      <c r="J140" s="1527"/>
      <c r="K140" s="1527"/>
    </row>
    <row r="141" spans="1:17">
      <c r="B141" s="1525" t="s">
        <v>959</v>
      </c>
      <c r="C141" s="1525"/>
      <c r="D141" s="1526" t="s">
        <v>957</v>
      </c>
      <c r="E141" s="1526"/>
      <c r="F141" s="1526"/>
      <c r="G141" s="1526" t="s">
        <v>958</v>
      </c>
      <c r="H141" s="1526"/>
      <c r="I141" s="1526"/>
      <c r="J141" s="1526"/>
      <c r="K141" s="1526"/>
    </row>
    <row r="142" spans="1:17">
      <c r="B142" s="1525" t="s">
        <v>960</v>
      </c>
      <c r="C142" s="1525"/>
      <c r="D142" s="1526" t="s">
        <v>957</v>
      </c>
      <c r="E142" s="1526"/>
      <c r="F142" s="1526"/>
      <c r="G142" s="1526" t="s">
        <v>958</v>
      </c>
      <c r="H142" s="1526"/>
      <c r="I142" s="1526"/>
      <c r="J142" s="1526"/>
      <c r="K142" s="1526"/>
    </row>
    <row r="143" spans="1:17">
      <c r="B143" s="1525" t="s">
        <v>961</v>
      </c>
      <c r="C143" s="1525"/>
      <c r="D143" s="1526" t="s">
        <v>957</v>
      </c>
      <c r="E143" s="1526"/>
      <c r="F143" s="1526"/>
      <c r="G143" s="1526" t="s">
        <v>958</v>
      </c>
      <c r="H143" s="1526"/>
      <c r="I143" s="1526"/>
      <c r="J143" s="1526"/>
      <c r="K143" s="1526"/>
    </row>
    <row r="144" spans="1:17">
      <c r="B144" s="1526"/>
      <c r="C144" s="1526"/>
      <c r="D144" s="1526"/>
      <c r="E144" s="1526"/>
      <c r="F144" s="1526"/>
      <c r="G144" s="1526"/>
      <c r="H144" s="1526"/>
      <c r="I144" s="1526"/>
      <c r="J144" s="1526"/>
      <c r="K144" s="1526"/>
    </row>
    <row r="147" spans="12:16">
      <c r="L147" t="s">
        <v>1057</v>
      </c>
    </row>
    <row r="148" spans="12:16">
      <c r="L148" s="784">
        <f>+'2 - Cost Support '!F19+'2 - Cost Support '!F51</f>
        <v>241000000</v>
      </c>
      <c r="M148" s="784">
        <f>+'Appendix A'!N83</f>
        <v>129769230.76923077</v>
      </c>
      <c r="N148" s="784">
        <f>+'2 - Cost Support '!F106+'2 - Cost Support '!F138</f>
        <v>882023.69230769237</v>
      </c>
      <c r="O148" s="784">
        <f>+'Appendix A'!N97</f>
        <v>128887207.07692307</v>
      </c>
      <c r="P148" s="784">
        <f>+'Appendix A'!J158</f>
        <v>2892785</v>
      </c>
    </row>
    <row r="149" spans="12:16">
      <c r="L149" s="784">
        <v>228000000</v>
      </c>
      <c r="M149" s="784">
        <f>+L150*M148</f>
        <v>122769230.76923077</v>
      </c>
      <c r="N149" s="784">
        <f>+N148*L150</f>
        <v>834445.65081391635</v>
      </c>
      <c r="O149" s="784">
        <f>+O148*L150</f>
        <v>121934785.11841685</v>
      </c>
      <c r="P149" s="784">
        <f>+P148*L150</f>
        <v>2736742.6556016598</v>
      </c>
    </row>
    <row r="150" spans="12:16">
      <c r="L150" s="1457">
        <f>+L149/L148</f>
        <v>0.94605809128630702</v>
      </c>
    </row>
  </sheetData>
  <mergeCells count="15">
    <mergeCell ref="D140:F140"/>
    <mergeCell ref="D141:F141"/>
    <mergeCell ref="D142:F142"/>
    <mergeCell ref="D143:F143"/>
    <mergeCell ref="D144:F144"/>
    <mergeCell ref="G140:K140"/>
    <mergeCell ref="G141:K141"/>
    <mergeCell ref="G142:K142"/>
    <mergeCell ref="G143:K143"/>
    <mergeCell ref="G144:K144"/>
    <mergeCell ref="B140:C140"/>
    <mergeCell ref="B141:C141"/>
    <mergeCell ref="B142:C142"/>
    <mergeCell ref="B143:C143"/>
    <mergeCell ref="B144:C144"/>
  </mergeCells>
  <pageMargins left="0.7" right="0.7" top="0.75" bottom="0.75" header="0.3" footer="0.3"/>
  <pageSetup scale="37" fitToHeight="0" orientation="landscape" r:id="rId1"/>
  <rowBreaks count="2" manualBreakCount="2">
    <brk id="39" max="16" man="1"/>
    <brk id="103"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105"/>
  <sheetViews>
    <sheetView view="pageBreakPreview" zoomScale="75" zoomScaleNormal="100" zoomScaleSheetLayoutView="75" workbookViewId="0"/>
  </sheetViews>
  <sheetFormatPr defaultColWidth="8.90625" defaultRowHeight="13.2"/>
  <cols>
    <col min="1" max="1" width="5.453125" style="205" customWidth="1"/>
    <col min="2" max="2" width="14.36328125" style="170" customWidth="1"/>
    <col min="3" max="3" width="12.08984375" style="170" bestFit="1" customWidth="1"/>
    <col min="4" max="4" width="12.36328125" style="170" customWidth="1"/>
    <col min="5" max="5" width="11" style="170" customWidth="1"/>
    <col min="6" max="6" width="13.453125" style="170" customWidth="1"/>
    <col min="7" max="7" width="15.54296875" style="170" customWidth="1"/>
    <col min="8" max="8" width="17.08984375" style="170" customWidth="1"/>
    <col min="9" max="9" width="20.6328125" style="170" customWidth="1"/>
    <col min="10" max="10" width="20.90625" style="170" customWidth="1"/>
    <col min="11" max="11" width="7.1796875" style="170" customWidth="1"/>
    <col min="12" max="12" width="12.1796875" style="170" customWidth="1"/>
    <col min="13" max="13" width="8.08984375" style="170" customWidth="1"/>
    <col min="14" max="14" width="7.6328125" style="170" bestFit="1" customWidth="1"/>
    <col min="15" max="15" width="11.6328125" style="170" bestFit="1" customWidth="1"/>
    <col min="16" max="16" width="10.90625" style="170" bestFit="1" customWidth="1"/>
    <col min="17" max="16384" width="8.90625" style="170"/>
  </cols>
  <sheetData>
    <row r="1" spans="1:11" s="172" customFormat="1" ht="15.6">
      <c r="A1" s="987"/>
      <c r="I1" s="433"/>
    </row>
    <row r="2" spans="1:11" s="172" customFormat="1" ht="15.6">
      <c r="A2" s="1531" t="s">
        <v>832</v>
      </c>
      <c r="B2" s="1531"/>
      <c r="C2" s="1531"/>
      <c r="D2" s="1531"/>
      <c r="E2" s="1531"/>
      <c r="F2" s="1531"/>
      <c r="G2" s="1531"/>
      <c r="H2" s="1531"/>
      <c r="I2" s="1531"/>
      <c r="J2" s="1531"/>
    </row>
    <row r="3" spans="1:11" s="172" customFormat="1">
      <c r="A3" s="1532" t="str">
        <f>+'6a- ADIT'!B1</f>
        <v>New York Transco LLC</v>
      </c>
      <c r="B3" s="1532"/>
      <c r="C3" s="1532"/>
      <c r="D3" s="1532"/>
      <c r="E3" s="1532"/>
      <c r="F3" s="1532"/>
      <c r="G3" s="1532"/>
      <c r="H3" s="1532"/>
      <c r="I3" s="1532"/>
      <c r="J3" s="1532"/>
      <c r="K3" s="171"/>
    </row>
    <row r="4" spans="1:11" s="172" customFormat="1">
      <c r="A4" s="1532" t="s">
        <v>25</v>
      </c>
      <c r="B4" s="1532"/>
      <c r="C4" s="1532"/>
      <c r="D4" s="1532"/>
      <c r="E4" s="1532"/>
      <c r="F4" s="1532"/>
      <c r="G4" s="1532"/>
      <c r="H4" s="1532"/>
      <c r="I4" s="1532"/>
      <c r="J4" s="1532"/>
      <c r="K4" s="171"/>
    </row>
    <row r="5" spans="1:11" s="172" customFormat="1">
      <c r="A5" s="989"/>
      <c r="B5" s="171"/>
      <c r="C5" s="171"/>
      <c r="D5" s="171"/>
      <c r="E5" s="171"/>
      <c r="F5" s="435"/>
      <c r="G5" s="171"/>
      <c r="H5" s="171"/>
      <c r="I5" s="171"/>
      <c r="J5" s="171"/>
      <c r="K5" s="171"/>
    </row>
    <row r="6" spans="1:11" s="172" customFormat="1">
      <c r="A6" s="989"/>
      <c r="B6" s="171"/>
      <c r="C6" s="171"/>
      <c r="D6" s="171"/>
      <c r="E6" s="1533"/>
      <c r="F6" s="1533"/>
      <c r="G6" s="1533"/>
      <c r="H6" s="171"/>
      <c r="I6" s="171"/>
      <c r="J6" s="171"/>
      <c r="K6" s="171"/>
    </row>
    <row r="7" spans="1:11" s="172" customFormat="1">
      <c r="A7" s="989"/>
      <c r="B7" s="171"/>
      <c r="C7" s="171"/>
      <c r="D7" s="171"/>
      <c r="E7" s="171"/>
      <c r="F7" s="435"/>
      <c r="G7" s="171"/>
      <c r="H7" s="171"/>
      <c r="I7" s="171"/>
      <c r="J7" s="171"/>
      <c r="K7" s="171"/>
    </row>
    <row r="8" spans="1:11" s="172" customFormat="1">
      <c r="A8" s="989"/>
      <c r="B8" s="171" t="s">
        <v>429</v>
      </c>
      <c r="C8" s="171"/>
      <c r="D8" s="171"/>
      <c r="E8" s="171"/>
      <c r="F8" s="435"/>
      <c r="G8" s="171"/>
      <c r="H8" s="171"/>
      <c r="I8" s="171"/>
      <c r="J8" s="171"/>
      <c r="K8" s="171"/>
    </row>
    <row r="9" spans="1:11" s="172" customFormat="1">
      <c r="A9" s="989"/>
      <c r="B9" s="171" t="s">
        <v>313</v>
      </c>
      <c r="C9" s="171"/>
      <c r="D9" s="171"/>
      <c r="E9" s="171"/>
      <c r="F9" s="435"/>
      <c r="G9" s="171"/>
      <c r="H9" s="171"/>
      <c r="I9" s="171"/>
      <c r="J9" s="171"/>
      <c r="K9" s="171"/>
    </row>
    <row r="10" spans="1:11" s="172" customFormat="1">
      <c r="A10" s="989"/>
      <c r="B10" s="171" t="s">
        <v>314</v>
      </c>
      <c r="C10" s="171"/>
      <c r="D10" s="171"/>
      <c r="E10" s="171"/>
      <c r="F10" s="435"/>
      <c r="G10" s="171"/>
      <c r="H10" s="171"/>
      <c r="I10" s="171"/>
      <c r="J10" s="171"/>
      <c r="K10" s="171"/>
    </row>
    <row r="11" spans="1:11" s="172" customFormat="1">
      <c r="A11" s="989"/>
      <c r="B11" s="171"/>
      <c r="C11" s="171"/>
      <c r="D11" s="171"/>
      <c r="E11" s="171"/>
      <c r="F11" s="435"/>
      <c r="G11" s="171"/>
      <c r="H11" s="171"/>
      <c r="I11" s="171"/>
      <c r="J11" s="171"/>
      <c r="K11" s="171"/>
    </row>
    <row r="12" spans="1:11" s="172" customFormat="1" ht="13.8" thickBot="1">
      <c r="A12" s="982"/>
      <c r="B12" s="434" t="s">
        <v>514</v>
      </c>
      <c r="C12" s="171"/>
      <c r="D12" s="171"/>
      <c r="E12" s="171"/>
      <c r="F12" s="171"/>
      <c r="G12" s="171"/>
      <c r="H12" s="171"/>
      <c r="I12" s="171"/>
      <c r="J12" s="171"/>
      <c r="K12" s="171"/>
    </row>
    <row r="13" spans="1:11" s="172" customFormat="1" ht="13.8">
      <c r="A13" s="982"/>
      <c r="B13" s="436"/>
      <c r="C13" s="437"/>
      <c r="D13" s="437"/>
      <c r="E13" s="437"/>
      <c r="F13" s="438"/>
      <c r="G13" s="171"/>
      <c r="H13" s="171"/>
      <c r="I13" s="171"/>
      <c r="J13" s="171"/>
      <c r="K13" s="171"/>
    </row>
    <row r="14" spans="1:11" s="172" customFormat="1" ht="14.4" thickBot="1">
      <c r="A14" s="982">
        <v>1</v>
      </c>
      <c r="B14" s="439" t="s">
        <v>220</v>
      </c>
      <c r="C14" s="440"/>
      <c r="D14" s="440"/>
      <c r="E14" s="440"/>
      <c r="F14" s="846">
        <v>125000000</v>
      </c>
      <c r="G14" s="171"/>
      <c r="H14" s="171"/>
      <c r="I14" s="171"/>
      <c r="J14" s="171"/>
      <c r="K14" s="171"/>
    </row>
    <row r="15" spans="1:11" s="172" customFormat="1" ht="14.4" thickBot="1">
      <c r="A15" s="982"/>
      <c r="B15" s="434" t="s">
        <v>515</v>
      </c>
      <c r="C15" s="441"/>
      <c r="D15" s="442"/>
      <c r="E15" s="442"/>
      <c r="F15" s="443"/>
      <c r="G15" s="171"/>
      <c r="H15" s="171"/>
      <c r="I15" s="444"/>
      <c r="J15" s="171"/>
      <c r="K15" s="171"/>
    </row>
    <row r="16" spans="1:11" s="172" customFormat="1" ht="16.8">
      <c r="A16" s="982">
        <v>2</v>
      </c>
      <c r="B16" s="436" t="s">
        <v>221</v>
      </c>
      <c r="C16" s="437"/>
      <c r="D16" s="437"/>
      <c r="E16" s="437"/>
      <c r="F16" s="702">
        <f>XIRR(J51:J70,B51:B70,0.08)</f>
        <v>4.8922438621520993E-2</v>
      </c>
      <c r="G16" s="445"/>
      <c r="H16" s="1019"/>
      <c r="I16" s="171"/>
      <c r="J16" s="171"/>
      <c r="K16" s="171"/>
    </row>
    <row r="17" spans="1:12" s="172" customFormat="1" ht="16.2">
      <c r="A17" s="982">
        <v>3</v>
      </c>
      <c r="B17" s="446" t="s">
        <v>222</v>
      </c>
      <c r="C17" s="442"/>
      <c r="D17" s="442"/>
      <c r="E17" s="442"/>
      <c r="F17" s="447"/>
      <c r="G17" s="171"/>
      <c r="H17" s="173"/>
      <c r="I17" s="173"/>
      <c r="J17" s="173"/>
    </row>
    <row r="18" spans="1:12" s="172" customFormat="1" ht="15">
      <c r="A18" s="982"/>
      <c r="B18" s="448"/>
      <c r="C18" s="449"/>
      <c r="D18" s="171"/>
      <c r="E18" s="171"/>
      <c r="F18" s="450"/>
      <c r="G18" s="171"/>
      <c r="H18" s="173"/>
      <c r="I18" s="173"/>
      <c r="J18" s="173"/>
    </row>
    <row r="19" spans="1:12" s="172" customFormat="1">
      <c r="A19" s="982"/>
      <c r="B19" s="448"/>
      <c r="C19" s="449"/>
      <c r="D19" s="171"/>
      <c r="E19" s="171"/>
      <c r="F19" s="450"/>
      <c r="G19" s="171"/>
      <c r="H19" s="171"/>
      <c r="I19" s="171"/>
      <c r="J19" s="171"/>
      <c r="K19" s="201"/>
    </row>
    <row r="20" spans="1:12" s="172" customFormat="1" ht="22.8">
      <c r="A20" s="982">
        <v>4</v>
      </c>
      <c r="B20" s="451" t="s">
        <v>223</v>
      </c>
      <c r="C20" s="452"/>
      <c r="D20" s="453"/>
      <c r="E20" s="453"/>
      <c r="F20" s="450"/>
      <c r="G20" s="171"/>
      <c r="H20" s="171"/>
      <c r="J20" s="454"/>
      <c r="K20" s="171"/>
    </row>
    <row r="21" spans="1:12" s="172" customFormat="1" ht="22.8">
      <c r="A21" s="982"/>
      <c r="B21" s="448"/>
      <c r="C21" s="455"/>
      <c r="D21" s="171"/>
      <c r="E21" s="171"/>
      <c r="F21" s="450"/>
      <c r="G21" s="171"/>
      <c r="H21" s="171"/>
      <c r="I21" s="171"/>
      <c r="J21" s="171"/>
      <c r="K21" s="171"/>
    </row>
    <row r="22" spans="1:12" s="172" customFormat="1" ht="19.5" customHeight="1" thickBot="1">
      <c r="A22" s="982"/>
      <c r="B22" s="456"/>
      <c r="C22" s="457"/>
      <c r="D22" s="458"/>
      <c r="E22" s="458"/>
      <c r="F22" s="459"/>
      <c r="G22" s="171"/>
      <c r="H22" s="171"/>
      <c r="I22" s="171"/>
      <c r="J22" s="171"/>
      <c r="K22" s="171"/>
    </row>
    <row r="23" spans="1:12" s="172" customFormat="1">
      <c r="A23" s="982"/>
      <c r="B23" s="434"/>
      <c r="D23" s="171"/>
      <c r="E23" s="171"/>
      <c r="F23" s="460"/>
      <c r="G23" s="171"/>
      <c r="H23" s="171"/>
      <c r="I23" s="171"/>
      <c r="J23" s="171"/>
      <c r="K23" s="171"/>
    </row>
    <row r="24" spans="1:12" s="172" customFormat="1" ht="13.8" thickBot="1">
      <c r="A24" s="982"/>
      <c r="B24" s="979" t="s">
        <v>516</v>
      </c>
      <c r="D24" s="171"/>
      <c r="E24" s="171"/>
      <c r="F24" s="461"/>
      <c r="G24" s="171"/>
      <c r="H24" s="171"/>
      <c r="I24" s="171"/>
      <c r="J24" s="171"/>
      <c r="K24" s="171"/>
    </row>
    <row r="25" spans="1:12" s="172" customFormat="1">
      <c r="A25" s="982"/>
      <c r="B25" s="462"/>
      <c r="C25" s="463"/>
      <c r="D25" s="464"/>
      <c r="E25" s="464"/>
      <c r="F25" s="465"/>
      <c r="G25" s="171"/>
      <c r="H25" s="171"/>
      <c r="I25" s="171"/>
      <c r="J25" s="171"/>
      <c r="K25" s="171"/>
    </row>
    <row r="26" spans="1:12" s="172" customFormat="1">
      <c r="A26" s="982"/>
      <c r="B26" s="448" t="s">
        <v>224</v>
      </c>
      <c r="C26" s="449"/>
      <c r="D26" s="171"/>
      <c r="E26" s="171"/>
      <c r="F26" s="466"/>
      <c r="G26" s="171"/>
      <c r="H26" s="171"/>
      <c r="I26" s="171"/>
      <c r="J26" s="171"/>
      <c r="K26" s="171"/>
    </row>
    <row r="27" spans="1:12" s="172" customFormat="1" ht="15.6">
      <c r="A27" s="982">
        <v>5</v>
      </c>
      <c r="B27" s="467" t="s">
        <v>225</v>
      </c>
      <c r="C27" s="449"/>
      <c r="D27" s="171"/>
      <c r="E27" s="171"/>
      <c r="F27" s="847">
        <v>0</v>
      </c>
      <c r="G27" s="171"/>
      <c r="H27" s="1019"/>
      <c r="I27" s="171"/>
      <c r="J27" s="171"/>
      <c r="K27" s="171"/>
    </row>
    <row r="28" spans="1:12" s="172" customFormat="1" ht="15.6">
      <c r="A28" s="982">
        <v>6</v>
      </c>
      <c r="B28" s="467" t="s">
        <v>260</v>
      </c>
      <c r="C28" s="449"/>
      <c r="D28" s="171"/>
      <c r="E28" s="171"/>
      <c r="F28" s="847">
        <f>0.002*F14</f>
        <v>250000</v>
      </c>
      <c r="H28" s="1019"/>
      <c r="I28" s="171"/>
      <c r="J28" s="171"/>
      <c r="K28" s="171"/>
      <c r="L28" s="539"/>
    </row>
    <row r="29" spans="1:12" s="172" customFormat="1">
      <c r="A29" s="982">
        <v>7</v>
      </c>
      <c r="B29" s="467" t="s">
        <v>259</v>
      </c>
      <c r="C29" s="449"/>
      <c r="D29" s="171"/>
      <c r="E29" s="171"/>
      <c r="F29" s="847">
        <f>0.0035*F14</f>
        <v>437500</v>
      </c>
      <c r="G29" s="537"/>
      <c r="H29" s="171"/>
      <c r="I29" s="171"/>
      <c r="J29" s="171"/>
      <c r="K29" s="171"/>
    </row>
    <row r="30" spans="1:12" s="172" customFormat="1">
      <c r="A30" s="982">
        <v>8</v>
      </c>
      <c r="B30" s="467" t="s">
        <v>258</v>
      </c>
      <c r="C30" s="449"/>
      <c r="D30" s="171"/>
      <c r="E30" s="171"/>
      <c r="F30" s="847">
        <v>0</v>
      </c>
      <c r="G30" s="171"/>
      <c r="H30" s="171"/>
      <c r="I30" s="171"/>
      <c r="J30" s="171"/>
      <c r="K30" s="171"/>
    </row>
    <row r="31" spans="1:12" s="172" customFormat="1">
      <c r="A31" s="982">
        <v>9</v>
      </c>
      <c r="B31" s="467" t="s">
        <v>257</v>
      </c>
      <c r="C31" s="468"/>
      <c r="D31" s="171"/>
      <c r="E31" s="171"/>
      <c r="F31" s="847">
        <v>1000000</v>
      </c>
      <c r="G31" s="171"/>
      <c r="H31" s="171"/>
      <c r="I31" s="171"/>
      <c r="J31" s="171"/>
      <c r="K31" s="171"/>
    </row>
    <row r="32" spans="1:12" s="172" customFormat="1" ht="13.8" thickBot="1">
      <c r="A32" s="982">
        <v>10</v>
      </c>
      <c r="B32" s="467" t="s">
        <v>226</v>
      </c>
      <c r="C32" s="468"/>
      <c r="D32" s="171"/>
      <c r="E32" s="171"/>
      <c r="F32" s="469">
        <f>SUM(F27:F31)</f>
        <v>1687500</v>
      </c>
      <c r="G32" s="171"/>
      <c r="H32" s="171"/>
      <c r="I32" s="171"/>
      <c r="J32" s="171"/>
      <c r="K32" s="171"/>
    </row>
    <row r="33" spans="1:17 16384:16384" s="172" customFormat="1" ht="14.4" thickTop="1" thickBot="1">
      <c r="A33" s="982"/>
      <c r="B33" s="470"/>
      <c r="C33" s="471"/>
      <c r="D33" s="472"/>
      <c r="E33" s="472"/>
      <c r="F33" s="473"/>
      <c r="G33" s="171"/>
      <c r="H33" s="171"/>
      <c r="I33" s="171"/>
      <c r="J33" s="171"/>
      <c r="K33" s="171"/>
    </row>
    <row r="34" spans="1:17 16384:16384" s="172" customFormat="1">
      <c r="A34" s="982"/>
      <c r="B34" s="462"/>
      <c r="C34" s="474"/>
      <c r="D34" s="464"/>
      <c r="E34" s="464"/>
      <c r="F34" s="475"/>
      <c r="G34" s="171"/>
      <c r="H34" s="171"/>
      <c r="I34" s="171"/>
      <c r="J34" s="476"/>
      <c r="K34" s="171"/>
    </row>
    <row r="35" spans="1:17 16384:16384" s="172" customFormat="1">
      <c r="A35" s="982">
        <v>11</v>
      </c>
      <c r="B35" s="448" t="s">
        <v>266</v>
      </c>
      <c r="C35" s="468"/>
      <c r="D35" s="171"/>
      <c r="E35" s="171"/>
      <c r="F35" s="848">
        <f>+F14*0.0004*2</f>
        <v>100000</v>
      </c>
      <c r="G35" s="537"/>
      <c r="H35" s="171"/>
      <c r="I35" s="171"/>
      <c r="J35" s="476"/>
      <c r="K35" s="171"/>
    </row>
    <row r="36" spans="1:17 16384:16384" s="172" customFormat="1">
      <c r="A36" s="982">
        <v>12</v>
      </c>
      <c r="B36" s="448" t="s">
        <v>267</v>
      </c>
      <c r="C36" s="468"/>
      <c r="D36" s="171"/>
      <c r="E36" s="171"/>
      <c r="F36" s="848">
        <v>50000</v>
      </c>
      <c r="G36" s="171"/>
      <c r="H36" s="171"/>
      <c r="I36" s="171"/>
      <c r="J36" s="476"/>
      <c r="K36" s="171"/>
    </row>
    <row r="37" spans="1:17 16384:16384" s="172" customFormat="1" ht="13.8" thickBot="1">
      <c r="A37" s="982">
        <v>13</v>
      </c>
      <c r="B37" s="456" t="s">
        <v>256</v>
      </c>
      <c r="C37" s="477"/>
      <c r="D37" s="458"/>
      <c r="E37" s="458"/>
      <c r="F37" s="849">
        <v>3.0000000000000001E-3</v>
      </c>
      <c r="G37" s="478"/>
      <c r="H37" s="171"/>
      <c r="I37" s="171"/>
      <c r="K37" s="171"/>
    </row>
    <row r="38" spans="1:17 16384:16384" s="172" customFormat="1">
      <c r="A38" s="982"/>
      <c r="B38" s="434"/>
      <c r="C38" s="435"/>
      <c r="D38" s="171"/>
      <c r="E38" s="171"/>
      <c r="F38" s="171"/>
      <c r="G38" s="171"/>
      <c r="H38" s="171"/>
      <c r="I38" s="171"/>
      <c r="J38" s="171"/>
      <c r="K38" s="171"/>
    </row>
    <row r="39" spans="1:17 16384:16384" s="172" customFormat="1" ht="13.8" thickBot="1">
      <c r="A39" s="982"/>
      <c r="B39" s="979" t="s">
        <v>711</v>
      </c>
      <c r="C39" s="435"/>
      <c r="D39" s="171"/>
      <c r="E39" s="171"/>
      <c r="F39" s="171"/>
      <c r="G39" s="171"/>
      <c r="H39" s="171"/>
      <c r="I39" s="171"/>
      <c r="J39" s="171"/>
      <c r="K39" s="171"/>
    </row>
    <row r="40" spans="1:17 16384:16384" s="172" customFormat="1" ht="16.2" thickBot="1">
      <c r="A40" s="987"/>
      <c r="B40" s="479"/>
      <c r="C40" s="538">
        <v>2014</v>
      </c>
      <c r="D40" s="480">
        <f t="shared" ref="D40:I40" si="0">+C40+1</f>
        <v>2015</v>
      </c>
      <c r="E40" s="480">
        <f t="shared" si="0"/>
        <v>2016</v>
      </c>
      <c r="F40" s="480">
        <f t="shared" si="0"/>
        <v>2017</v>
      </c>
      <c r="G40" s="480">
        <f t="shared" si="0"/>
        <v>2018</v>
      </c>
      <c r="H40" s="480">
        <f t="shared" si="0"/>
        <v>2019</v>
      </c>
      <c r="I40" s="480">
        <f t="shared" si="0"/>
        <v>2020</v>
      </c>
      <c r="K40" s="1019"/>
    </row>
    <row r="41" spans="1:17 16384:16384" s="172" customFormat="1" ht="16.2" thickBot="1">
      <c r="A41" s="987">
        <v>14</v>
      </c>
      <c r="B41" s="481" t="s">
        <v>255</v>
      </c>
      <c r="C41" s="850">
        <v>6.3600000000000002E-3</v>
      </c>
      <c r="D41" s="850">
        <v>1.034E-2</v>
      </c>
      <c r="E41" s="850">
        <v>1.6E-2</v>
      </c>
      <c r="F41" s="850">
        <v>2.1299999999999999E-2</v>
      </c>
      <c r="G41" s="850">
        <v>2.1299999999999999E-2</v>
      </c>
      <c r="H41" s="850">
        <v>2.1299999999999999E-2</v>
      </c>
      <c r="I41" s="850">
        <v>2.1299999999999999E-2</v>
      </c>
      <c r="K41" s="1019"/>
      <c r="L41" s="1529"/>
      <c r="M41" s="1529"/>
      <c r="N41" s="1529"/>
      <c r="O41" s="1529"/>
      <c r="P41" s="1529"/>
      <c r="Q41" s="1529"/>
      <c r="XFD41" s="1019"/>
    </row>
    <row r="42" spans="1:17 16384:16384" s="172" customFormat="1" ht="13.8" thickBot="1">
      <c r="A42" s="987">
        <v>15</v>
      </c>
      <c r="B42" s="481" t="s">
        <v>254</v>
      </c>
      <c r="C42" s="850">
        <v>2.2499999999999999E-2</v>
      </c>
      <c r="D42" s="850">
        <v>2.2499999999999999E-2</v>
      </c>
      <c r="E42" s="850">
        <v>2.2499999999999999E-2</v>
      </c>
      <c r="F42" s="850">
        <v>2.2499999999999999E-2</v>
      </c>
      <c r="G42" s="850">
        <v>2.2499999999999999E-2</v>
      </c>
      <c r="H42" s="850">
        <v>2.2499999999999999E-2</v>
      </c>
      <c r="I42" s="850">
        <v>2.2499999999999999E-2</v>
      </c>
    </row>
    <row r="43" spans="1:17 16384:16384" s="172" customFormat="1" ht="13.8" thickBot="1">
      <c r="A43" s="987">
        <v>16</v>
      </c>
      <c r="B43" s="482" t="s">
        <v>227</v>
      </c>
      <c r="C43" s="483">
        <f t="shared" ref="C43:I43" si="1">SUM(C41:C42)</f>
        <v>2.886E-2</v>
      </c>
      <c r="D43" s="483">
        <f t="shared" si="1"/>
        <v>3.2840000000000001E-2</v>
      </c>
      <c r="E43" s="483">
        <f t="shared" si="1"/>
        <v>3.85E-2</v>
      </c>
      <c r="F43" s="483">
        <f t="shared" si="1"/>
        <v>4.3799999999999999E-2</v>
      </c>
      <c r="G43" s="483">
        <f t="shared" si="1"/>
        <v>4.3799999999999999E-2</v>
      </c>
      <c r="H43" s="483">
        <f t="shared" si="1"/>
        <v>4.3799999999999999E-2</v>
      </c>
      <c r="I43" s="483">
        <f t="shared" si="1"/>
        <v>4.3799999999999999E-2</v>
      </c>
    </row>
    <row r="44" spans="1:17 16384:16384" s="172" customFormat="1">
      <c r="A44" s="987"/>
    </row>
    <row r="45" spans="1:17 16384:16384" s="172" customFormat="1" ht="13.8" thickBot="1">
      <c r="A45" s="987"/>
      <c r="B45" s="979" t="s">
        <v>712</v>
      </c>
    </row>
    <row r="46" spans="1:17 16384:16384" s="172" customFormat="1">
      <c r="A46" s="987"/>
      <c r="B46" s="484" t="s">
        <v>154</v>
      </c>
      <c r="C46" s="485" t="s">
        <v>153</v>
      </c>
      <c r="D46" s="485" t="s">
        <v>228</v>
      </c>
      <c r="E46" s="485" t="s">
        <v>229</v>
      </c>
      <c r="F46" s="485" t="s">
        <v>230</v>
      </c>
      <c r="G46" s="485" t="s">
        <v>231</v>
      </c>
      <c r="H46" s="485" t="s">
        <v>232</v>
      </c>
      <c r="I46" s="485" t="s">
        <v>233</v>
      </c>
      <c r="J46" s="486" t="s">
        <v>234</v>
      </c>
    </row>
    <row r="47" spans="1:17 16384:16384" s="172" customFormat="1" ht="52.8">
      <c r="A47" s="987">
        <v>17</v>
      </c>
      <c r="B47" s="198" t="s">
        <v>156</v>
      </c>
      <c r="C47" s="452"/>
      <c r="D47" s="413" t="s">
        <v>631</v>
      </c>
      <c r="E47" s="413" t="s">
        <v>349</v>
      </c>
      <c r="F47" s="413" t="s">
        <v>350</v>
      </c>
      <c r="G47" s="413" t="s">
        <v>351</v>
      </c>
      <c r="H47" s="413" t="s">
        <v>235</v>
      </c>
      <c r="I47" s="413" t="s">
        <v>253</v>
      </c>
      <c r="J47" s="487" t="s">
        <v>236</v>
      </c>
    </row>
    <row r="48" spans="1:17 16384:16384" s="172" customFormat="1" ht="58.5" customHeight="1" thickBot="1">
      <c r="A48" s="987"/>
      <c r="B48" s="488"/>
      <c r="C48" s="457"/>
      <c r="D48" s="992"/>
      <c r="E48" s="992"/>
      <c r="F48" s="992" t="s">
        <v>560</v>
      </c>
      <c r="G48" s="992" t="s">
        <v>833</v>
      </c>
      <c r="H48" s="992" t="s">
        <v>561</v>
      </c>
      <c r="I48" s="992" t="s">
        <v>834</v>
      </c>
      <c r="J48" s="993" t="s">
        <v>237</v>
      </c>
    </row>
    <row r="49" spans="1:12" s="172" customFormat="1">
      <c r="A49" s="987"/>
      <c r="B49" s="484"/>
      <c r="C49" s="485"/>
      <c r="D49" s="463"/>
      <c r="E49" s="463"/>
      <c r="F49" s="463"/>
      <c r="G49" s="463"/>
      <c r="H49" s="463"/>
      <c r="I49" s="463"/>
      <c r="J49" s="489"/>
    </row>
    <row r="50" spans="1:12" s="172" customFormat="1" ht="15">
      <c r="A50" s="987">
        <v>18</v>
      </c>
      <c r="B50" s="851"/>
      <c r="C50" s="526"/>
      <c r="D50" s="845"/>
      <c r="E50" s="853"/>
      <c r="F50" s="853"/>
      <c r="G50" s="449"/>
      <c r="H50" s="853"/>
      <c r="I50" s="449"/>
      <c r="J50" s="492"/>
    </row>
    <row r="51" spans="1:12" s="172" customFormat="1" ht="15.6">
      <c r="A51" s="987">
        <f>+A50+1</f>
        <v>19</v>
      </c>
      <c r="B51" s="851">
        <v>41729</v>
      </c>
      <c r="C51" s="526" t="s">
        <v>240</v>
      </c>
      <c r="D51" s="845">
        <v>19350</v>
      </c>
      <c r="E51" s="845">
        <v>9675</v>
      </c>
      <c r="F51" s="845">
        <f>SUM($E$50:E51)</f>
        <v>9675</v>
      </c>
      <c r="G51" s="449"/>
      <c r="H51" s="845">
        <v>2100</v>
      </c>
      <c r="I51" s="449"/>
      <c r="J51" s="492">
        <f t="shared" ref="J51:J67" si="2">E51-G51-H51-I51</f>
        <v>7575</v>
      </c>
      <c r="L51" s="1020"/>
    </row>
    <row r="52" spans="1:12" s="172" customFormat="1" ht="15.6">
      <c r="A52" s="987">
        <f t="shared" ref="A52:A74" si="3">+A51+1</f>
        <v>20</v>
      </c>
      <c r="B52" s="852">
        <v>41820</v>
      </c>
      <c r="C52" s="857" t="s">
        <v>241</v>
      </c>
      <c r="D52" s="845">
        <v>19350</v>
      </c>
      <c r="E52" s="845">
        <v>9675</v>
      </c>
      <c r="F52" s="845">
        <f>SUM($E$50:E52)</f>
        <v>19350</v>
      </c>
      <c r="G52" s="995">
        <f>F51*SUMIF($C$40:$I$40,YEAR(B51),$C$43:$I$43)*((B52-B51)/365)</f>
        <v>69.613878082191789</v>
      </c>
      <c r="H52" s="845"/>
      <c r="I52" s="491">
        <f>($F$14/1000-F51)*$F$37/4+($F$36/1000)/4+($F$35/1000)/4</f>
        <v>123.99375000000001</v>
      </c>
      <c r="J52" s="492">
        <f t="shared" si="2"/>
        <v>9481.3923719178092</v>
      </c>
      <c r="L52" s="1019"/>
    </row>
    <row r="53" spans="1:12" s="172" customFormat="1" ht="15.6">
      <c r="A53" s="987">
        <f t="shared" si="3"/>
        <v>21</v>
      </c>
      <c r="B53" s="852">
        <v>41912</v>
      </c>
      <c r="C53" s="857" t="s">
        <v>238</v>
      </c>
      <c r="D53" s="845">
        <v>19350</v>
      </c>
      <c r="E53" s="845">
        <v>9675</v>
      </c>
      <c r="F53" s="845">
        <f>SUM($E$50:E53)</f>
        <v>29025</v>
      </c>
      <c r="G53" s="995">
        <f>F52*SUMIF($C$40:$I$40,YEAR(B52),$C$43:$I$43)*((B53-B52)/365)</f>
        <v>140.75773150684932</v>
      </c>
      <c r="H53" s="845"/>
      <c r="I53" s="491">
        <f t="shared" ref="I53:I66" si="4">($F$14/1000-F52)*$F$37/4+($F$36/1000)/4+($F$35/1000)/4</f>
        <v>116.7375</v>
      </c>
      <c r="J53" s="492">
        <f t="shared" si="2"/>
        <v>9417.5047684931506</v>
      </c>
      <c r="K53" s="200"/>
      <c r="L53" s="1019"/>
    </row>
    <row r="54" spans="1:12" s="172" customFormat="1" ht="15">
      <c r="A54" s="987">
        <f t="shared" si="3"/>
        <v>22</v>
      </c>
      <c r="B54" s="852">
        <v>42004</v>
      </c>
      <c r="C54" s="857" t="s">
        <v>239</v>
      </c>
      <c r="D54" s="845">
        <v>19350</v>
      </c>
      <c r="E54" s="845">
        <v>9675</v>
      </c>
      <c r="F54" s="845">
        <f>SUM($E$50:E54)</f>
        <v>38700</v>
      </c>
      <c r="G54" s="995">
        <f t="shared" ref="G54:G66" si="5">F53*SUMIF($C$40:$I$40,YEAR(B53),$C$43:$I$43)*((B54-B53)/365)</f>
        <v>211.13659726027399</v>
      </c>
      <c r="H54" s="845"/>
      <c r="I54" s="491">
        <f t="shared" si="4"/>
        <v>109.48125</v>
      </c>
      <c r="J54" s="492">
        <f t="shared" si="2"/>
        <v>9354.3821527397249</v>
      </c>
      <c r="K54" s="200"/>
      <c r="L54" s="412"/>
    </row>
    <row r="55" spans="1:12" s="172" customFormat="1" ht="15">
      <c r="A55" s="987">
        <f t="shared" si="3"/>
        <v>23</v>
      </c>
      <c r="B55" s="852">
        <v>42094</v>
      </c>
      <c r="C55" s="857" t="s">
        <v>240</v>
      </c>
      <c r="D55" s="845">
        <v>24775</v>
      </c>
      <c r="E55" s="845">
        <v>12387.5</v>
      </c>
      <c r="F55" s="845">
        <f>SUM($E$50:E55)</f>
        <v>51087.5</v>
      </c>
      <c r="G55" s="995">
        <f t="shared" si="5"/>
        <v>275.39556164383561</v>
      </c>
      <c r="H55" s="845"/>
      <c r="I55" s="491">
        <f t="shared" si="4"/>
        <v>102.22499999999999</v>
      </c>
      <c r="J55" s="492">
        <f t="shared" si="2"/>
        <v>12009.879438356164</v>
      </c>
      <c r="K55" s="200"/>
      <c r="L55" s="412"/>
    </row>
    <row r="56" spans="1:12" s="172" customFormat="1" ht="15">
      <c r="A56" s="987">
        <f t="shared" si="3"/>
        <v>24</v>
      </c>
      <c r="B56" s="852">
        <v>42185</v>
      </c>
      <c r="C56" s="857" t="s">
        <v>241</v>
      </c>
      <c r="D56" s="845">
        <v>24775</v>
      </c>
      <c r="E56" s="845">
        <v>12387.5</v>
      </c>
      <c r="F56" s="845">
        <f>SUM($E$50:E56)</f>
        <v>63475</v>
      </c>
      <c r="G56" s="995">
        <f t="shared" si="5"/>
        <v>418.27925616438358</v>
      </c>
      <c r="H56" s="845"/>
      <c r="I56" s="491">
        <f t="shared" si="4"/>
        <v>92.934375000000003</v>
      </c>
      <c r="J56" s="492">
        <f t="shared" si="2"/>
        <v>11876.286368835616</v>
      </c>
      <c r="K56" s="200"/>
      <c r="L56" s="412"/>
    </row>
    <row r="57" spans="1:12" s="172" customFormat="1" ht="15">
      <c r="A57" s="987">
        <f t="shared" si="3"/>
        <v>25</v>
      </c>
      <c r="B57" s="852">
        <v>42277</v>
      </c>
      <c r="C57" s="857" t="s">
        <v>238</v>
      </c>
      <c r="D57" s="845">
        <v>24775</v>
      </c>
      <c r="E57" s="845">
        <v>12387.5</v>
      </c>
      <c r="F57" s="845">
        <f>SUM($E$50:E57)</f>
        <v>75862.5</v>
      </c>
      <c r="G57" s="995">
        <f t="shared" si="5"/>
        <v>525.41300821917821</v>
      </c>
      <c r="H57" s="845"/>
      <c r="I57" s="491">
        <f t="shared" si="4"/>
        <v>83.643750000000011</v>
      </c>
      <c r="J57" s="492">
        <f t="shared" si="2"/>
        <v>11778.443241780822</v>
      </c>
      <c r="K57" s="200"/>
      <c r="L57" s="412"/>
    </row>
    <row r="58" spans="1:12" s="172" customFormat="1" ht="15">
      <c r="A58" s="987">
        <f t="shared" si="3"/>
        <v>26</v>
      </c>
      <c r="B58" s="852">
        <v>42369</v>
      </c>
      <c r="C58" s="857" t="s">
        <v>239</v>
      </c>
      <c r="D58" s="845">
        <v>24775</v>
      </c>
      <c r="E58" s="845">
        <v>12387.5</v>
      </c>
      <c r="F58" s="845">
        <f>SUM($E$50:E58)</f>
        <v>88250</v>
      </c>
      <c r="G58" s="995">
        <f t="shared" si="5"/>
        <v>627.95028493150699</v>
      </c>
      <c r="H58" s="845"/>
      <c r="I58" s="491">
        <f t="shared" si="4"/>
        <v>74.353125000000006</v>
      </c>
      <c r="J58" s="492">
        <f t="shared" si="2"/>
        <v>11685.196590068494</v>
      </c>
      <c r="K58" s="200"/>
      <c r="L58" s="412"/>
    </row>
    <row r="59" spans="1:12" s="172" customFormat="1" ht="15">
      <c r="A59" s="987">
        <f t="shared" si="3"/>
        <v>27</v>
      </c>
      <c r="B59" s="852">
        <v>42460</v>
      </c>
      <c r="C59" s="857" t="s">
        <v>240</v>
      </c>
      <c r="D59" s="845">
        <v>23950</v>
      </c>
      <c r="E59" s="845">
        <v>11975</v>
      </c>
      <c r="F59" s="845">
        <f>SUM($E$50:E59)</f>
        <v>100225</v>
      </c>
      <c r="G59" s="995">
        <f t="shared" si="5"/>
        <v>722.54747945205486</v>
      </c>
      <c r="H59" s="845"/>
      <c r="I59" s="491">
        <f t="shared" si="4"/>
        <v>65.0625</v>
      </c>
      <c r="J59" s="492">
        <f t="shared" si="2"/>
        <v>11187.390020547946</v>
      </c>
      <c r="K59" s="200"/>
      <c r="L59" s="412"/>
    </row>
    <row r="60" spans="1:12" s="172" customFormat="1" ht="15">
      <c r="A60" s="987">
        <f t="shared" si="3"/>
        <v>28</v>
      </c>
      <c r="B60" s="852">
        <v>42551</v>
      </c>
      <c r="C60" s="857" t="s">
        <v>241</v>
      </c>
      <c r="D60" s="845">
        <v>23950</v>
      </c>
      <c r="E60" s="845">
        <v>11975</v>
      </c>
      <c r="F60" s="845">
        <f>SUM($E$50:E60)</f>
        <v>112200</v>
      </c>
      <c r="G60" s="995">
        <f t="shared" si="5"/>
        <v>962.02270547945204</v>
      </c>
      <c r="H60" s="845"/>
      <c r="I60" s="491">
        <f t="shared" si="4"/>
        <v>56.081249999999997</v>
      </c>
      <c r="J60" s="492">
        <f t="shared" si="2"/>
        <v>10956.896044520548</v>
      </c>
      <c r="K60" s="200"/>
      <c r="L60" s="412"/>
    </row>
    <row r="61" spans="1:12" s="172" customFormat="1" ht="15">
      <c r="A61" s="987">
        <f t="shared" si="3"/>
        <v>29</v>
      </c>
      <c r="B61" s="852">
        <v>42643</v>
      </c>
      <c r="C61" s="857" t="s">
        <v>238</v>
      </c>
      <c r="D61" s="845">
        <v>23950</v>
      </c>
      <c r="E61" s="845">
        <v>11975</v>
      </c>
      <c r="F61" s="845">
        <f>SUM($E$50:E61)</f>
        <v>124175</v>
      </c>
      <c r="G61" s="995">
        <f t="shared" si="5"/>
        <v>1088.801095890411</v>
      </c>
      <c r="H61" s="845"/>
      <c r="I61" s="491">
        <f t="shared" si="4"/>
        <v>47.1</v>
      </c>
      <c r="J61" s="492">
        <f t="shared" si="2"/>
        <v>10839.098904109589</v>
      </c>
      <c r="K61" s="200"/>
      <c r="L61" s="412"/>
    </row>
    <row r="62" spans="1:12" s="172" customFormat="1" ht="15">
      <c r="A62" s="987">
        <f t="shared" si="3"/>
        <v>30</v>
      </c>
      <c r="B62" s="852">
        <v>42735</v>
      </c>
      <c r="C62" s="857" t="s">
        <v>239</v>
      </c>
      <c r="D62" s="845">
        <v>23950</v>
      </c>
      <c r="E62" s="845">
        <v>11975</v>
      </c>
      <c r="F62" s="845">
        <f>SUM($E$50:E62)</f>
        <v>136150</v>
      </c>
      <c r="G62" s="995">
        <f t="shared" si="5"/>
        <v>1205.0078082191783</v>
      </c>
      <c r="H62" s="845"/>
      <c r="I62" s="491">
        <f t="shared" si="4"/>
        <v>38.118749999999999</v>
      </c>
      <c r="J62" s="492">
        <f t="shared" si="2"/>
        <v>10731.873441780823</v>
      </c>
      <c r="K62" s="200"/>
      <c r="L62" s="412"/>
    </row>
    <row r="63" spans="1:12" s="172" customFormat="1" ht="15">
      <c r="A63" s="987">
        <f t="shared" si="3"/>
        <v>31</v>
      </c>
      <c r="B63" s="852">
        <v>42825</v>
      </c>
      <c r="C63" s="857" t="s">
        <v>240</v>
      </c>
      <c r="D63" s="845">
        <v>23575</v>
      </c>
      <c r="E63" s="845">
        <v>11787.5</v>
      </c>
      <c r="F63" s="845">
        <f>SUM($E$50:E63)</f>
        <v>147937.5</v>
      </c>
      <c r="G63" s="995">
        <f t="shared" si="5"/>
        <v>1292.4924657534245</v>
      </c>
      <c r="H63" s="845"/>
      <c r="I63" s="491">
        <f t="shared" si="4"/>
        <v>29.137499999999999</v>
      </c>
      <c r="J63" s="492">
        <f t="shared" si="2"/>
        <v>10465.870034246575</v>
      </c>
      <c r="K63" s="200"/>
      <c r="L63" s="412"/>
    </row>
    <row r="64" spans="1:12" s="172" customFormat="1" ht="15">
      <c r="A64" s="987">
        <f t="shared" si="3"/>
        <v>32</v>
      </c>
      <c r="B64" s="852">
        <v>42916</v>
      </c>
      <c r="C64" s="857" t="s">
        <v>241</v>
      </c>
      <c r="D64" s="845">
        <v>23575</v>
      </c>
      <c r="E64" s="845">
        <v>11787.5</v>
      </c>
      <c r="F64" s="845">
        <f>SUM($E$50:E64)</f>
        <v>159725</v>
      </c>
      <c r="G64" s="995">
        <f t="shared" si="5"/>
        <v>1615.4775</v>
      </c>
      <c r="H64" s="845"/>
      <c r="I64" s="491">
        <f t="shared" si="4"/>
        <v>20.296875</v>
      </c>
      <c r="J64" s="492">
        <f t="shared" si="2"/>
        <v>10151.725624999999</v>
      </c>
      <c r="K64" s="200"/>
      <c r="L64" s="412"/>
    </row>
    <row r="65" spans="1:15" s="172" customFormat="1" ht="15">
      <c r="A65" s="987">
        <f t="shared" si="3"/>
        <v>33</v>
      </c>
      <c r="B65" s="852">
        <v>43008</v>
      </c>
      <c r="C65" s="857" t="s">
        <v>238</v>
      </c>
      <c r="D65" s="845">
        <v>23575</v>
      </c>
      <c r="E65" s="845">
        <v>11787.5</v>
      </c>
      <c r="F65" s="845">
        <f>SUM($E$50:E65)</f>
        <v>171512.5</v>
      </c>
      <c r="G65" s="995">
        <f t="shared" si="5"/>
        <v>1763.364</v>
      </c>
      <c r="H65" s="845"/>
      <c r="I65" s="491">
        <f t="shared" si="4"/>
        <v>11.456250000000001</v>
      </c>
      <c r="J65" s="492">
        <f t="shared" si="2"/>
        <v>10012.679750000001</v>
      </c>
      <c r="K65" s="200"/>
      <c r="L65" s="412"/>
    </row>
    <row r="66" spans="1:15" s="172" customFormat="1" ht="15">
      <c r="A66" s="987">
        <f t="shared" si="3"/>
        <v>34</v>
      </c>
      <c r="B66" s="852">
        <v>43100</v>
      </c>
      <c r="C66" s="857" t="s">
        <v>239</v>
      </c>
      <c r="D66" s="845">
        <v>23575</v>
      </c>
      <c r="E66" s="845">
        <v>11787.5</v>
      </c>
      <c r="F66" s="845">
        <f>SUM($E$50:E66)</f>
        <v>183300</v>
      </c>
      <c r="G66" s="995">
        <f t="shared" si="5"/>
        <v>1893.498</v>
      </c>
      <c r="H66" s="845"/>
      <c r="I66" s="491">
        <f t="shared" si="4"/>
        <v>2.6156250000000014</v>
      </c>
      <c r="J66" s="492">
        <f t="shared" si="2"/>
        <v>9891.386375</v>
      </c>
      <c r="K66" s="200"/>
      <c r="L66" s="412"/>
    </row>
    <row r="67" spans="1:15" s="172" customFormat="1" ht="15">
      <c r="A67" s="987">
        <f t="shared" si="3"/>
        <v>35</v>
      </c>
      <c r="B67" s="852">
        <v>43190</v>
      </c>
      <c r="C67" s="857" t="s">
        <v>240</v>
      </c>
      <c r="D67" s="845">
        <v>0</v>
      </c>
      <c r="E67" s="845">
        <f t="shared" ref="E67" si="6">0.5*SUM(D67)</f>
        <v>0</v>
      </c>
      <c r="F67" s="845">
        <f>SUM($E$50:E67)</f>
        <v>183300</v>
      </c>
      <c r="G67" s="995">
        <f>F66*SUMIF($C$40:$I$40,YEAR(B66),$C$43:$I$43)*((B67-B66)/365)+F67</f>
        <v>185279.64</v>
      </c>
      <c r="H67" s="845"/>
      <c r="I67" s="491"/>
      <c r="J67" s="492">
        <f t="shared" si="2"/>
        <v>-185279.64</v>
      </c>
      <c r="K67" s="200"/>
      <c r="L67" s="412"/>
    </row>
    <row r="68" spans="1:15" s="172" customFormat="1" ht="15">
      <c r="A68" s="987">
        <f t="shared" si="3"/>
        <v>36</v>
      </c>
      <c r="B68" s="852"/>
      <c r="C68" s="857"/>
      <c r="D68" s="845"/>
      <c r="E68" s="845"/>
      <c r="F68" s="845"/>
      <c r="G68" s="995"/>
      <c r="H68" s="845"/>
      <c r="I68" s="491"/>
      <c r="J68" s="994"/>
      <c r="K68" s="200"/>
      <c r="L68" s="412"/>
    </row>
    <row r="69" spans="1:15" s="172" customFormat="1" ht="15">
      <c r="A69" s="987">
        <f t="shared" si="3"/>
        <v>37</v>
      </c>
      <c r="B69" s="852"/>
      <c r="C69" s="857"/>
      <c r="D69" s="845"/>
      <c r="E69" s="845"/>
      <c r="F69" s="845"/>
      <c r="G69" s="996"/>
      <c r="H69" s="845"/>
      <c r="I69" s="491"/>
      <c r="J69" s="994"/>
      <c r="K69" s="200"/>
      <c r="L69" s="412"/>
    </row>
    <row r="70" spans="1:15" s="172" customFormat="1" ht="15">
      <c r="A70" s="987">
        <f t="shared" si="3"/>
        <v>38</v>
      </c>
      <c r="B70" s="852"/>
      <c r="C70" s="855"/>
      <c r="D70" s="845"/>
      <c r="E70" s="845"/>
      <c r="F70" s="845"/>
      <c r="G70" s="995"/>
      <c r="H70" s="845"/>
      <c r="I70" s="997"/>
      <c r="J70" s="994"/>
      <c r="K70" s="200"/>
    </row>
    <row r="71" spans="1:15" s="172" customFormat="1" ht="15">
      <c r="A71" s="987">
        <f t="shared" si="3"/>
        <v>39</v>
      </c>
      <c r="B71" s="852"/>
      <c r="C71" s="990"/>
      <c r="D71" s="991"/>
      <c r="E71" s="991"/>
      <c r="F71" s="991"/>
      <c r="G71" s="490"/>
      <c r="H71" s="991"/>
      <c r="I71" s="491"/>
      <c r="J71" s="492"/>
      <c r="K71" s="200"/>
    </row>
    <row r="72" spans="1:15" s="172" customFormat="1" ht="15">
      <c r="A72" s="987">
        <f t="shared" si="3"/>
        <v>40</v>
      </c>
      <c r="B72" s="852"/>
      <c r="C72" s="990"/>
      <c r="D72" s="991"/>
      <c r="E72" s="991"/>
      <c r="F72" s="991"/>
      <c r="G72" s="490"/>
      <c r="H72" s="991"/>
      <c r="I72" s="491"/>
      <c r="J72" s="492"/>
      <c r="K72" s="200"/>
    </row>
    <row r="73" spans="1:15" s="172" customFormat="1" ht="15">
      <c r="A73" s="987">
        <f t="shared" si="3"/>
        <v>41</v>
      </c>
      <c r="B73" s="852"/>
      <c r="C73" s="990"/>
      <c r="D73" s="991"/>
      <c r="E73" s="991"/>
      <c r="F73" s="991"/>
      <c r="G73" s="490"/>
      <c r="H73" s="991"/>
      <c r="I73" s="491"/>
      <c r="J73" s="492"/>
      <c r="K73" s="200"/>
    </row>
    <row r="74" spans="1:15" s="172" customFormat="1" ht="15.6" thickBot="1">
      <c r="A74" s="987">
        <f t="shared" si="3"/>
        <v>42</v>
      </c>
      <c r="B74" s="1134"/>
      <c r="C74" s="1135"/>
      <c r="D74" s="1136"/>
      <c r="E74" s="1136"/>
      <c r="F74" s="1136"/>
      <c r="G74" s="493"/>
      <c r="H74" s="1136"/>
      <c r="I74" s="494"/>
      <c r="J74" s="495"/>
      <c r="K74" s="200"/>
    </row>
    <row r="75" spans="1:15" s="172" customFormat="1">
      <c r="A75" s="987"/>
    </row>
    <row r="76" spans="1:15" s="172" customFormat="1">
      <c r="A76" s="987"/>
    </row>
    <row r="77" spans="1:15" s="172" customFormat="1">
      <c r="A77" s="987" t="s">
        <v>558</v>
      </c>
      <c r="B77" s="1137" t="str">
        <f>"1  The IRR is the input to Debt Cost shown on Appendix A, Page 4, Line "&amp;'Appendix A'!A233&amp;" during the construction period, after obtaining project financing, in accordance with Note G of Appendix A."</f>
        <v>1  The IRR is the input to Debt Cost shown on Appendix A, Page 4, Line 91 during the construction period, after obtaining project financing, in accordance with Note G of Appendix A.</v>
      </c>
      <c r="C77" s="1137"/>
      <c r="D77" s="1137"/>
      <c r="E77" s="1137"/>
      <c r="F77" s="1137"/>
      <c r="G77" s="1137"/>
      <c r="H77" s="1137"/>
      <c r="I77" s="1137"/>
      <c r="J77" s="1137"/>
    </row>
    <row r="78" spans="1:15" s="172" customFormat="1">
      <c r="A78" s="987"/>
      <c r="B78" s="1137" t="s">
        <v>835</v>
      </c>
      <c r="C78" s="1137"/>
      <c r="D78" s="1137"/>
      <c r="E78" s="1137"/>
      <c r="F78" s="1137"/>
      <c r="G78" s="1137"/>
      <c r="H78" s="1137"/>
      <c r="I78" s="1137"/>
      <c r="J78" s="1137"/>
      <c r="O78" s="998"/>
    </row>
    <row r="79" spans="1:15" s="172" customFormat="1" ht="15">
      <c r="A79" s="987"/>
      <c r="B79" s="1137" t="s">
        <v>698</v>
      </c>
      <c r="C79" s="1137"/>
      <c r="D79" s="1137"/>
      <c r="E79" s="1137"/>
      <c r="F79" s="1137"/>
      <c r="G79" s="1137"/>
      <c r="H79" s="1137"/>
      <c r="I79" s="1137"/>
      <c r="J79" s="1137"/>
      <c r="O79" s="999"/>
    </row>
    <row r="80" spans="1:15" s="172" customFormat="1">
      <c r="A80" s="987"/>
      <c r="B80" s="1137" t="s">
        <v>699</v>
      </c>
      <c r="C80" s="1137"/>
      <c r="D80" s="1137"/>
      <c r="E80" s="1137"/>
      <c r="F80" s="1137"/>
      <c r="G80" s="1137"/>
      <c r="H80" s="1137"/>
      <c r="I80" s="1137"/>
      <c r="J80" s="1137"/>
      <c r="O80" s="998"/>
    </row>
    <row r="81" spans="1:15" s="172" customFormat="1" ht="15">
      <c r="A81" s="205"/>
      <c r="B81" s="1137" t="s">
        <v>700</v>
      </c>
      <c r="C81" s="1137"/>
      <c r="D81" s="1137"/>
      <c r="E81" s="1137"/>
      <c r="F81" s="1137"/>
      <c r="G81" s="1137"/>
      <c r="H81" s="1137"/>
      <c r="I81" s="1137"/>
      <c r="J81" s="1137"/>
      <c r="O81" s="999"/>
    </row>
    <row r="82" spans="1:15" s="172" customFormat="1">
      <c r="A82" s="205"/>
      <c r="B82" s="1137" t="s">
        <v>701</v>
      </c>
      <c r="C82" s="1137"/>
      <c r="D82" s="1137"/>
      <c r="E82" s="1137"/>
      <c r="F82" s="1137"/>
      <c r="G82" s="1137"/>
      <c r="H82" s="1137"/>
      <c r="I82" s="1137"/>
      <c r="J82" s="1137"/>
      <c r="O82" s="998"/>
    </row>
    <row r="83" spans="1:15" s="172" customFormat="1" ht="15">
      <c r="A83" s="205"/>
      <c r="B83" s="1137" t="s">
        <v>1013</v>
      </c>
      <c r="C83" s="1137"/>
      <c r="D83" s="1137"/>
      <c r="E83" s="1137"/>
      <c r="F83" s="1137"/>
      <c r="G83" s="1137"/>
      <c r="H83" s="1137"/>
      <c r="I83" s="1137"/>
      <c r="J83" s="1137"/>
      <c r="O83" s="1000"/>
    </row>
    <row r="84" spans="1:15" s="172" customFormat="1">
      <c r="A84" s="205"/>
      <c r="B84" s="1137" t="s">
        <v>702</v>
      </c>
      <c r="C84" s="1137"/>
      <c r="D84" s="1137"/>
      <c r="E84" s="1137"/>
      <c r="F84" s="1137"/>
      <c r="G84" s="1137"/>
      <c r="H84" s="1137"/>
      <c r="I84" s="1137"/>
      <c r="J84" s="1137"/>
    </row>
    <row r="85" spans="1:15" s="172" customFormat="1">
      <c r="A85" s="205"/>
      <c r="B85" s="1137" t="s">
        <v>588</v>
      </c>
      <c r="C85" s="1137"/>
      <c r="D85" s="1137"/>
      <c r="E85" s="1137"/>
      <c r="F85" s="1137"/>
      <c r="G85" s="1137"/>
      <c r="H85" s="1137"/>
      <c r="I85" s="1137"/>
      <c r="J85" s="1137"/>
    </row>
    <row r="86" spans="1:15" s="172" customFormat="1">
      <c r="A86" s="205"/>
      <c r="B86" s="1138" t="s">
        <v>836</v>
      </c>
      <c r="C86" s="1137"/>
      <c r="D86" s="1137"/>
      <c r="E86" s="1137"/>
      <c r="F86" s="1137"/>
      <c r="G86" s="1137"/>
      <c r="H86" s="1137"/>
      <c r="I86" s="1137"/>
      <c r="J86" s="1137"/>
    </row>
    <row r="87" spans="1:15" s="172" customFormat="1">
      <c r="A87" s="205"/>
      <c r="B87" s="1137" t="s">
        <v>559</v>
      </c>
      <c r="C87" s="1137"/>
      <c r="D87" s="1137"/>
      <c r="E87" s="1137"/>
      <c r="F87" s="1137"/>
      <c r="G87" s="1137"/>
      <c r="H87" s="1137"/>
      <c r="I87" s="1137"/>
      <c r="J87" s="1137"/>
    </row>
    <row r="88" spans="1:15" s="172" customFormat="1">
      <c r="A88" s="205"/>
      <c r="B88" s="1137" t="s">
        <v>837</v>
      </c>
      <c r="C88" s="1137"/>
      <c r="D88" s="1137"/>
      <c r="E88" s="1137"/>
      <c r="F88" s="1137"/>
      <c r="G88" s="1137"/>
      <c r="H88" s="1137"/>
      <c r="I88" s="1137"/>
      <c r="J88" s="1137"/>
    </row>
    <row r="89" spans="1:15" s="172" customFormat="1">
      <c r="A89" s="205"/>
      <c r="B89" s="1137" t="s">
        <v>703</v>
      </c>
      <c r="C89" s="1137"/>
      <c r="D89" s="1137"/>
      <c r="E89" s="1139"/>
      <c r="F89" s="1137"/>
      <c r="G89" s="1139"/>
      <c r="H89" s="1139"/>
      <c r="I89" s="1137"/>
      <c r="J89" s="1139"/>
    </row>
    <row r="90" spans="1:15" s="172" customFormat="1">
      <c r="A90" s="205"/>
      <c r="B90" s="1137" t="s">
        <v>704</v>
      </c>
      <c r="C90" s="1137"/>
      <c r="D90" s="1137"/>
      <c r="E90" s="1140"/>
      <c r="F90" s="1137"/>
      <c r="G90" s="1137"/>
      <c r="H90" s="1137"/>
      <c r="I90" s="1137"/>
      <c r="J90" s="1137"/>
    </row>
    <row r="91" spans="1:15" s="172" customFormat="1">
      <c r="A91" s="205"/>
      <c r="B91" s="1137" t="s">
        <v>705</v>
      </c>
      <c r="C91" s="1137"/>
      <c r="D91" s="1140"/>
      <c r="E91" s="1140"/>
      <c r="F91" s="1137"/>
      <c r="G91" s="1137"/>
      <c r="H91" s="1137"/>
      <c r="I91" s="1137"/>
      <c r="J91" s="1137"/>
    </row>
    <row r="92" spans="1:15" s="172" customFormat="1">
      <c r="A92" s="205"/>
      <c r="B92" s="1137" t="s">
        <v>706</v>
      </c>
      <c r="C92" s="1137"/>
      <c r="D92" s="1140"/>
      <c r="E92" s="1140"/>
      <c r="F92" s="1137"/>
      <c r="G92" s="1137"/>
      <c r="H92" s="1137"/>
      <c r="I92" s="1137"/>
      <c r="J92" s="1137"/>
    </row>
    <row r="93" spans="1:15" s="172" customFormat="1">
      <c r="A93" s="205"/>
      <c r="B93" s="1137" t="s">
        <v>838</v>
      </c>
      <c r="C93" s="1137"/>
      <c r="D93" s="1140"/>
      <c r="E93" s="1140"/>
      <c r="F93" s="1137"/>
      <c r="G93" s="1137"/>
      <c r="H93" s="1137"/>
      <c r="I93" s="1137"/>
      <c r="J93" s="1137"/>
    </row>
    <row r="94" spans="1:15" s="172" customFormat="1">
      <c r="A94" s="205"/>
      <c r="B94" s="1137" t="s">
        <v>839</v>
      </c>
      <c r="C94" s="1137"/>
      <c r="D94" s="1140"/>
      <c r="E94" s="1140"/>
      <c r="F94" s="1137"/>
      <c r="G94" s="1137"/>
      <c r="H94" s="1137"/>
      <c r="I94" s="1137"/>
      <c r="J94" s="1137"/>
    </row>
    <row r="95" spans="1:15" s="172" customFormat="1">
      <c r="A95" s="205"/>
      <c r="B95" s="1137" t="s">
        <v>707</v>
      </c>
      <c r="C95" s="1137"/>
      <c r="D95" s="1140"/>
      <c r="E95" s="1140"/>
      <c r="F95" s="1137"/>
      <c r="G95" s="1137"/>
      <c r="H95" s="1137"/>
      <c r="I95" s="1137"/>
      <c r="J95" s="1137"/>
    </row>
    <row r="96" spans="1:15" s="1002" customFormat="1">
      <c r="A96" s="1001"/>
      <c r="B96" s="1137"/>
      <c r="C96" s="1137" t="s">
        <v>834</v>
      </c>
      <c r="D96" s="1137"/>
      <c r="E96" s="1140"/>
      <c r="F96" s="1137"/>
      <c r="G96" s="1137"/>
      <c r="H96" s="1137"/>
      <c r="I96" s="1137"/>
      <c r="J96" s="1137"/>
    </row>
    <row r="97" spans="1:10" s="172" customFormat="1">
      <c r="A97" s="205"/>
      <c r="B97" s="1141" t="s">
        <v>708</v>
      </c>
      <c r="C97" s="1137" t="s">
        <v>709</v>
      </c>
      <c r="D97" s="1137"/>
      <c r="E97" s="1140"/>
      <c r="F97" s="1137"/>
      <c r="G97" s="1137"/>
      <c r="H97" s="1137"/>
      <c r="I97" s="1137"/>
      <c r="J97" s="1137"/>
    </row>
    <row r="98" spans="1:10" s="172" customFormat="1">
      <c r="A98" s="205"/>
      <c r="B98" s="1137" t="s">
        <v>710</v>
      </c>
      <c r="C98" s="1142"/>
      <c r="D98" s="1142"/>
      <c r="E98" s="1137"/>
      <c r="F98" s="1137"/>
      <c r="G98" s="1137"/>
      <c r="H98" s="1137"/>
      <c r="I98" s="1137"/>
      <c r="J98" s="1137"/>
    </row>
    <row r="99" spans="1:10" s="172" customFormat="1">
      <c r="A99" s="205"/>
      <c r="B99" s="1137" t="s">
        <v>562</v>
      </c>
      <c r="C99" s="1137"/>
      <c r="D99" s="1137"/>
      <c r="E99" s="1137"/>
      <c r="F99" s="1137"/>
      <c r="G99" s="1137"/>
      <c r="H99" s="1137"/>
      <c r="I99" s="1137"/>
      <c r="J99" s="1137"/>
    </row>
    <row r="100" spans="1:10" s="172" customFormat="1" ht="44.25" customHeight="1">
      <c r="A100" s="205"/>
      <c r="B100" s="1530" t="s">
        <v>965</v>
      </c>
      <c r="C100" s="1530"/>
      <c r="D100" s="1530"/>
      <c r="E100" s="1530"/>
      <c r="F100" s="1530"/>
      <c r="G100" s="1530"/>
      <c r="H100" s="1530"/>
      <c r="I100" s="1530"/>
      <c r="J100" s="1530"/>
    </row>
    <row r="101" spans="1:10" s="172" customFormat="1">
      <c r="A101" s="205"/>
      <c r="B101" s="170"/>
      <c r="C101" s="170"/>
      <c r="D101" s="170"/>
      <c r="E101" s="170"/>
      <c r="F101" s="170"/>
      <c r="G101" s="170"/>
      <c r="H101" s="170"/>
      <c r="I101" s="170"/>
      <c r="J101" s="170"/>
    </row>
    <row r="102" spans="1:10" s="172" customFormat="1">
      <c r="A102" s="205"/>
      <c r="B102" s="170"/>
      <c r="C102" s="170"/>
      <c r="D102" s="170"/>
      <c r="E102" s="170"/>
      <c r="F102" s="170"/>
      <c r="G102" s="170"/>
      <c r="H102" s="170"/>
      <c r="I102" s="170"/>
      <c r="J102" s="170"/>
    </row>
    <row r="103" spans="1:10" s="172" customFormat="1">
      <c r="A103" s="205"/>
      <c r="B103" s="170"/>
      <c r="C103" s="170"/>
      <c r="D103" s="170"/>
      <c r="E103" s="170"/>
      <c r="F103" s="170"/>
      <c r="G103" s="170"/>
      <c r="H103" s="170"/>
      <c r="I103" s="170"/>
      <c r="J103" s="170"/>
    </row>
    <row r="104" spans="1:10" s="172" customFormat="1">
      <c r="A104" s="205"/>
      <c r="B104" s="170"/>
      <c r="C104" s="170"/>
      <c r="D104" s="170"/>
      <c r="E104" s="170"/>
      <c r="F104" s="170"/>
      <c r="G104" s="170"/>
      <c r="H104" s="170"/>
      <c r="I104" s="170"/>
      <c r="J104" s="170"/>
    </row>
    <row r="105" spans="1:10" s="172" customFormat="1">
      <c r="A105" s="205"/>
      <c r="B105" s="170"/>
      <c r="C105" s="170"/>
      <c r="D105" s="170"/>
      <c r="E105" s="170"/>
      <c r="F105" s="170"/>
      <c r="G105" s="170"/>
      <c r="H105" s="170"/>
      <c r="I105" s="170"/>
      <c r="J105" s="170"/>
    </row>
  </sheetData>
  <mergeCells count="6">
    <mergeCell ref="L41:Q41"/>
    <mergeCell ref="B100:J100"/>
    <mergeCell ref="A2:J2"/>
    <mergeCell ref="A3:J3"/>
    <mergeCell ref="A4:J4"/>
    <mergeCell ref="E6:G6"/>
  </mergeCells>
  <pageMargins left="0.7" right="0.7" top="0.75" bottom="0.75" header="0.3" footer="0.3"/>
  <pageSetup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21"/>
  <sheetViews>
    <sheetView view="pageBreakPreview" zoomScale="60" zoomScaleNormal="80" workbookViewId="0"/>
  </sheetViews>
  <sheetFormatPr defaultColWidth="8.90625" defaultRowHeight="15"/>
  <cols>
    <col min="1" max="1" width="6.90625" style="1340" customWidth="1"/>
    <col min="2" max="2" width="51.453125" style="558" customWidth="1"/>
    <col min="3" max="3" width="48.81640625" style="549" customWidth="1"/>
    <col min="4" max="4" width="22.1796875" style="549" customWidth="1"/>
    <col min="5" max="5" width="20.1796875" style="549" customWidth="1"/>
    <col min="6" max="6" width="16.6328125" style="549" customWidth="1"/>
    <col min="7" max="7" width="20.90625" style="549" customWidth="1"/>
    <col min="8" max="8" width="114.81640625" style="549" bestFit="1" customWidth="1"/>
    <col min="9" max="16384" width="8.90625" style="549"/>
  </cols>
  <sheetData>
    <row r="1" spans="1:21" ht="18">
      <c r="B1" s="1535" t="str">
        <f>+'Appendix A'!E9</f>
        <v>New York Transco LLC</v>
      </c>
      <c r="C1" s="1536"/>
      <c r="D1" s="1536"/>
      <c r="E1" s="1536"/>
      <c r="F1" s="1536"/>
      <c r="G1" s="1536"/>
      <c r="H1" s="1536"/>
      <c r="I1" s="548"/>
      <c r="J1" s="548"/>
    </row>
    <row r="2" spans="1:21" ht="18">
      <c r="B2" s="1535" t="s">
        <v>388</v>
      </c>
      <c r="C2" s="1535"/>
      <c r="D2" s="1535"/>
      <c r="E2" s="1535"/>
      <c r="F2" s="1535"/>
      <c r="G2" s="1535"/>
      <c r="H2" s="1535"/>
      <c r="I2" s="548"/>
      <c r="J2" s="548"/>
    </row>
    <row r="3" spans="1:21" ht="18">
      <c r="B3" s="1535" t="s">
        <v>218</v>
      </c>
      <c r="C3" s="1535"/>
      <c r="D3" s="1535"/>
      <c r="E3" s="1535"/>
      <c r="F3" s="1535"/>
      <c r="G3" s="1535"/>
      <c r="H3" s="1535"/>
      <c r="I3" s="548"/>
      <c r="J3" s="548"/>
    </row>
    <row r="4" spans="1:21" s="550" customFormat="1" ht="18">
      <c r="A4" s="1341"/>
      <c r="B4" s="594"/>
      <c r="C4" s="594"/>
      <c r="D4" s="594"/>
      <c r="E4" s="594"/>
      <c r="F4" s="594"/>
      <c r="G4" s="594"/>
      <c r="H4" s="594"/>
      <c r="I4" s="780"/>
      <c r="J4" s="780"/>
    </row>
    <row r="5" spans="1:21" s="550" customFormat="1" ht="18">
      <c r="A5" s="1341"/>
      <c r="B5" s="613"/>
      <c r="C5" s="614"/>
      <c r="D5" s="594"/>
      <c r="E5" s="594"/>
      <c r="F5" s="614"/>
      <c r="G5" s="594"/>
      <c r="H5" s="614"/>
    </row>
    <row r="6" spans="1:21" s="550" customFormat="1" ht="18">
      <c r="A6" s="1341"/>
      <c r="B6" s="613"/>
      <c r="C6" s="614"/>
      <c r="D6" s="595" t="s">
        <v>46</v>
      </c>
      <c r="E6" s="595" t="s">
        <v>361</v>
      </c>
      <c r="F6" s="595" t="s">
        <v>359</v>
      </c>
      <c r="G6" s="595" t="s">
        <v>42</v>
      </c>
      <c r="H6" s="614"/>
      <c r="J6" s="551"/>
      <c r="K6" s="551"/>
      <c r="L6" s="551"/>
      <c r="M6" s="551"/>
      <c r="N6" s="551"/>
      <c r="O6" s="551"/>
      <c r="P6" s="551"/>
      <c r="Q6" s="551"/>
      <c r="R6" s="551"/>
      <c r="S6" s="551"/>
      <c r="T6" s="551"/>
      <c r="U6" s="552"/>
    </row>
    <row r="7" spans="1:21" s="550" customFormat="1" ht="18">
      <c r="A7" s="1341"/>
      <c r="B7" s="613" t="s">
        <v>284</v>
      </c>
      <c r="C7" s="614"/>
      <c r="D7" s="595" t="s">
        <v>362</v>
      </c>
      <c r="E7" s="595" t="s">
        <v>362</v>
      </c>
      <c r="F7" s="595" t="s">
        <v>362</v>
      </c>
      <c r="G7" s="595"/>
      <c r="H7" s="614"/>
      <c r="J7" s="551"/>
      <c r="K7" s="551"/>
      <c r="L7" s="551"/>
      <c r="M7" s="551"/>
      <c r="N7" s="551"/>
      <c r="O7" s="551"/>
      <c r="P7" s="551"/>
      <c r="Q7" s="551"/>
      <c r="R7" s="551"/>
      <c r="S7" s="551"/>
      <c r="T7" s="551"/>
      <c r="U7" s="552"/>
    </row>
    <row r="8" spans="1:21" s="550" customFormat="1" ht="18">
      <c r="A8" s="1341"/>
      <c r="B8" s="665"/>
      <c r="C8" s="614"/>
      <c r="D8" s="614"/>
      <c r="E8" s="614"/>
      <c r="F8" s="614"/>
      <c r="G8" s="614"/>
      <c r="H8" s="614"/>
    </row>
    <row r="9" spans="1:21" s="550" customFormat="1" ht="18">
      <c r="A9" s="1341">
        <v>1</v>
      </c>
      <c r="C9" s="614" t="s">
        <v>1021</v>
      </c>
      <c r="D9" s="615">
        <f>+E67</f>
        <v>0</v>
      </c>
      <c r="E9" s="615">
        <f>+F67</f>
        <v>0</v>
      </c>
      <c r="F9" s="615">
        <f>+G67</f>
        <v>0</v>
      </c>
      <c r="G9" s="615"/>
      <c r="H9" s="614" t="s">
        <v>364</v>
      </c>
    </row>
    <row r="10" spans="1:21" s="550" customFormat="1" ht="18">
      <c r="A10" s="1341">
        <v>2</v>
      </c>
      <c r="C10" s="614" t="s">
        <v>365</v>
      </c>
      <c r="D10" s="615">
        <f>+E96</f>
        <v>0</v>
      </c>
      <c r="E10" s="615">
        <f>+F96</f>
        <v>0</v>
      </c>
      <c r="F10" s="615">
        <f>+G96</f>
        <v>0</v>
      </c>
      <c r="G10" s="615"/>
      <c r="H10" s="614" t="s">
        <v>366</v>
      </c>
    </row>
    <row r="11" spans="1:21" s="550" customFormat="1" ht="18">
      <c r="A11" s="1341">
        <v>3</v>
      </c>
      <c r="C11" s="614" t="s">
        <v>367</v>
      </c>
      <c r="D11" s="615">
        <f>E39</f>
        <v>0</v>
      </c>
      <c r="E11" s="615">
        <f>F39</f>
        <v>0</v>
      </c>
      <c r="F11" s="615">
        <f>G39</f>
        <v>0</v>
      </c>
      <c r="G11" s="615"/>
      <c r="H11" s="614" t="s">
        <v>368</v>
      </c>
    </row>
    <row r="12" spans="1:21" s="550" customFormat="1" ht="18">
      <c r="A12" s="1341">
        <v>4</v>
      </c>
      <c r="C12" s="614" t="s">
        <v>369</v>
      </c>
      <c r="D12" s="615">
        <f>SUM(D9:D11)</f>
        <v>0</v>
      </c>
      <c r="E12" s="615">
        <f>SUM(E9:E11)</f>
        <v>0</v>
      </c>
      <c r="F12" s="615">
        <f>SUM(F9:F11)</f>
        <v>0</v>
      </c>
      <c r="G12" s="615"/>
      <c r="H12" s="616"/>
    </row>
    <row r="13" spans="1:21" s="550" customFormat="1" ht="18">
      <c r="A13" s="1341">
        <v>5</v>
      </c>
      <c r="C13" s="614" t="s">
        <v>370</v>
      </c>
      <c r="D13" s="614"/>
      <c r="E13" s="614"/>
      <c r="F13" s="869">
        <f>+'Appendix A'!J228</f>
        <v>1</v>
      </c>
      <c r="G13" s="614"/>
      <c r="H13" s="614"/>
    </row>
    <row r="14" spans="1:21" s="550" customFormat="1" ht="18">
      <c r="A14" s="1341">
        <v>6</v>
      </c>
      <c r="C14" s="614" t="s">
        <v>60</v>
      </c>
      <c r="D14" s="614"/>
      <c r="E14" s="618">
        <f>+'6b- ADIT'!E14</f>
        <v>1</v>
      </c>
      <c r="F14" s="614"/>
      <c r="G14" s="614"/>
      <c r="H14" s="614"/>
    </row>
    <row r="15" spans="1:21" s="550" customFormat="1" ht="18">
      <c r="A15" s="1341">
        <v>7</v>
      </c>
      <c r="C15" s="614" t="s">
        <v>218</v>
      </c>
      <c r="D15" s="615">
        <f>+D12</f>
        <v>0</v>
      </c>
      <c r="E15" s="615">
        <f>+E12</f>
        <v>0</v>
      </c>
      <c r="F15" s="615">
        <f>+F13*F12</f>
        <v>0</v>
      </c>
      <c r="G15" s="615">
        <f>+D15+E15+F15</f>
        <v>0</v>
      </c>
      <c r="H15" s="617"/>
    </row>
    <row r="16" spans="1:21" s="550" customFormat="1" ht="18">
      <c r="A16" s="1341">
        <v>8</v>
      </c>
      <c r="C16" s="614" t="str">
        <f>"End of year from Attachment 6b, line "&amp;'6b- ADIT'!B15&amp;""</f>
        <v>End of year from Attachment 6b, line 7</v>
      </c>
      <c r="D16" s="615">
        <f>+'6b- ADIT'!D15</f>
        <v>-2513459</v>
      </c>
      <c r="E16" s="615">
        <f>+'6b- ADIT'!E15</f>
        <v>0</v>
      </c>
      <c r="F16" s="615">
        <f>+'6b- ADIT'!F15</f>
        <v>0</v>
      </c>
      <c r="G16" s="615">
        <f>+D16+E16+F16</f>
        <v>-2513459</v>
      </c>
      <c r="H16" s="617"/>
    </row>
    <row r="17" spans="1:9" s="550" customFormat="1" ht="18">
      <c r="A17" s="1341">
        <v>9</v>
      </c>
      <c r="C17" s="614" t="s">
        <v>390</v>
      </c>
      <c r="D17" s="615">
        <f>+D15/2+D16/2</f>
        <v>-1256729.5</v>
      </c>
      <c r="E17" s="615">
        <f>+E15/2+E16/2</f>
        <v>0</v>
      </c>
      <c r="F17" s="615">
        <f>+F15/2+F16/2</f>
        <v>0</v>
      </c>
      <c r="G17" s="615">
        <f>+D17+E17+F17</f>
        <v>-1256729.5</v>
      </c>
      <c r="H17" s="617" t="str">
        <f>"Enter as negative Appendix A, line "&amp;'Appendix A'!A100&amp;"."</f>
        <v>Enter as negative Appendix A, line 24.</v>
      </c>
    </row>
    <row r="18" spans="1:9" s="550" customFormat="1" ht="18">
      <c r="A18" s="1341"/>
      <c r="B18" s="614"/>
      <c r="C18" s="614"/>
      <c r="D18" s="616"/>
      <c r="E18" s="614"/>
      <c r="F18" s="614"/>
      <c r="G18" s="614"/>
      <c r="H18" s="615"/>
    </row>
    <row r="19" spans="1:9" s="550" customFormat="1" ht="18">
      <c r="A19" s="1341"/>
      <c r="B19" s="614"/>
      <c r="C19" s="614"/>
      <c r="D19" s="614"/>
      <c r="E19" s="614"/>
      <c r="F19" s="614"/>
      <c r="G19" s="614"/>
      <c r="H19" s="618"/>
    </row>
    <row r="20" spans="1:9" s="550" customFormat="1" ht="18">
      <c r="A20" s="1341"/>
      <c r="B20" s="613" t="s">
        <v>372</v>
      </c>
      <c r="C20" s="614"/>
      <c r="D20" s="614"/>
      <c r="E20" s="614"/>
      <c r="F20" s="614"/>
      <c r="G20" s="614"/>
      <c r="H20" s="614"/>
    </row>
    <row r="21" spans="1:9" s="550" customFormat="1" ht="18">
      <c r="A21" s="1341"/>
      <c r="B21" s="613" t="s">
        <v>885</v>
      </c>
      <c r="C21" s="614"/>
      <c r="D21" s="614"/>
      <c r="E21" s="614"/>
      <c r="F21" s="614"/>
      <c r="G21" s="614"/>
      <c r="H21" s="614"/>
    </row>
    <row r="22" spans="1:9" s="550" customFormat="1" ht="18">
      <c r="A22" s="1341"/>
      <c r="B22" s="594" t="s">
        <v>100</v>
      </c>
      <c r="C22" s="594" t="s">
        <v>101</v>
      </c>
      <c r="D22" s="594" t="s">
        <v>102</v>
      </c>
      <c r="E22" s="594" t="s">
        <v>103</v>
      </c>
      <c r="F22" s="552" t="s">
        <v>104</v>
      </c>
      <c r="G22" s="594" t="s">
        <v>105</v>
      </c>
      <c r="H22" s="594" t="s">
        <v>106</v>
      </c>
    </row>
    <row r="23" spans="1:9" s="550" customFormat="1" ht="18">
      <c r="A23" s="1341"/>
      <c r="B23" s="613"/>
      <c r="C23" s="595" t="s">
        <v>42</v>
      </c>
      <c r="D23" s="595" t="s">
        <v>373</v>
      </c>
      <c r="E23" s="594"/>
      <c r="F23" s="594"/>
      <c r="G23" s="594"/>
      <c r="H23" s="614"/>
    </row>
    <row r="24" spans="1:9" s="550" customFormat="1" ht="18">
      <c r="A24" s="1341" t="s">
        <v>866</v>
      </c>
      <c r="B24" s="613" t="s">
        <v>367</v>
      </c>
      <c r="C24" s="595"/>
      <c r="D24" s="595" t="s">
        <v>374</v>
      </c>
      <c r="E24" s="595" t="s">
        <v>46</v>
      </c>
      <c r="F24" s="595" t="s">
        <v>361</v>
      </c>
      <c r="G24" s="595" t="s">
        <v>359</v>
      </c>
      <c r="H24" s="614"/>
    </row>
    <row r="25" spans="1:9" s="550" customFormat="1" ht="18">
      <c r="A25" s="1341"/>
      <c r="B25" s="613"/>
      <c r="C25" s="595"/>
      <c r="D25" s="595" t="s">
        <v>362</v>
      </c>
      <c r="E25" s="595" t="s">
        <v>362</v>
      </c>
      <c r="F25" s="595" t="s">
        <v>362</v>
      </c>
      <c r="G25" s="595" t="s">
        <v>362</v>
      </c>
      <c r="H25" s="594" t="s">
        <v>375</v>
      </c>
    </row>
    <row r="26" spans="1:9" ht="35.1" customHeight="1">
      <c r="A26" s="1340" t="s">
        <v>693</v>
      </c>
      <c r="B26" s="619"/>
      <c r="C26" s="566"/>
      <c r="D26" s="567"/>
      <c r="E26" s="567"/>
      <c r="F26" s="567"/>
      <c r="G26" s="567"/>
      <c r="H26" s="622"/>
      <c r="I26" s="553"/>
    </row>
    <row r="27" spans="1:9" ht="35.1" customHeight="1">
      <c r="A27" s="1340" t="s">
        <v>694</v>
      </c>
      <c r="B27" s="623"/>
      <c r="C27" s="566"/>
      <c r="D27" s="567"/>
      <c r="E27" s="567"/>
      <c r="F27" s="567"/>
      <c r="G27" s="567"/>
      <c r="H27" s="622"/>
      <c r="I27" s="553"/>
    </row>
    <row r="28" spans="1:9" ht="35.1" customHeight="1">
      <c r="A28" s="1340" t="s">
        <v>695</v>
      </c>
      <c r="B28" s="623"/>
      <c r="C28" s="566"/>
      <c r="D28" s="567"/>
      <c r="E28" s="567"/>
      <c r="F28" s="567"/>
      <c r="G28" s="567"/>
      <c r="H28" s="622"/>
      <c r="I28" s="553"/>
    </row>
    <row r="29" spans="1:9" ht="35.1" customHeight="1">
      <c r="A29" s="1340" t="s">
        <v>416</v>
      </c>
      <c r="B29" s="623"/>
      <c r="C29" s="566"/>
      <c r="D29" s="567"/>
      <c r="E29" s="567"/>
      <c r="F29" s="567"/>
      <c r="G29" s="567"/>
      <c r="H29" s="622"/>
      <c r="I29" s="553"/>
    </row>
    <row r="30" spans="1:9" ht="35.1" customHeight="1">
      <c r="B30" s="623"/>
      <c r="C30" s="620"/>
      <c r="D30" s="621"/>
      <c r="E30" s="621"/>
      <c r="F30" s="621"/>
      <c r="G30" s="621"/>
      <c r="H30" s="622"/>
      <c r="I30" s="553"/>
    </row>
    <row r="31" spans="1:9" ht="35.1" customHeight="1">
      <c r="B31" s="623"/>
      <c r="C31" s="620"/>
      <c r="D31" s="621"/>
      <c r="E31" s="621"/>
      <c r="F31" s="621"/>
      <c r="G31" s="621"/>
      <c r="H31" s="622"/>
      <c r="I31" s="553"/>
    </row>
    <row r="32" spans="1:9" ht="35.1" customHeight="1">
      <c r="B32" s="623"/>
      <c r="C32" s="620"/>
      <c r="D32" s="621"/>
      <c r="E32" s="621"/>
      <c r="F32" s="621"/>
      <c r="G32" s="621"/>
      <c r="H32" s="622"/>
      <c r="I32" s="553"/>
    </row>
    <row r="33" spans="1:9" ht="35.1" customHeight="1">
      <c r="B33" s="623"/>
      <c r="C33" s="620"/>
      <c r="D33" s="624"/>
      <c r="E33" s="621"/>
      <c r="F33" s="621"/>
      <c r="G33" s="621"/>
      <c r="H33" s="622"/>
      <c r="I33" s="553"/>
    </row>
    <row r="34" spans="1:9" ht="35.1" customHeight="1">
      <c r="B34" s="623"/>
      <c r="C34" s="620"/>
      <c r="D34" s="621"/>
      <c r="E34" s="621"/>
      <c r="F34" s="621"/>
      <c r="G34" s="621"/>
      <c r="H34" s="622"/>
      <c r="I34" s="553"/>
    </row>
    <row r="35" spans="1:9" ht="35.1" customHeight="1">
      <c r="B35" s="623"/>
      <c r="C35" s="620"/>
      <c r="D35" s="620"/>
      <c r="E35" s="620"/>
      <c r="F35" s="620"/>
      <c r="G35" s="620"/>
      <c r="H35" s="622"/>
      <c r="I35" s="553"/>
    </row>
    <row r="36" spans="1:9" ht="35.1" customHeight="1">
      <c r="A36" s="1340" t="s">
        <v>840</v>
      </c>
      <c r="B36" s="649" t="s">
        <v>376</v>
      </c>
      <c r="C36" s="650">
        <f>SUBTOTAL(9,C26:C35)</f>
        <v>0</v>
      </c>
      <c r="D36" s="637">
        <f>SUM(D26:D35)</f>
        <v>0</v>
      </c>
      <c r="E36" s="637">
        <f>SUM(E26:E35)</f>
        <v>0</v>
      </c>
      <c r="F36" s="637">
        <f>SUM(F26:F35)</f>
        <v>0</v>
      </c>
      <c r="G36" s="637">
        <f>SUM(G26:G35)</f>
        <v>0</v>
      </c>
      <c r="H36" s="625"/>
      <c r="I36" s="553"/>
    </row>
    <row r="37" spans="1:9" ht="35.1" customHeight="1">
      <c r="A37" s="1340" t="s">
        <v>841</v>
      </c>
      <c r="B37" s="651" t="s">
        <v>377</v>
      </c>
      <c r="C37" s="626"/>
      <c r="D37" s="626"/>
      <c r="E37" s="626"/>
      <c r="F37" s="627"/>
      <c r="G37" s="628"/>
      <c r="H37" s="622"/>
      <c r="I37" s="553"/>
    </row>
    <row r="38" spans="1:9" ht="35.1" customHeight="1">
      <c r="A38" s="1340" t="s">
        <v>842</v>
      </c>
      <c r="B38" s="652" t="s">
        <v>378</v>
      </c>
      <c r="C38" s="629"/>
      <c r="D38" s="629"/>
      <c r="E38" s="629"/>
      <c r="F38" s="629"/>
      <c r="G38" s="629"/>
      <c r="H38" s="630"/>
      <c r="I38" s="553"/>
    </row>
    <row r="39" spans="1:9" ht="35.1" customHeight="1" thickBot="1">
      <c r="A39" s="1340" t="s">
        <v>843</v>
      </c>
      <c r="B39" s="653" t="s">
        <v>42</v>
      </c>
      <c r="C39" s="654">
        <f>+C36-C37-C38</f>
        <v>0</v>
      </c>
      <c r="D39" s="654">
        <f>+D36-D37-D38</f>
        <v>0</v>
      </c>
      <c r="E39" s="654">
        <f>+E36-E37-E38</f>
        <v>0</v>
      </c>
      <c r="F39" s="654">
        <f>+F36-F37-F38</f>
        <v>0</v>
      </c>
      <c r="G39" s="654">
        <f>+G36-G37-G38</f>
        <v>0</v>
      </c>
      <c r="H39" s="655"/>
      <c r="I39" s="553"/>
    </row>
    <row r="40" spans="1:9" ht="35.1" customHeight="1" thickTop="1">
      <c r="B40" s="638" t="s">
        <v>379</v>
      </c>
      <c r="C40" s="639"/>
      <c r="D40" s="641"/>
      <c r="E40" s="640"/>
      <c r="F40" s="631"/>
      <c r="G40" s="656"/>
      <c r="H40" s="631"/>
    </row>
    <row r="41" spans="1:9" ht="18">
      <c r="A41" s="1340" t="s">
        <v>844</v>
      </c>
      <c r="B41" s="1537" t="s">
        <v>380</v>
      </c>
      <c r="C41" s="1538"/>
      <c r="D41" s="1538"/>
      <c r="E41" s="1538"/>
      <c r="F41" s="1538"/>
      <c r="G41" s="1538"/>
      <c r="H41" s="631"/>
    </row>
    <row r="42" spans="1:9" ht="18">
      <c r="A42" s="1340" t="s">
        <v>845</v>
      </c>
      <c r="B42" s="647" t="s">
        <v>381</v>
      </c>
      <c r="C42" s="631"/>
      <c r="D42" s="638"/>
      <c r="E42" s="638"/>
      <c r="F42" s="640"/>
      <c r="G42" s="640"/>
      <c r="H42" s="631"/>
    </row>
    <row r="43" spans="1:9" ht="18">
      <c r="A43" s="1340" t="s">
        <v>868</v>
      </c>
      <c r="B43" s="647" t="s">
        <v>382</v>
      </c>
      <c r="C43" s="631"/>
      <c r="D43" s="638"/>
      <c r="E43" s="638"/>
      <c r="F43" s="640"/>
      <c r="G43" s="640"/>
      <c r="H43" s="631"/>
    </row>
    <row r="44" spans="1:9" ht="18">
      <c r="A44" s="1340" t="s">
        <v>846</v>
      </c>
      <c r="B44" s="647" t="s">
        <v>383</v>
      </c>
      <c r="C44" s="631"/>
      <c r="D44" s="638"/>
      <c r="E44" s="638"/>
      <c r="F44" s="640"/>
      <c r="G44" s="640"/>
      <c r="H44" s="631"/>
    </row>
    <row r="45" spans="1:9" ht="18">
      <c r="A45" s="1340" t="s">
        <v>847</v>
      </c>
      <c r="B45" s="1538" t="s">
        <v>811</v>
      </c>
      <c r="C45" s="1538"/>
      <c r="D45" s="1538"/>
      <c r="E45" s="1538"/>
      <c r="F45" s="1538"/>
      <c r="G45" s="1538"/>
      <c r="H45" s="632"/>
    </row>
    <row r="46" spans="1:9" ht="35.1" customHeight="1">
      <c r="B46" s="645"/>
      <c r="C46" s="645"/>
      <c r="D46" s="645"/>
      <c r="E46" s="645"/>
      <c r="F46" s="645"/>
      <c r="G46" s="645"/>
      <c r="H46" s="632"/>
    </row>
    <row r="47" spans="1:9" s="780" customFormat="1" ht="24.9" customHeight="1">
      <c r="A47" s="1342"/>
      <c r="B47" s="1535" t="str">
        <f>+B1</f>
        <v>New York Transco LLC</v>
      </c>
      <c r="C47" s="1536"/>
      <c r="D47" s="1536"/>
      <c r="E47" s="1536"/>
      <c r="F47" s="1536"/>
      <c r="G47" s="1536"/>
      <c r="H47" s="1536"/>
      <c r="I47" s="781"/>
    </row>
    <row r="48" spans="1:9" s="780" customFormat="1" ht="24.9" customHeight="1">
      <c r="A48" s="1342"/>
      <c r="B48" s="1535" t="s">
        <v>388</v>
      </c>
      <c r="C48" s="1535"/>
      <c r="D48" s="1535"/>
      <c r="E48" s="1535"/>
      <c r="F48" s="1535"/>
      <c r="G48" s="1535"/>
      <c r="H48" s="1535"/>
      <c r="I48" s="781"/>
    </row>
    <row r="49" spans="1:9" s="780" customFormat="1" ht="24.9" customHeight="1">
      <c r="A49" s="1342"/>
      <c r="B49" s="1535" t="s">
        <v>218</v>
      </c>
      <c r="C49" s="1535"/>
      <c r="D49" s="1535"/>
      <c r="E49" s="1535"/>
      <c r="F49" s="1535"/>
      <c r="G49" s="1535"/>
      <c r="H49" s="1535"/>
      <c r="I49" s="781"/>
    </row>
    <row r="50" spans="1:9" s="550" customFormat="1" ht="24.9" customHeight="1">
      <c r="A50" s="1341"/>
      <c r="B50" s="782"/>
      <c r="C50" s="782"/>
      <c r="D50" s="782"/>
      <c r="E50" s="782"/>
      <c r="F50" s="782"/>
      <c r="G50" s="782"/>
      <c r="H50" s="782"/>
      <c r="I50" s="555"/>
    </row>
    <row r="51" spans="1:9" s="550" customFormat="1" ht="24.9" customHeight="1">
      <c r="A51" s="1341"/>
      <c r="B51" s="594" t="s">
        <v>100</v>
      </c>
      <c r="C51" s="594" t="s">
        <v>101</v>
      </c>
      <c r="D51" s="594" t="s">
        <v>102</v>
      </c>
      <c r="E51" s="594" t="s">
        <v>103</v>
      </c>
      <c r="F51" s="552" t="s">
        <v>104</v>
      </c>
      <c r="G51" s="594" t="s">
        <v>105</v>
      </c>
      <c r="H51" s="594" t="s">
        <v>106</v>
      </c>
      <c r="I51" s="555"/>
    </row>
    <row r="52" spans="1:9" s="550" customFormat="1" ht="24.9" customHeight="1">
      <c r="A52" s="1341"/>
      <c r="B52" s="614"/>
      <c r="C52" s="595" t="s">
        <v>42</v>
      </c>
      <c r="D52" s="595" t="s">
        <v>373</v>
      </c>
      <c r="E52" s="594"/>
      <c r="F52" s="594"/>
      <c r="G52" s="594"/>
      <c r="H52" s="614"/>
      <c r="I52" s="555"/>
    </row>
    <row r="53" spans="1:9" s="550" customFormat="1" ht="24.9" customHeight="1">
      <c r="A53" s="1341" t="s">
        <v>848</v>
      </c>
      <c r="B53" s="638" t="s">
        <v>363</v>
      </c>
      <c r="C53" s="595"/>
      <c r="D53" s="595" t="s">
        <v>374</v>
      </c>
      <c r="E53" s="595" t="s">
        <v>46</v>
      </c>
      <c r="F53" s="595" t="s">
        <v>361</v>
      </c>
      <c r="G53" s="595" t="s">
        <v>359</v>
      </c>
      <c r="H53" s="614"/>
      <c r="I53" s="555"/>
    </row>
    <row r="54" spans="1:9" s="550" customFormat="1" ht="24.9" customHeight="1">
      <c r="A54" s="1341"/>
      <c r="B54" s="647"/>
      <c r="C54" s="595"/>
      <c r="D54" s="595" t="s">
        <v>362</v>
      </c>
      <c r="E54" s="595" t="s">
        <v>362</v>
      </c>
      <c r="F54" s="595" t="s">
        <v>362</v>
      </c>
      <c r="G54" s="595" t="s">
        <v>362</v>
      </c>
      <c r="H54" s="594" t="s">
        <v>375</v>
      </c>
      <c r="I54" s="555"/>
    </row>
    <row r="55" spans="1:9" ht="35.1" customHeight="1">
      <c r="A55" s="1340" t="s">
        <v>869</v>
      </c>
      <c r="B55" s="623"/>
      <c r="C55" s="566"/>
      <c r="D55" s="567"/>
      <c r="E55" s="567"/>
      <c r="F55" s="567"/>
      <c r="G55" s="567"/>
      <c r="H55" s="622"/>
      <c r="I55" s="553"/>
    </row>
    <row r="56" spans="1:9" ht="35.1" customHeight="1">
      <c r="A56" s="1340" t="s">
        <v>870</v>
      </c>
      <c r="B56" s="623"/>
      <c r="C56" s="566"/>
      <c r="D56" s="567"/>
      <c r="E56" s="567"/>
      <c r="F56" s="567"/>
      <c r="G56" s="567"/>
      <c r="H56" s="622"/>
      <c r="I56" s="553"/>
    </row>
    <row r="57" spans="1:9" ht="35.1" customHeight="1">
      <c r="A57" s="1340" t="s">
        <v>871</v>
      </c>
      <c r="B57" s="623"/>
      <c r="C57" s="566"/>
      <c r="D57" s="567"/>
      <c r="E57" s="567"/>
      <c r="F57" s="567"/>
      <c r="G57" s="567"/>
      <c r="H57" s="622"/>
      <c r="I57" s="553"/>
    </row>
    <row r="58" spans="1:9" ht="35.1" customHeight="1">
      <c r="A58" s="1340" t="s">
        <v>416</v>
      </c>
      <c r="B58" s="623"/>
      <c r="C58" s="566"/>
      <c r="D58" s="567"/>
      <c r="E58" s="567"/>
      <c r="F58" s="567"/>
      <c r="G58" s="567"/>
      <c r="H58" s="622"/>
      <c r="I58" s="553"/>
    </row>
    <row r="59" spans="1:9" ht="35.1" customHeight="1">
      <c r="A59" s="1340" t="s">
        <v>416</v>
      </c>
      <c r="B59" s="623"/>
      <c r="C59" s="621"/>
      <c r="D59" s="621"/>
      <c r="E59" s="621"/>
      <c r="F59" s="621"/>
      <c r="G59" s="621"/>
      <c r="H59" s="622"/>
      <c r="I59" s="553"/>
    </row>
    <row r="60" spans="1:9" ht="35.1" customHeight="1">
      <c r="A60" s="1340" t="s">
        <v>416</v>
      </c>
      <c r="B60" s="623"/>
      <c r="C60" s="621"/>
      <c r="D60" s="621"/>
      <c r="E60" s="621"/>
      <c r="F60" s="621"/>
      <c r="G60" s="621"/>
      <c r="H60" s="622"/>
      <c r="I60" s="553"/>
    </row>
    <row r="61" spans="1:9" ht="35.1" customHeight="1">
      <c r="A61" s="1340" t="s">
        <v>416</v>
      </c>
      <c r="B61" s="634"/>
      <c r="C61" s="635"/>
      <c r="D61" s="635"/>
      <c r="E61" s="635"/>
      <c r="F61" s="635"/>
      <c r="G61" s="635"/>
      <c r="H61" s="622"/>
      <c r="I61" s="553"/>
    </row>
    <row r="62" spans="1:9" ht="35.1" customHeight="1">
      <c r="A62" s="1340" t="s">
        <v>416</v>
      </c>
      <c r="B62" s="636"/>
      <c r="C62" s="635"/>
      <c r="D62" s="635"/>
      <c r="E62" s="635"/>
      <c r="F62" s="635"/>
      <c r="G62" s="635"/>
      <c r="H62" s="622"/>
      <c r="I62" s="553"/>
    </row>
    <row r="63" spans="1:9" ht="35.1" customHeight="1">
      <c r="A63" s="1340" t="s">
        <v>416</v>
      </c>
      <c r="B63" s="636"/>
      <c r="C63" s="635"/>
      <c r="D63" s="635"/>
      <c r="E63" s="635"/>
      <c r="F63" s="635"/>
      <c r="G63" s="635"/>
      <c r="H63" s="622"/>
      <c r="I63" s="553"/>
    </row>
    <row r="64" spans="1:9" ht="35.1" customHeight="1">
      <c r="A64" s="1340" t="s">
        <v>850</v>
      </c>
      <c r="B64" s="657" t="s">
        <v>384</v>
      </c>
      <c r="C64" s="637">
        <f>SUBTOTAL(9,C55:C63)</f>
        <v>0</v>
      </c>
      <c r="D64" s="637">
        <f>SUM(D55:D63)</f>
        <v>0</v>
      </c>
      <c r="E64" s="637">
        <f>SUM(E55:E63)</f>
        <v>0</v>
      </c>
      <c r="F64" s="637">
        <f>SUM(F55:F63)</f>
        <v>0</v>
      </c>
      <c r="G64" s="637">
        <f>SUM(G55:G63)</f>
        <v>0</v>
      </c>
      <c r="H64" s="625"/>
      <c r="I64" s="553"/>
    </row>
    <row r="65" spans="1:9" ht="35.1" customHeight="1">
      <c r="A65" s="1340" t="s">
        <v>851</v>
      </c>
      <c r="B65" s="658" t="s">
        <v>377</v>
      </c>
      <c r="C65" s="626"/>
      <c r="D65" s="626"/>
      <c r="E65" s="626"/>
      <c r="F65" s="626"/>
      <c r="G65" s="626"/>
      <c r="H65" s="622"/>
      <c r="I65" s="553"/>
    </row>
    <row r="66" spans="1:9" ht="35.1" customHeight="1">
      <c r="A66" s="1340" t="s">
        <v>852</v>
      </c>
      <c r="B66" s="659" t="s">
        <v>378</v>
      </c>
      <c r="C66" s="629"/>
      <c r="D66" s="629"/>
      <c r="E66" s="629"/>
      <c r="F66" s="629"/>
      <c r="G66" s="629"/>
      <c r="H66" s="630"/>
      <c r="I66" s="553"/>
    </row>
    <row r="67" spans="1:9" ht="35.1" customHeight="1" thickBot="1">
      <c r="A67" s="1340" t="s">
        <v>853</v>
      </c>
      <c r="B67" s="653" t="s">
        <v>42</v>
      </c>
      <c r="C67" s="654">
        <f>+C64-C65-C66</f>
        <v>0</v>
      </c>
      <c r="D67" s="654">
        <f>+D64-D65-D66</f>
        <v>0</v>
      </c>
      <c r="E67" s="654">
        <f>+E64-E65-E66</f>
        <v>0</v>
      </c>
      <c r="F67" s="654">
        <f>+F64-F65-F66</f>
        <v>0</v>
      </c>
      <c r="G67" s="654">
        <f>+G64-G65-G66</f>
        <v>0</v>
      </c>
      <c r="H67" s="655"/>
      <c r="I67" s="553"/>
    </row>
    <row r="68" spans="1:9" ht="35.1" customHeight="1" thickTop="1">
      <c r="B68" s="633"/>
      <c r="C68" s="631"/>
      <c r="D68" s="638"/>
      <c r="E68" s="639"/>
      <c r="F68" s="640"/>
      <c r="G68" s="641"/>
      <c r="H68" s="632"/>
      <c r="I68" s="553"/>
    </row>
    <row r="69" spans="1:9" ht="35.1" customHeight="1">
      <c r="B69" s="638" t="s">
        <v>385</v>
      </c>
      <c r="C69" s="638"/>
      <c r="D69" s="640"/>
      <c r="E69" s="641"/>
      <c r="F69" s="631"/>
      <c r="G69" s="632"/>
      <c r="H69" s="631"/>
    </row>
    <row r="70" spans="1:9" ht="18">
      <c r="A70" s="1340" t="s">
        <v>854</v>
      </c>
      <c r="B70" s="1537" t="s">
        <v>380</v>
      </c>
      <c r="C70" s="1538"/>
      <c r="D70" s="1538"/>
      <c r="E70" s="1538"/>
      <c r="F70" s="1538"/>
      <c r="G70" s="1538"/>
      <c r="H70" s="631"/>
    </row>
    <row r="71" spans="1:9" ht="18">
      <c r="A71" s="1340" t="s">
        <v>855</v>
      </c>
      <c r="B71" s="647" t="s">
        <v>381</v>
      </c>
      <c r="C71" s="631"/>
      <c r="D71" s="638"/>
      <c r="E71" s="638"/>
      <c r="F71" s="640"/>
      <c r="G71" s="640"/>
      <c r="H71" s="631"/>
    </row>
    <row r="72" spans="1:9" ht="18">
      <c r="A72" s="1340" t="s">
        <v>872</v>
      </c>
      <c r="B72" s="647" t="s">
        <v>382</v>
      </c>
      <c r="C72" s="631"/>
      <c r="D72" s="638"/>
      <c r="E72" s="638"/>
      <c r="F72" s="640"/>
      <c r="G72" s="640"/>
      <c r="H72" s="631"/>
    </row>
    <row r="73" spans="1:9" ht="18">
      <c r="A73" s="1340" t="s">
        <v>856</v>
      </c>
      <c r="B73" s="647" t="s">
        <v>383</v>
      </c>
      <c r="C73" s="631"/>
      <c r="D73" s="638"/>
      <c r="E73" s="638"/>
      <c r="F73" s="640"/>
      <c r="G73" s="640"/>
      <c r="H73" s="631"/>
    </row>
    <row r="74" spans="1:9" ht="18">
      <c r="A74" s="1340" t="s">
        <v>857</v>
      </c>
      <c r="B74" s="1538" t="s">
        <v>811</v>
      </c>
      <c r="C74" s="1538"/>
      <c r="D74" s="1538"/>
      <c r="E74" s="1538"/>
      <c r="F74" s="1538"/>
      <c r="G74" s="1538"/>
      <c r="H74" s="632"/>
    </row>
    <row r="75" spans="1:9" s="780" customFormat="1" ht="24.9" customHeight="1">
      <c r="A75" s="1342"/>
      <c r="B75" s="1535" t="str">
        <f>+B47</f>
        <v>New York Transco LLC</v>
      </c>
      <c r="C75" s="1536"/>
      <c r="D75" s="1536"/>
      <c r="E75" s="1536"/>
      <c r="F75" s="1536"/>
      <c r="G75" s="1536"/>
      <c r="H75" s="1536"/>
      <c r="I75" s="781"/>
    </row>
    <row r="76" spans="1:9" s="780" customFormat="1" ht="24.9" customHeight="1">
      <c r="A76" s="1342"/>
      <c r="B76" s="1535" t="s">
        <v>388</v>
      </c>
      <c r="C76" s="1535"/>
      <c r="D76" s="1535"/>
      <c r="E76" s="1535"/>
      <c r="F76" s="1535"/>
      <c r="G76" s="1535"/>
      <c r="H76" s="1535"/>
      <c r="I76" s="781"/>
    </row>
    <row r="77" spans="1:9" s="780" customFormat="1" ht="24.9" customHeight="1">
      <c r="A77" s="1342"/>
      <c r="B77" s="1535" t="s">
        <v>218</v>
      </c>
      <c r="C77" s="1535"/>
      <c r="D77" s="1535"/>
      <c r="E77" s="1535"/>
      <c r="F77" s="1535"/>
      <c r="G77" s="1535"/>
      <c r="H77" s="1535"/>
      <c r="I77" s="781"/>
    </row>
    <row r="78" spans="1:9" s="550" customFormat="1" ht="24.9" customHeight="1">
      <c r="A78" s="1341"/>
      <c r="B78" s="647"/>
      <c r="C78" s="638"/>
      <c r="D78" s="638"/>
      <c r="E78" s="638"/>
      <c r="F78" s="638"/>
      <c r="G78" s="638"/>
      <c r="H78" s="632"/>
      <c r="I78" s="555"/>
    </row>
    <row r="79" spans="1:9" s="550" customFormat="1" ht="18">
      <c r="A79" s="1341"/>
      <c r="B79" s="594" t="s">
        <v>100</v>
      </c>
      <c r="C79" s="594" t="s">
        <v>101</v>
      </c>
      <c r="D79" s="594" t="s">
        <v>102</v>
      </c>
      <c r="E79" s="594" t="s">
        <v>103</v>
      </c>
      <c r="F79" s="552" t="s">
        <v>104</v>
      </c>
      <c r="G79" s="594" t="s">
        <v>105</v>
      </c>
      <c r="H79" s="594" t="s">
        <v>106</v>
      </c>
      <c r="I79" s="555"/>
    </row>
    <row r="80" spans="1:9" s="550" customFormat="1" ht="18">
      <c r="A80" s="1341"/>
      <c r="B80" s="594"/>
      <c r="C80" s="595" t="s">
        <v>42</v>
      </c>
      <c r="D80" s="595" t="s">
        <v>373</v>
      </c>
      <c r="E80" s="594"/>
      <c r="F80" s="594"/>
      <c r="G80" s="594"/>
      <c r="H80" s="594"/>
      <c r="I80" s="555"/>
    </row>
    <row r="81" spans="1:9" s="550" customFormat="1" ht="18">
      <c r="A81" s="1341" t="s">
        <v>858</v>
      </c>
      <c r="B81" s="638" t="s">
        <v>391</v>
      </c>
      <c r="C81" s="595"/>
      <c r="D81" s="595" t="s">
        <v>374</v>
      </c>
      <c r="E81" s="595" t="s">
        <v>46</v>
      </c>
      <c r="F81" s="595" t="s">
        <v>361</v>
      </c>
      <c r="G81" s="595" t="s">
        <v>359</v>
      </c>
      <c r="H81" s="594"/>
      <c r="I81" s="555"/>
    </row>
    <row r="82" spans="1:9" s="550" customFormat="1" ht="18">
      <c r="A82" s="1341"/>
      <c r="B82" s="638"/>
      <c r="C82" s="595"/>
      <c r="D82" s="595" t="s">
        <v>362</v>
      </c>
      <c r="E82" s="595" t="s">
        <v>362</v>
      </c>
      <c r="F82" s="595" t="s">
        <v>362</v>
      </c>
      <c r="G82" s="595" t="s">
        <v>362</v>
      </c>
      <c r="H82" s="614"/>
      <c r="I82" s="555"/>
    </row>
    <row r="83" spans="1:9" ht="35.1" customHeight="1">
      <c r="A83" s="1340" t="s">
        <v>873</v>
      </c>
      <c r="B83" s="642"/>
      <c r="C83" s="566"/>
      <c r="D83" s="567"/>
      <c r="E83" s="567"/>
      <c r="F83" s="567"/>
      <c r="G83" s="567"/>
      <c r="H83" s="622"/>
      <c r="I83" s="553"/>
    </row>
    <row r="84" spans="1:9" ht="35.1" customHeight="1">
      <c r="A84" s="1340" t="s">
        <v>874</v>
      </c>
      <c r="B84" s="623"/>
      <c r="C84" s="566"/>
      <c r="D84" s="567"/>
      <c r="E84" s="567"/>
      <c r="F84" s="567"/>
      <c r="G84" s="567"/>
      <c r="H84" s="622"/>
      <c r="I84" s="553"/>
    </row>
    <row r="85" spans="1:9" ht="35.1" customHeight="1">
      <c r="A85" s="1340" t="s">
        <v>875</v>
      </c>
      <c r="B85" s="623"/>
      <c r="C85" s="566"/>
      <c r="D85" s="567"/>
      <c r="E85" s="567"/>
      <c r="F85" s="567"/>
      <c r="G85" s="567"/>
      <c r="H85" s="622"/>
      <c r="I85" s="553"/>
    </row>
    <row r="86" spans="1:9" ht="35.1" customHeight="1">
      <c r="A86" s="1340" t="s">
        <v>416</v>
      </c>
      <c r="B86" s="623"/>
      <c r="C86" s="566"/>
      <c r="D86" s="567"/>
      <c r="E86" s="567"/>
      <c r="F86" s="567"/>
      <c r="G86" s="567"/>
      <c r="H86" s="622"/>
      <c r="I86" s="553"/>
    </row>
    <row r="87" spans="1:9" ht="35.1" customHeight="1">
      <c r="A87" s="1340" t="s">
        <v>416</v>
      </c>
      <c r="B87" s="623"/>
      <c r="C87" s="621"/>
      <c r="D87" s="635"/>
      <c r="E87" s="621"/>
      <c r="F87" s="621"/>
      <c r="G87" s="621"/>
      <c r="H87" s="622"/>
      <c r="I87" s="553"/>
    </row>
    <row r="88" spans="1:9" ht="35.1" customHeight="1">
      <c r="A88" s="1340" t="s">
        <v>416</v>
      </c>
      <c r="B88" s="623"/>
      <c r="C88" s="621"/>
      <c r="D88" s="635"/>
      <c r="E88" s="621"/>
      <c r="F88" s="621"/>
      <c r="G88" s="621"/>
      <c r="H88" s="622"/>
      <c r="I88" s="553"/>
    </row>
    <row r="89" spans="1:9" ht="35.1" customHeight="1">
      <c r="A89" s="1340" t="s">
        <v>416</v>
      </c>
      <c r="B89" s="623"/>
      <c r="C89" s="621"/>
      <c r="D89" s="635"/>
      <c r="E89" s="621"/>
      <c r="F89" s="621"/>
      <c r="G89" s="621"/>
      <c r="H89" s="622"/>
      <c r="I89" s="553"/>
    </row>
    <row r="90" spans="1:9" ht="35.1" customHeight="1">
      <c r="A90" s="1340" t="s">
        <v>416</v>
      </c>
      <c r="B90" s="623"/>
      <c r="C90" s="621"/>
      <c r="D90" s="624"/>
      <c r="E90" s="621"/>
      <c r="F90" s="621"/>
      <c r="G90" s="621"/>
      <c r="H90" s="622"/>
      <c r="I90" s="553"/>
    </row>
    <row r="91" spans="1:9" ht="35.1" customHeight="1">
      <c r="A91" s="1340" t="s">
        <v>416</v>
      </c>
      <c r="B91" s="623"/>
      <c r="C91" s="621"/>
      <c r="D91" s="621"/>
      <c r="E91" s="621"/>
      <c r="F91" s="621"/>
      <c r="G91" s="621"/>
      <c r="H91" s="622"/>
      <c r="I91" s="553"/>
    </row>
    <row r="92" spans="1:9" ht="35.1" customHeight="1">
      <c r="A92" s="1340" t="s">
        <v>416</v>
      </c>
      <c r="B92" s="623"/>
      <c r="C92" s="621"/>
      <c r="D92" s="621"/>
      <c r="E92" s="621"/>
      <c r="F92" s="621"/>
      <c r="G92" s="621"/>
      <c r="H92" s="622"/>
      <c r="I92" s="553"/>
    </row>
    <row r="93" spans="1:9" ht="20.100000000000001" customHeight="1">
      <c r="A93" s="1340" t="s">
        <v>860</v>
      </c>
      <c r="B93" s="660" t="s">
        <v>386</v>
      </c>
      <c r="C93" s="650">
        <f>SUBTOTAL(9,C83:C92)</f>
        <v>0</v>
      </c>
      <c r="D93" s="650">
        <f>SUM(D83:D92)</f>
        <v>0</v>
      </c>
      <c r="E93" s="650">
        <f>SUM(E83:E92)</f>
        <v>0</v>
      </c>
      <c r="F93" s="650">
        <f>SUM(F83:F92)</f>
        <v>0</v>
      </c>
      <c r="G93" s="650">
        <f>SUM(G83:G92)</f>
        <v>0</v>
      </c>
      <c r="H93" s="622"/>
      <c r="I93" s="553"/>
    </row>
    <row r="94" spans="1:9" ht="20.100000000000001" customHeight="1">
      <c r="A94" s="1340" t="s">
        <v>861</v>
      </c>
      <c r="B94" s="661" t="s">
        <v>377</v>
      </c>
      <c r="C94" s="627"/>
      <c r="D94" s="627"/>
      <c r="E94" s="627"/>
      <c r="F94" s="627"/>
      <c r="G94" s="627"/>
      <c r="H94" s="622"/>
      <c r="I94" s="553"/>
    </row>
    <row r="95" spans="1:9" ht="20.100000000000001" customHeight="1">
      <c r="A95" s="1340" t="s">
        <v>862</v>
      </c>
      <c r="B95" s="662" t="s">
        <v>378</v>
      </c>
      <c r="C95" s="643"/>
      <c r="D95" s="643"/>
      <c r="E95" s="643"/>
      <c r="F95" s="643"/>
      <c r="G95" s="643"/>
      <c r="H95" s="630"/>
      <c r="I95" s="553"/>
    </row>
    <row r="96" spans="1:9" ht="20.100000000000001" customHeight="1" thickBot="1">
      <c r="A96" s="1340" t="s">
        <v>863</v>
      </c>
      <c r="B96" s="653" t="s">
        <v>42</v>
      </c>
      <c r="C96" s="663">
        <f>+C93-C94-C95</f>
        <v>0</v>
      </c>
      <c r="D96" s="663">
        <f>+D93-D94-D95</f>
        <v>0</v>
      </c>
      <c r="E96" s="663">
        <f>+E93-E94-E95</f>
        <v>0</v>
      </c>
      <c r="F96" s="663">
        <f>+F93-F94-F95</f>
        <v>0</v>
      </c>
      <c r="G96" s="663">
        <f>+G93-G94-G95</f>
        <v>0</v>
      </c>
      <c r="H96" s="655"/>
      <c r="I96" s="553"/>
    </row>
    <row r="97" spans="1:9" ht="35.1" customHeight="1" thickTop="1">
      <c r="B97" s="638" t="s">
        <v>387</v>
      </c>
      <c r="C97" s="638"/>
      <c r="D97" s="638"/>
      <c r="E97" s="640"/>
      <c r="F97" s="640"/>
      <c r="G97" s="631"/>
      <c r="H97" s="644"/>
      <c r="I97" s="553"/>
    </row>
    <row r="98" spans="1:9" ht="20.100000000000001" customHeight="1">
      <c r="A98" s="1340" t="s">
        <v>865</v>
      </c>
      <c r="B98" s="1537" t="s">
        <v>380</v>
      </c>
      <c r="C98" s="1538"/>
      <c r="D98" s="1538"/>
      <c r="E98" s="1538"/>
      <c r="F98" s="1538"/>
      <c r="G98" s="1538"/>
      <c r="H98" s="631"/>
    </row>
    <row r="99" spans="1:9" ht="20.100000000000001" customHeight="1">
      <c r="A99" s="1340" t="s">
        <v>876</v>
      </c>
      <c r="B99" s="647" t="s">
        <v>381</v>
      </c>
      <c r="C99" s="631"/>
      <c r="D99" s="638"/>
      <c r="E99" s="638"/>
      <c r="F99" s="640"/>
      <c r="G99" s="640"/>
      <c r="H99" s="631"/>
    </row>
    <row r="100" spans="1:9" ht="20.100000000000001" customHeight="1">
      <c r="A100" s="1340" t="s">
        <v>877</v>
      </c>
      <c r="B100" s="647" t="s">
        <v>382</v>
      </c>
      <c r="C100" s="631"/>
      <c r="D100" s="638"/>
      <c r="E100" s="638"/>
      <c r="F100" s="640"/>
      <c r="G100" s="640"/>
      <c r="H100" s="631"/>
    </row>
    <row r="101" spans="1:9" ht="20.100000000000001" customHeight="1">
      <c r="A101" s="1340" t="s">
        <v>878</v>
      </c>
      <c r="B101" s="647" t="s">
        <v>383</v>
      </c>
      <c r="C101" s="631"/>
      <c r="D101" s="638"/>
      <c r="E101" s="638"/>
      <c r="F101" s="640"/>
      <c r="G101" s="640"/>
      <c r="H101" s="631"/>
    </row>
    <row r="102" spans="1:9" ht="18">
      <c r="A102" s="1340" t="s">
        <v>879</v>
      </c>
      <c r="B102" s="1538" t="s">
        <v>811</v>
      </c>
      <c r="C102" s="1538"/>
      <c r="D102" s="1538"/>
      <c r="E102" s="1538"/>
      <c r="F102" s="1538"/>
      <c r="G102" s="1538"/>
      <c r="H102" s="631"/>
    </row>
    <row r="103" spans="1:9" ht="18">
      <c r="B103" s="633"/>
      <c r="C103" s="631"/>
      <c r="D103" s="631"/>
      <c r="E103" s="631"/>
      <c r="F103" s="631"/>
      <c r="G103" s="631"/>
      <c r="H103" s="631"/>
      <c r="I103" s="553"/>
    </row>
    <row r="104" spans="1:9" ht="15.75" customHeight="1">
      <c r="B104" s="646"/>
      <c r="C104" s="646"/>
      <c r="D104" s="646"/>
      <c r="E104" s="646"/>
      <c r="F104" s="646"/>
      <c r="G104" s="646"/>
      <c r="H104" s="646"/>
      <c r="I104" s="553"/>
    </row>
    <row r="105" spans="1:9" ht="18">
      <c r="B105" s="1534"/>
      <c r="C105" s="1534"/>
      <c r="D105" s="1534"/>
      <c r="E105" s="1534"/>
      <c r="F105" s="1534"/>
      <c r="G105" s="1534"/>
      <c r="H105" s="1534"/>
      <c r="I105" s="554"/>
    </row>
    <row r="106" spans="1:9" ht="18">
      <c r="B106" s="638"/>
      <c r="C106" s="638"/>
      <c r="D106" s="638"/>
      <c r="E106" s="638"/>
      <c r="F106" s="638"/>
      <c r="G106" s="638"/>
      <c r="H106" s="638"/>
      <c r="I106" s="553"/>
    </row>
    <row r="107" spans="1:9" ht="18">
      <c r="B107" s="638"/>
      <c r="C107" s="638"/>
      <c r="D107" s="638"/>
      <c r="E107" s="638"/>
      <c r="F107" s="638"/>
      <c r="G107" s="638"/>
      <c r="H107" s="638"/>
      <c r="I107" s="553"/>
    </row>
    <row r="108" spans="1:9" ht="15.75" customHeight="1">
      <c r="B108" s="638"/>
      <c r="C108" s="638"/>
      <c r="D108" s="638"/>
      <c r="E108" s="638"/>
      <c r="F108" s="638"/>
      <c r="G108" s="638"/>
      <c r="H108" s="638"/>
      <c r="I108" s="553"/>
    </row>
    <row r="109" spans="1:9" ht="18">
      <c r="B109" s="638"/>
      <c r="C109" s="638"/>
      <c r="D109" s="664"/>
      <c r="E109" s="664"/>
      <c r="F109" s="664"/>
      <c r="G109" s="664"/>
      <c r="H109" s="664"/>
      <c r="I109" s="556"/>
    </row>
    <row r="110" spans="1:9" ht="18">
      <c r="B110" s="638"/>
      <c r="C110" s="638"/>
      <c r="D110" s="664"/>
      <c r="E110" s="664"/>
      <c r="F110" s="664"/>
      <c r="G110" s="664"/>
      <c r="H110" s="664"/>
      <c r="I110" s="556"/>
    </row>
    <row r="111" spans="1:9" ht="18">
      <c r="B111" s="647"/>
      <c r="C111" s="638"/>
      <c r="D111" s="640"/>
      <c r="E111" s="640"/>
      <c r="F111" s="638"/>
      <c r="G111" s="638"/>
      <c r="H111" s="638"/>
      <c r="I111" s="553"/>
    </row>
    <row r="112" spans="1:9" ht="18">
      <c r="B112" s="647"/>
      <c r="C112" s="638"/>
      <c r="D112" s="648"/>
      <c r="E112" s="648"/>
      <c r="F112" s="638"/>
      <c r="G112" s="638"/>
      <c r="H112" s="638"/>
      <c r="I112" s="553"/>
    </row>
    <row r="113" spans="2:9" ht="18">
      <c r="B113" s="647"/>
      <c r="C113" s="638"/>
      <c r="D113" s="648"/>
      <c r="E113" s="648"/>
      <c r="F113" s="638"/>
      <c r="G113" s="638"/>
      <c r="H113" s="638"/>
      <c r="I113" s="553"/>
    </row>
    <row r="114" spans="2:9" ht="18">
      <c r="B114" s="647"/>
      <c r="C114" s="638"/>
      <c r="D114" s="648"/>
      <c r="E114" s="648"/>
      <c r="F114" s="638"/>
      <c r="G114" s="638"/>
      <c r="H114" s="638"/>
      <c r="I114" s="553"/>
    </row>
    <row r="115" spans="2:9" ht="18">
      <c r="B115" s="647"/>
      <c r="C115" s="638"/>
      <c r="D115" s="648"/>
      <c r="E115" s="648"/>
      <c r="F115" s="638"/>
      <c r="G115" s="638"/>
      <c r="H115" s="638"/>
      <c r="I115" s="553"/>
    </row>
    <row r="116" spans="2:9" ht="18">
      <c r="B116" s="647"/>
      <c r="C116" s="638"/>
      <c r="D116" s="648"/>
      <c r="E116" s="648"/>
      <c r="F116" s="638"/>
      <c r="G116" s="638"/>
      <c r="H116" s="638"/>
      <c r="I116" s="553"/>
    </row>
    <row r="117" spans="2:9" ht="18">
      <c r="B117" s="647"/>
      <c r="C117" s="638"/>
      <c r="D117" s="648"/>
      <c r="E117" s="648"/>
      <c r="F117" s="638"/>
      <c r="G117" s="638"/>
      <c r="H117" s="638"/>
      <c r="I117" s="553"/>
    </row>
    <row r="118" spans="2:9" ht="18">
      <c r="B118" s="647"/>
      <c r="C118" s="638"/>
      <c r="D118" s="648"/>
      <c r="E118" s="648"/>
      <c r="F118" s="638"/>
      <c r="G118" s="638"/>
      <c r="H118" s="638"/>
      <c r="I118" s="553"/>
    </row>
    <row r="119" spans="2:9" ht="18">
      <c r="B119" s="647"/>
      <c r="C119" s="638"/>
      <c r="D119" s="648"/>
      <c r="E119" s="648"/>
      <c r="F119" s="638"/>
      <c r="G119" s="638"/>
      <c r="H119" s="638"/>
      <c r="I119" s="553"/>
    </row>
    <row r="120" spans="2:9" ht="18">
      <c r="B120" s="647"/>
      <c r="C120" s="638"/>
      <c r="D120" s="648"/>
      <c r="E120" s="648"/>
      <c r="F120" s="638"/>
      <c r="G120" s="638"/>
      <c r="H120" s="638"/>
      <c r="I120" s="553"/>
    </row>
    <row r="121" spans="2:9" ht="18">
      <c r="B121" s="647"/>
      <c r="C121" s="638"/>
      <c r="D121" s="648"/>
      <c r="E121" s="648"/>
      <c r="F121" s="638"/>
      <c r="G121" s="638"/>
      <c r="H121" s="638"/>
      <c r="I121" s="553"/>
    </row>
    <row r="122" spans="2:9" ht="18">
      <c r="B122" s="638"/>
      <c r="C122" s="638"/>
      <c r="D122" s="648"/>
      <c r="E122" s="648"/>
      <c r="F122" s="638"/>
      <c r="G122" s="638"/>
      <c r="H122" s="638"/>
      <c r="I122" s="553"/>
    </row>
    <row r="123" spans="2:9" ht="18">
      <c r="B123" s="647"/>
      <c r="C123" s="638"/>
      <c r="D123" s="648"/>
      <c r="E123" s="648"/>
      <c r="F123" s="638"/>
      <c r="G123" s="638"/>
      <c r="H123" s="638"/>
      <c r="I123" s="553"/>
    </row>
    <row r="124" spans="2:9" ht="18">
      <c r="B124" s="638"/>
      <c r="C124" s="638"/>
      <c r="D124" s="648"/>
      <c r="E124" s="648"/>
      <c r="F124" s="638"/>
      <c r="G124" s="638"/>
      <c r="H124" s="638"/>
      <c r="I124" s="553"/>
    </row>
    <row r="125" spans="2:9" ht="18">
      <c r="B125" s="647"/>
      <c r="C125" s="638"/>
      <c r="D125" s="638"/>
      <c r="E125" s="638"/>
      <c r="F125" s="638"/>
      <c r="G125" s="638"/>
      <c r="H125" s="638"/>
      <c r="I125" s="553"/>
    </row>
    <row r="126" spans="2:9" ht="18">
      <c r="B126" s="647"/>
      <c r="C126" s="638"/>
      <c r="D126" s="638"/>
      <c r="E126" s="638"/>
      <c r="F126" s="638"/>
      <c r="G126" s="638"/>
      <c r="H126" s="638"/>
    </row>
    <row r="127" spans="2:9" ht="18">
      <c r="B127" s="647"/>
      <c r="C127" s="638"/>
      <c r="D127" s="638"/>
      <c r="E127" s="638"/>
      <c r="F127" s="638"/>
      <c r="G127" s="638"/>
      <c r="H127" s="638"/>
    </row>
    <row r="128" spans="2:9" ht="18">
      <c r="B128" s="647"/>
      <c r="C128" s="638"/>
      <c r="D128" s="638"/>
      <c r="E128" s="638"/>
      <c r="F128" s="638"/>
      <c r="G128" s="638"/>
      <c r="H128" s="638"/>
    </row>
    <row r="129" spans="2:8" ht="18">
      <c r="B129" s="647"/>
      <c r="C129" s="638"/>
      <c r="D129" s="638"/>
      <c r="E129" s="638"/>
      <c r="F129" s="638"/>
      <c r="G129" s="638"/>
      <c r="H129" s="638"/>
    </row>
    <row r="130" spans="2:8" ht="18">
      <c r="B130" s="647"/>
      <c r="C130" s="638"/>
      <c r="D130" s="638"/>
      <c r="E130" s="638"/>
      <c r="F130" s="638"/>
      <c r="G130" s="638"/>
      <c r="H130" s="638"/>
    </row>
    <row r="131" spans="2:8" ht="18">
      <c r="B131" s="647"/>
      <c r="C131" s="638"/>
      <c r="D131" s="638"/>
      <c r="E131" s="638"/>
      <c r="F131" s="638"/>
      <c r="G131" s="638"/>
      <c r="H131" s="638"/>
    </row>
    <row r="132" spans="2:8" ht="18">
      <c r="B132" s="647"/>
      <c r="C132" s="638"/>
      <c r="D132" s="638"/>
      <c r="E132" s="638"/>
      <c r="F132" s="638"/>
      <c r="G132" s="638"/>
      <c r="H132" s="638"/>
    </row>
    <row r="133" spans="2:8" ht="18">
      <c r="B133" s="647"/>
      <c r="C133" s="638"/>
      <c r="D133" s="638"/>
      <c r="E133" s="638"/>
      <c r="F133" s="638"/>
      <c r="G133" s="638"/>
      <c r="H133" s="638"/>
    </row>
    <row r="134" spans="2:8" ht="18">
      <c r="B134" s="647"/>
      <c r="C134" s="638"/>
      <c r="D134" s="638"/>
      <c r="E134" s="638"/>
      <c r="F134" s="638"/>
      <c r="G134" s="638"/>
      <c r="H134" s="638"/>
    </row>
    <row r="135" spans="2:8" ht="18">
      <c r="B135" s="647"/>
      <c r="C135" s="638"/>
      <c r="D135" s="638"/>
      <c r="E135" s="638"/>
      <c r="F135" s="638"/>
      <c r="G135" s="638"/>
      <c r="H135" s="638"/>
    </row>
    <row r="136" spans="2:8" ht="18">
      <c r="B136" s="647"/>
      <c r="C136" s="638"/>
      <c r="D136" s="638"/>
      <c r="E136" s="638"/>
      <c r="F136" s="638"/>
      <c r="G136" s="638"/>
      <c r="H136" s="638"/>
    </row>
    <row r="137" spans="2:8" ht="18">
      <c r="B137" s="647"/>
      <c r="C137" s="638"/>
      <c r="D137" s="638"/>
      <c r="E137" s="638"/>
      <c r="F137" s="638"/>
      <c r="G137" s="638"/>
      <c r="H137" s="638"/>
    </row>
    <row r="138" spans="2:8" ht="18">
      <c r="B138" s="647"/>
      <c r="C138" s="638"/>
      <c r="D138" s="638"/>
      <c r="E138" s="638"/>
      <c r="F138" s="638"/>
      <c r="G138" s="638"/>
      <c r="H138" s="638"/>
    </row>
    <row r="139" spans="2:8" ht="18">
      <c r="B139" s="647"/>
      <c r="C139" s="638"/>
      <c r="D139" s="638"/>
      <c r="E139" s="638"/>
      <c r="F139" s="638"/>
      <c r="G139" s="638"/>
      <c r="H139" s="638"/>
    </row>
    <row r="140" spans="2:8" ht="18">
      <c r="B140" s="647"/>
      <c r="C140" s="638"/>
      <c r="D140" s="638"/>
      <c r="E140" s="638"/>
      <c r="F140" s="638"/>
      <c r="G140" s="638"/>
      <c r="H140" s="638"/>
    </row>
    <row r="141" spans="2:8" ht="18">
      <c r="B141" s="647"/>
      <c r="C141" s="638"/>
      <c r="D141" s="638"/>
      <c r="E141" s="638"/>
      <c r="F141" s="638"/>
      <c r="G141" s="638"/>
      <c r="H141" s="638"/>
    </row>
    <row r="142" spans="2:8" ht="18">
      <c r="B142" s="647"/>
      <c r="C142" s="638"/>
      <c r="D142" s="638"/>
      <c r="E142" s="638"/>
      <c r="F142" s="638"/>
      <c r="G142" s="638"/>
      <c r="H142" s="638"/>
    </row>
    <row r="143" spans="2:8" ht="18">
      <c r="B143" s="647"/>
      <c r="C143" s="638"/>
      <c r="D143" s="638"/>
      <c r="E143" s="638"/>
      <c r="F143" s="638"/>
      <c r="G143" s="638"/>
      <c r="H143" s="638"/>
    </row>
    <row r="144" spans="2:8" ht="18">
      <c r="B144" s="647"/>
      <c r="C144" s="638"/>
      <c r="D144" s="638"/>
      <c r="E144" s="638"/>
      <c r="F144" s="638"/>
      <c r="G144" s="638"/>
      <c r="H144" s="638"/>
    </row>
    <row r="145" spans="2:8" ht="18">
      <c r="B145" s="647"/>
      <c r="C145" s="638"/>
      <c r="D145" s="638"/>
      <c r="E145" s="638"/>
      <c r="F145" s="638"/>
      <c r="G145" s="638"/>
      <c r="H145" s="638"/>
    </row>
    <row r="146" spans="2:8" ht="18">
      <c r="B146" s="647"/>
      <c r="C146" s="638"/>
      <c r="D146" s="638"/>
      <c r="E146" s="638"/>
      <c r="F146" s="638"/>
      <c r="G146" s="638"/>
      <c r="H146" s="638"/>
    </row>
    <row r="147" spans="2:8" ht="18">
      <c r="B147" s="647"/>
      <c r="C147" s="638"/>
      <c r="D147" s="638"/>
      <c r="E147" s="638"/>
      <c r="F147" s="638"/>
      <c r="G147" s="638"/>
      <c r="H147" s="638"/>
    </row>
    <row r="148" spans="2:8" ht="18">
      <c r="B148" s="647"/>
      <c r="C148" s="638"/>
      <c r="D148" s="638"/>
      <c r="E148" s="638"/>
      <c r="F148" s="638"/>
      <c r="G148" s="638"/>
      <c r="H148" s="638"/>
    </row>
    <row r="149" spans="2:8" ht="18">
      <c r="B149" s="647"/>
      <c r="C149" s="638"/>
      <c r="D149" s="638"/>
      <c r="E149" s="638"/>
      <c r="F149" s="638"/>
      <c r="G149" s="638"/>
      <c r="H149" s="638"/>
    </row>
    <row r="150" spans="2:8" ht="18">
      <c r="B150" s="647"/>
      <c r="C150" s="638"/>
      <c r="D150" s="638"/>
      <c r="E150" s="638"/>
      <c r="F150" s="638"/>
      <c r="G150" s="638"/>
      <c r="H150" s="638"/>
    </row>
    <row r="151" spans="2:8" ht="18">
      <c r="B151" s="647"/>
      <c r="C151" s="638"/>
      <c r="D151" s="638"/>
      <c r="E151" s="638"/>
      <c r="F151" s="638"/>
      <c r="G151" s="638"/>
      <c r="H151" s="638"/>
    </row>
    <row r="152" spans="2:8" ht="18">
      <c r="B152" s="647"/>
      <c r="C152" s="638"/>
      <c r="D152" s="638"/>
      <c r="E152" s="638"/>
      <c r="F152" s="638"/>
      <c r="G152" s="638"/>
      <c r="H152" s="638"/>
    </row>
    <row r="153" spans="2:8" ht="18">
      <c r="B153" s="647"/>
      <c r="C153" s="638"/>
      <c r="D153" s="638"/>
      <c r="E153" s="638"/>
      <c r="F153" s="638"/>
      <c r="G153" s="638"/>
      <c r="H153" s="638"/>
    </row>
    <row r="154" spans="2:8" ht="18">
      <c r="B154" s="647"/>
      <c r="C154" s="638"/>
      <c r="D154" s="638"/>
      <c r="E154" s="638"/>
      <c r="F154" s="638"/>
      <c r="G154" s="638"/>
      <c r="H154" s="638"/>
    </row>
    <row r="155" spans="2:8" ht="18">
      <c r="B155" s="647"/>
      <c r="C155" s="638"/>
      <c r="D155" s="638"/>
      <c r="E155" s="638"/>
      <c r="F155" s="638"/>
      <c r="G155" s="638"/>
      <c r="H155" s="638"/>
    </row>
    <row r="156" spans="2:8" ht="18">
      <c r="B156" s="647"/>
      <c r="C156" s="638"/>
      <c r="D156" s="638"/>
      <c r="E156" s="638"/>
      <c r="F156" s="638"/>
      <c r="G156" s="638"/>
      <c r="H156" s="638"/>
    </row>
    <row r="157" spans="2:8" ht="18">
      <c r="B157" s="647"/>
      <c r="C157" s="638"/>
      <c r="D157" s="638"/>
      <c r="E157" s="638"/>
      <c r="F157" s="638"/>
      <c r="G157" s="638"/>
      <c r="H157" s="638"/>
    </row>
    <row r="158" spans="2:8" ht="18">
      <c r="B158" s="647"/>
      <c r="C158" s="638"/>
      <c r="D158" s="638"/>
      <c r="E158" s="638"/>
      <c r="F158" s="638"/>
      <c r="G158" s="638"/>
      <c r="H158" s="638"/>
    </row>
    <row r="159" spans="2:8" ht="18">
      <c r="B159" s="647"/>
      <c r="C159" s="638"/>
      <c r="D159" s="638"/>
      <c r="E159" s="638"/>
      <c r="F159" s="638"/>
      <c r="G159" s="638"/>
      <c r="H159" s="638"/>
    </row>
    <row r="160" spans="2:8" ht="18">
      <c r="B160" s="647"/>
      <c r="C160" s="638"/>
      <c r="D160" s="638"/>
      <c r="E160" s="638"/>
      <c r="F160" s="638"/>
      <c r="G160" s="638"/>
      <c r="H160" s="638"/>
    </row>
    <row r="161" spans="2:8" ht="18">
      <c r="B161" s="647"/>
      <c r="C161" s="638"/>
      <c r="D161" s="638"/>
      <c r="E161" s="638"/>
      <c r="F161" s="638"/>
      <c r="G161" s="638"/>
      <c r="H161" s="638"/>
    </row>
    <row r="162" spans="2:8" ht="18">
      <c r="B162" s="647"/>
      <c r="C162" s="638"/>
      <c r="D162" s="638"/>
      <c r="E162" s="638"/>
      <c r="F162" s="638"/>
      <c r="G162" s="638"/>
      <c r="H162" s="638"/>
    </row>
    <row r="163" spans="2:8" ht="18">
      <c r="B163" s="647"/>
      <c r="C163" s="638"/>
      <c r="D163" s="638"/>
      <c r="E163" s="638"/>
      <c r="F163" s="638"/>
      <c r="G163" s="638"/>
      <c r="H163" s="638"/>
    </row>
    <row r="164" spans="2:8" ht="18">
      <c r="B164" s="647"/>
      <c r="C164" s="638"/>
      <c r="D164" s="638"/>
      <c r="E164" s="638"/>
      <c r="F164" s="638"/>
      <c r="G164" s="638"/>
      <c r="H164" s="638"/>
    </row>
    <row r="165" spans="2:8" ht="18">
      <c r="B165" s="647"/>
      <c r="C165" s="638"/>
      <c r="D165" s="638"/>
      <c r="E165" s="638"/>
      <c r="F165" s="638"/>
      <c r="G165" s="638"/>
      <c r="H165" s="638"/>
    </row>
    <row r="166" spans="2:8" ht="18">
      <c r="B166" s="647"/>
      <c r="C166" s="638"/>
      <c r="D166" s="638"/>
      <c r="E166" s="638"/>
      <c r="F166" s="638"/>
      <c r="G166" s="638"/>
      <c r="H166" s="638"/>
    </row>
    <row r="167" spans="2:8" ht="18">
      <c r="B167" s="647"/>
      <c r="C167" s="638"/>
      <c r="D167" s="638"/>
      <c r="E167" s="638"/>
      <c r="F167" s="638"/>
      <c r="G167" s="638"/>
      <c r="H167" s="638"/>
    </row>
    <row r="168" spans="2:8" ht="18">
      <c r="B168" s="647"/>
      <c r="C168" s="638"/>
      <c r="D168" s="638"/>
      <c r="E168" s="638"/>
      <c r="F168" s="638"/>
      <c r="G168" s="638"/>
      <c r="H168" s="638"/>
    </row>
    <row r="169" spans="2:8" ht="18">
      <c r="B169" s="647"/>
      <c r="C169" s="638"/>
      <c r="D169" s="638"/>
      <c r="E169" s="638"/>
      <c r="F169" s="638"/>
      <c r="G169" s="638"/>
      <c r="H169" s="638"/>
    </row>
    <row r="170" spans="2:8" ht="18">
      <c r="B170" s="647"/>
      <c r="C170" s="638"/>
      <c r="D170" s="638"/>
      <c r="E170" s="638"/>
      <c r="F170" s="638"/>
      <c r="G170" s="638"/>
      <c r="H170" s="638"/>
    </row>
    <row r="171" spans="2:8" ht="18">
      <c r="B171" s="647"/>
      <c r="C171" s="638"/>
      <c r="D171" s="638"/>
      <c r="E171" s="638"/>
      <c r="F171" s="638"/>
      <c r="G171" s="638"/>
      <c r="H171" s="638"/>
    </row>
    <row r="172" spans="2:8" ht="18">
      <c r="B172" s="647"/>
      <c r="C172" s="638"/>
      <c r="D172" s="638"/>
      <c r="E172" s="638"/>
      <c r="F172" s="638"/>
      <c r="G172" s="638"/>
      <c r="H172" s="638"/>
    </row>
    <row r="173" spans="2:8" ht="18">
      <c r="B173" s="647"/>
      <c r="C173" s="638"/>
      <c r="D173" s="638"/>
      <c r="E173" s="638"/>
      <c r="F173" s="638"/>
      <c r="G173" s="638"/>
      <c r="H173" s="638"/>
    </row>
    <row r="174" spans="2:8" ht="18">
      <c r="B174" s="647"/>
      <c r="C174" s="638"/>
      <c r="D174" s="638"/>
      <c r="E174" s="638"/>
      <c r="F174" s="638"/>
      <c r="G174" s="638"/>
      <c r="H174" s="638"/>
    </row>
    <row r="175" spans="2:8" ht="18">
      <c r="B175" s="647"/>
      <c r="C175" s="638"/>
      <c r="D175" s="638"/>
      <c r="E175" s="638"/>
      <c r="F175" s="638"/>
      <c r="G175" s="638"/>
      <c r="H175" s="638"/>
    </row>
    <row r="176" spans="2:8" ht="18">
      <c r="B176" s="647"/>
      <c r="C176" s="638"/>
      <c r="D176" s="638"/>
      <c r="E176" s="638"/>
      <c r="F176" s="638"/>
      <c r="G176" s="638"/>
      <c r="H176" s="638"/>
    </row>
    <row r="177" spans="2:8" ht="18">
      <c r="B177" s="647"/>
      <c r="C177" s="638"/>
      <c r="D177" s="638"/>
      <c r="E177" s="638"/>
      <c r="F177" s="638"/>
      <c r="G177" s="638"/>
      <c r="H177" s="638"/>
    </row>
    <row r="178" spans="2:8" ht="18">
      <c r="B178" s="647"/>
      <c r="C178" s="638"/>
      <c r="D178" s="638"/>
      <c r="E178" s="638"/>
      <c r="F178" s="638"/>
      <c r="G178" s="638"/>
      <c r="H178" s="638"/>
    </row>
    <row r="179" spans="2:8" ht="18">
      <c r="B179" s="647"/>
      <c r="C179" s="638"/>
      <c r="D179" s="638"/>
      <c r="E179" s="638"/>
      <c r="F179" s="638"/>
      <c r="G179" s="638"/>
      <c r="H179" s="638"/>
    </row>
    <row r="180" spans="2:8" ht="18">
      <c r="B180" s="647"/>
      <c r="C180" s="638"/>
      <c r="D180" s="638"/>
      <c r="E180" s="638"/>
      <c r="F180" s="638"/>
      <c r="G180" s="638"/>
      <c r="H180" s="638"/>
    </row>
    <row r="181" spans="2:8" ht="18">
      <c r="B181" s="647"/>
      <c r="C181" s="638"/>
      <c r="D181" s="638"/>
      <c r="E181" s="638"/>
      <c r="F181" s="638"/>
      <c r="G181" s="638"/>
      <c r="H181" s="638"/>
    </row>
    <row r="182" spans="2:8" ht="18">
      <c r="B182" s="647"/>
      <c r="C182" s="638"/>
      <c r="D182" s="638"/>
      <c r="E182" s="638"/>
      <c r="F182" s="638"/>
      <c r="G182" s="638"/>
      <c r="H182" s="638"/>
    </row>
    <row r="183" spans="2:8" ht="18">
      <c r="B183" s="647"/>
      <c r="C183" s="638"/>
      <c r="D183" s="638"/>
      <c r="E183" s="638"/>
      <c r="F183" s="638"/>
      <c r="G183" s="638"/>
      <c r="H183" s="638"/>
    </row>
    <row r="184" spans="2:8" ht="18">
      <c r="B184" s="647"/>
      <c r="C184" s="638"/>
      <c r="D184" s="638"/>
      <c r="E184" s="638"/>
      <c r="F184" s="638"/>
      <c r="G184" s="638"/>
      <c r="H184" s="638"/>
    </row>
    <row r="185" spans="2:8" ht="18">
      <c r="B185" s="647"/>
      <c r="C185" s="638"/>
      <c r="D185" s="638"/>
      <c r="E185" s="638"/>
      <c r="F185" s="638"/>
      <c r="G185" s="638"/>
      <c r="H185" s="638"/>
    </row>
    <row r="186" spans="2:8" ht="18">
      <c r="B186" s="647"/>
      <c r="C186" s="638"/>
      <c r="D186" s="638"/>
      <c r="E186" s="638"/>
      <c r="F186" s="638"/>
      <c r="G186" s="638"/>
      <c r="H186" s="638"/>
    </row>
    <row r="187" spans="2:8" ht="18">
      <c r="B187" s="647"/>
      <c r="C187" s="638"/>
      <c r="D187" s="638"/>
      <c r="E187" s="638"/>
      <c r="F187" s="638"/>
      <c r="G187" s="638"/>
      <c r="H187" s="638"/>
    </row>
    <row r="188" spans="2:8" ht="18">
      <c r="B188" s="647"/>
      <c r="C188" s="638"/>
      <c r="D188" s="638"/>
      <c r="E188" s="638"/>
      <c r="F188" s="638"/>
      <c r="G188" s="638"/>
      <c r="H188" s="638"/>
    </row>
    <row r="189" spans="2:8" ht="18">
      <c r="B189" s="647"/>
      <c r="C189" s="638"/>
      <c r="D189" s="638"/>
      <c r="E189" s="638"/>
      <c r="F189" s="638"/>
      <c r="G189" s="638"/>
      <c r="H189" s="638"/>
    </row>
    <row r="190" spans="2:8" ht="18">
      <c r="B190" s="647"/>
      <c r="C190" s="638"/>
      <c r="D190" s="638"/>
      <c r="E190" s="638"/>
      <c r="F190" s="638"/>
      <c r="G190" s="638"/>
      <c r="H190" s="638"/>
    </row>
    <row r="191" spans="2:8" ht="18">
      <c r="B191" s="647"/>
      <c r="C191" s="638"/>
      <c r="D191" s="638"/>
      <c r="E191" s="638"/>
      <c r="F191" s="638"/>
      <c r="G191" s="638"/>
      <c r="H191" s="638"/>
    </row>
    <row r="192" spans="2:8" ht="18">
      <c r="B192" s="647"/>
      <c r="C192" s="638"/>
      <c r="D192" s="638"/>
      <c r="E192" s="638"/>
      <c r="F192" s="638"/>
      <c r="G192" s="638"/>
      <c r="H192" s="638"/>
    </row>
    <row r="193" spans="2:8" ht="18">
      <c r="B193" s="647"/>
      <c r="C193" s="638"/>
      <c r="D193" s="638"/>
      <c r="E193" s="638"/>
      <c r="F193" s="638"/>
      <c r="G193" s="638"/>
      <c r="H193" s="638"/>
    </row>
    <row r="194" spans="2:8" ht="18">
      <c r="B194" s="647"/>
      <c r="C194" s="638"/>
      <c r="D194" s="638"/>
      <c r="E194" s="638"/>
      <c r="F194" s="638"/>
      <c r="G194" s="638"/>
      <c r="H194" s="638"/>
    </row>
    <row r="195" spans="2:8" ht="18">
      <c r="B195" s="647"/>
      <c r="C195" s="638"/>
      <c r="D195" s="638"/>
      <c r="E195" s="638"/>
      <c r="F195" s="638"/>
      <c r="G195" s="638"/>
      <c r="H195" s="638"/>
    </row>
    <row r="196" spans="2:8" ht="18">
      <c r="B196" s="647"/>
      <c r="C196" s="638"/>
      <c r="D196" s="638"/>
      <c r="E196" s="638"/>
      <c r="F196" s="638"/>
      <c r="G196" s="638"/>
      <c r="H196" s="638"/>
    </row>
    <row r="197" spans="2:8" ht="18">
      <c r="B197" s="647"/>
      <c r="C197" s="638"/>
      <c r="D197" s="638"/>
      <c r="E197" s="638"/>
      <c r="F197" s="638"/>
      <c r="G197" s="638"/>
      <c r="H197" s="638"/>
    </row>
    <row r="198" spans="2:8" ht="18">
      <c r="B198" s="647"/>
      <c r="C198" s="638"/>
      <c r="D198" s="638"/>
      <c r="E198" s="638"/>
      <c r="F198" s="638"/>
      <c r="G198" s="638"/>
      <c r="H198" s="638"/>
    </row>
    <row r="199" spans="2:8" ht="18">
      <c r="B199" s="647"/>
      <c r="C199" s="638"/>
      <c r="D199" s="638"/>
      <c r="E199" s="638"/>
      <c r="F199" s="638"/>
      <c r="G199" s="638"/>
      <c r="H199" s="638"/>
    </row>
    <row r="200" spans="2:8" ht="18">
      <c r="B200" s="647"/>
      <c r="C200" s="638"/>
      <c r="D200" s="638"/>
      <c r="E200" s="638"/>
      <c r="F200" s="638"/>
      <c r="G200" s="638"/>
      <c r="H200" s="638"/>
    </row>
    <row r="201" spans="2:8" ht="18">
      <c r="B201" s="647"/>
      <c r="C201" s="638"/>
      <c r="D201" s="638"/>
      <c r="E201" s="638"/>
      <c r="F201" s="638"/>
      <c r="G201" s="638"/>
      <c r="H201" s="638"/>
    </row>
    <row r="202" spans="2:8" ht="18">
      <c r="B202" s="647"/>
      <c r="C202" s="638"/>
      <c r="D202" s="638"/>
      <c r="E202" s="638"/>
      <c r="F202" s="638"/>
      <c r="G202" s="638"/>
      <c r="H202" s="638"/>
    </row>
    <row r="203" spans="2:8" ht="18">
      <c r="B203" s="647"/>
      <c r="C203" s="638"/>
      <c r="D203" s="638"/>
      <c r="E203" s="638"/>
      <c r="F203" s="638"/>
      <c r="G203" s="638"/>
      <c r="H203" s="638"/>
    </row>
    <row r="204" spans="2:8" ht="18">
      <c r="B204" s="647"/>
      <c r="C204" s="638"/>
      <c r="D204" s="638"/>
      <c r="E204" s="638"/>
      <c r="F204" s="638"/>
      <c r="G204" s="638"/>
      <c r="H204" s="638"/>
    </row>
    <row r="205" spans="2:8" ht="18">
      <c r="B205" s="647"/>
      <c r="C205" s="638"/>
      <c r="D205" s="638"/>
      <c r="E205" s="638"/>
      <c r="F205" s="638"/>
      <c r="G205" s="638"/>
      <c r="H205" s="638"/>
    </row>
    <row r="206" spans="2:8" ht="18">
      <c r="B206" s="647"/>
      <c r="C206" s="638"/>
      <c r="D206" s="638"/>
      <c r="E206" s="638"/>
      <c r="F206" s="638"/>
      <c r="G206" s="638"/>
      <c r="H206" s="638"/>
    </row>
    <row r="207" spans="2:8" ht="18">
      <c r="B207" s="647"/>
      <c r="C207" s="638"/>
      <c r="D207" s="638"/>
      <c r="E207" s="638"/>
      <c r="F207" s="638"/>
      <c r="G207" s="638"/>
      <c r="H207" s="638"/>
    </row>
    <row r="208" spans="2:8" ht="18">
      <c r="B208" s="647"/>
      <c r="C208" s="638"/>
      <c r="D208" s="638"/>
      <c r="E208" s="638"/>
      <c r="F208" s="638"/>
      <c r="G208" s="638"/>
      <c r="H208" s="638"/>
    </row>
    <row r="209" spans="2:8" ht="18">
      <c r="B209" s="647"/>
      <c r="C209" s="638"/>
      <c r="D209" s="638"/>
      <c r="E209" s="638"/>
      <c r="F209" s="638"/>
      <c r="G209" s="638"/>
      <c r="H209" s="638"/>
    </row>
    <row r="210" spans="2:8" ht="18">
      <c r="B210" s="647"/>
      <c r="C210" s="638"/>
      <c r="D210" s="638"/>
      <c r="E210" s="638"/>
      <c r="F210" s="638"/>
      <c r="G210" s="638"/>
      <c r="H210" s="638"/>
    </row>
    <row r="211" spans="2:8" ht="18">
      <c r="B211" s="647"/>
      <c r="C211" s="638"/>
      <c r="D211" s="638"/>
      <c r="E211" s="638"/>
      <c r="F211" s="638"/>
      <c r="G211" s="638"/>
      <c r="H211" s="638"/>
    </row>
    <row r="212" spans="2:8" ht="18">
      <c r="B212" s="647"/>
      <c r="C212" s="638"/>
      <c r="D212" s="638"/>
      <c r="E212" s="638"/>
      <c r="F212" s="638"/>
      <c r="G212" s="638"/>
      <c r="H212" s="638"/>
    </row>
    <row r="213" spans="2:8" ht="18">
      <c r="B213" s="647"/>
      <c r="C213" s="638"/>
      <c r="D213" s="638"/>
      <c r="E213" s="638"/>
      <c r="F213" s="638"/>
      <c r="G213" s="638"/>
      <c r="H213" s="638"/>
    </row>
    <row r="214" spans="2:8" ht="18">
      <c r="B214" s="647"/>
      <c r="C214" s="638"/>
      <c r="D214" s="638"/>
      <c r="E214" s="638"/>
      <c r="F214" s="638"/>
      <c r="G214" s="638"/>
      <c r="H214" s="638"/>
    </row>
    <row r="215" spans="2:8" ht="18">
      <c r="B215" s="647"/>
      <c r="C215" s="638"/>
      <c r="D215" s="638"/>
      <c r="E215" s="638"/>
      <c r="F215" s="638"/>
      <c r="G215" s="638"/>
      <c r="H215" s="638"/>
    </row>
    <row r="216" spans="2:8" ht="18">
      <c r="B216" s="647"/>
      <c r="C216" s="638"/>
      <c r="D216" s="638"/>
      <c r="E216" s="638"/>
      <c r="F216" s="638"/>
      <c r="G216" s="638"/>
      <c r="H216" s="638"/>
    </row>
    <row r="217" spans="2:8" ht="18">
      <c r="B217" s="647"/>
      <c r="C217" s="638"/>
      <c r="D217" s="638"/>
      <c r="E217" s="638"/>
      <c r="F217" s="638"/>
      <c r="G217" s="638"/>
      <c r="H217" s="638"/>
    </row>
    <row r="218" spans="2:8" ht="18">
      <c r="B218" s="647"/>
      <c r="C218" s="638"/>
      <c r="D218" s="638"/>
      <c r="E218" s="638"/>
      <c r="F218" s="638"/>
      <c r="G218" s="638"/>
      <c r="H218" s="638"/>
    </row>
    <row r="219" spans="2:8" ht="18">
      <c r="B219" s="647"/>
      <c r="C219" s="638"/>
      <c r="D219" s="638"/>
      <c r="E219" s="638"/>
      <c r="F219" s="638"/>
      <c r="G219" s="638"/>
      <c r="H219" s="638"/>
    </row>
    <row r="220" spans="2:8" ht="18">
      <c r="B220" s="647"/>
      <c r="C220" s="638"/>
      <c r="D220" s="638"/>
      <c r="E220" s="638"/>
      <c r="F220" s="638"/>
      <c r="G220" s="638"/>
      <c r="H220" s="638"/>
    </row>
    <row r="221" spans="2:8" ht="18">
      <c r="B221" s="647"/>
      <c r="C221" s="638"/>
      <c r="D221" s="638"/>
      <c r="E221" s="638"/>
      <c r="F221" s="638"/>
      <c r="G221" s="638"/>
      <c r="H221" s="638"/>
    </row>
    <row r="222" spans="2:8" ht="18">
      <c r="B222" s="647"/>
      <c r="C222" s="638"/>
      <c r="D222" s="638"/>
      <c r="E222" s="638"/>
      <c r="F222" s="638"/>
      <c r="G222" s="638"/>
      <c r="H222" s="638"/>
    </row>
    <row r="223" spans="2:8" ht="18">
      <c r="B223" s="647"/>
      <c r="C223" s="638"/>
      <c r="D223" s="638"/>
      <c r="E223" s="638"/>
      <c r="F223" s="638"/>
      <c r="G223" s="638"/>
      <c r="H223" s="638"/>
    </row>
    <row r="224" spans="2:8" ht="18">
      <c r="B224" s="647"/>
      <c r="C224" s="638"/>
      <c r="D224" s="638"/>
      <c r="E224" s="638"/>
      <c r="F224" s="638"/>
      <c r="G224" s="638"/>
      <c r="H224" s="638"/>
    </row>
    <row r="225" spans="2:8" ht="18">
      <c r="B225" s="647"/>
      <c r="C225" s="638"/>
      <c r="D225" s="638"/>
      <c r="E225" s="638"/>
      <c r="F225" s="638"/>
      <c r="G225" s="638"/>
      <c r="H225" s="638"/>
    </row>
    <row r="226" spans="2:8" ht="18">
      <c r="B226" s="647"/>
      <c r="C226" s="638"/>
      <c r="D226" s="638"/>
      <c r="E226" s="638"/>
      <c r="F226" s="638"/>
      <c r="G226" s="638"/>
      <c r="H226" s="638"/>
    </row>
    <row r="227" spans="2:8" ht="18">
      <c r="B227" s="647"/>
      <c r="C227" s="638"/>
      <c r="D227" s="638"/>
      <c r="E227" s="638"/>
      <c r="F227" s="638"/>
      <c r="G227" s="638"/>
      <c r="H227" s="638"/>
    </row>
    <row r="228" spans="2:8" ht="18">
      <c r="B228" s="647"/>
      <c r="C228" s="638"/>
      <c r="D228" s="638"/>
      <c r="E228" s="638"/>
      <c r="F228" s="638"/>
      <c r="G228" s="638"/>
      <c r="H228" s="638"/>
    </row>
    <row r="229" spans="2:8" ht="18">
      <c r="B229" s="647"/>
      <c r="C229" s="638"/>
      <c r="D229" s="638"/>
      <c r="E229" s="638"/>
      <c r="F229" s="638"/>
      <c r="G229" s="638"/>
      <c r="H229" s="638"/>
    </row>
    <row r="230" spans="2:8" ht="18">
      <c r="B230" s="647"/>
      <c r="C230" s="638"/>
      <c r="D230" s="638"/>
      <c r="E230" s="638"/>
      <c r="F230" s="638"/>
      <c r="G230" s="638"/>
      <c r="H230" s="638"/>
    </row>
    <row r="231" spans="2:8">
      <c r="B231" s="557"/>
      <c r="C231" s="555"/>
      <c r="D231" s="555"/>
      <c r="E231" s="555"/>
      <c r="F231" s="555"/>
      <c r="G231" s="555"/>
      <c r="H231" s="555"/>
    </row>
    <row r="232" spans="2:8">
      <c r="B232" s="557"/>
      <c r="C232" s="555"/>
      <c r="D232" s="555"/>
      <c r="E232" s="555"/>
      <c r="F232" s="555"/>
      <c r="G232" s="555"/>
      <c r="H232" s="555"/>
    </row>
    <row r="233" spans="2:8">
      <c r="B233" s="557"/>
      <c r="C233" s="555"/>
      <c r="D233" s="555"/>
      <c r="E233" s="555"/>
      <c r="F233" s="555"/>
      <c r="G233" s="555"/>
      <c r="H233" s="555"/>
    </row>
    <row r="234" spans="2:8">
      <c r="B234" s="557"/>
      <c r="C234" s="555"/>
      <c r="D234" s="555"/>
      <c r="E234" s="555"/>
      <c r="F234" s="555"/>
      <c r="G234" s="555"/>
      <c r="H234" s="555"/>
    </row>
    <row r="235" spans="2:8">
      <c r="B235" s="557"/>
      <c r="C235" s="555"/>
      <c r="D235" s="555"/>
      <c r="E235" s="555"/>
      <c r="F235" s="555"/>
      <c r="G235" s="555"/>
      <c r="H235" s="555"/>
    </row>
    <row r="236" spans="2:8">
      <c r="B236" s="557"/>
      <c r="C236" s="555"/>
      <c r="D236" s="555"/>
      <c r="E236" s="555"/>
      <c r="F236" s="555"/>
      <c r="G236" s="555"/>
      <c r="H236" s="555"/>
    </row>
    <row r="237" spans="2:8">
      <c r="B237" s="557"/>
      <c r="C237" s="555"/>
      <c r="D237" s="555"/>
      <c r="E237" s="555"/>
      <c r="F237" s="555"/>
      <c r="G237" s="555"/>
      <c r="H237" s="555"/>
    </row>
    <row r="238" spans="2:8">
      <c r="B238" s="557"/>
      <c r="C238" s="555"/>
      <c r="D238" s="555"/>
      <c r="E238" s="555"/>
      <c r="F238" s="555"/>
      <c r="G238" s="555"/>
      <c r="H238" s="555"/>
    </row>
    <row r="239" spans="2:8">
      <c r="B239" s="557"/>
      <c r="C239" s="555"/>
      <c r="D239" s="555"/>
      <c r="E239" s="555"/>
      <c r="F239" s="555"/>
      <c r="G239" s="555"/>
      <c r="H239" s="555"/>
    </row>
    <row r="240" spans="2:8">
      <c r="B240" s="557"/>
      <c r="C240" s="555"/>
      <c r="D240" s="555"/>
      <c r="E240" s="555"/>
      <c r="F240" s="555"/>
      <c r="G240" s="555"/>
      <c r="H240" s="555"/>
    </row>
    <row r="241" spans="2:8">
      <c r="B241" s="557"/>
      <c r="C241" s="555"/>
      <c r="D241" s="555"/>
      <c r="E241" s="555"/>
      <c r="F241" s="555"/>
      <c r="G241" s="555"/>
      <c r="H241" s="555"/>
    </row>
    <row r="242" spans="2:8">
      <c r="B242" s="557"/>
      <c r="C242" s="555"/>
      <c r="D242" s="555"/>
      <c r="E242" s="555"/>
      <c r="F242" s="555"/>
      <c r="G242" s="555"/>
      <c r="H242" s="555"/>
    </row>
    <row r="243" spans="2:8">
      <c r="B243" s="557"/>
      <c r="C243" s="555"/>
      <c r="D243" s="555"/>
      <c r="E243" s="555"/>
      <c r="F243" s="555"/>
      <c r="G243" s="555"/>
      <c r="H243" s="555"/>
    </row>
    <row r="244" spans="2:8">
      <c r="B244" s="557"/>
      <c r="C244" s="555"/>
      <c r="D244" s="555"/>
      <c r="E244" s="555"/>
      <c r="F244" s="555"/>
      <c r="G244" s="555"/>
      <c r="H244" s="555"/>
    </row>
    <row r="245" spans="2:8">
      <c r="B245" s="557"/>
      <c r="C245" s="555"/>
      <c r="D245" s="555"/>
      <c r="E245" s="555"/>
      <c r="F245" s="555"/>
      <c r="G245" s="555"/>
      <c r="H245" s="555"/>
    </row>
    <row r="246" spans="2:8">
      <c r="B246" s="557"/>
      <c r="C246" s="555"/>
      <c r="D246" s="555"/>
      <c r="E246" s="555"/>
      <c r="F246" s="555"/>
      <c r="G246" s="555"/>
      <c r="H246" s="555"/>
    </row>
    <row r="247" spans="2:8">
      <c r="B247" s="557"/>
      <c r="C247" s="555"/>
      <c r="D247" s="555"/>
      <c r="E247" s="555"/>
      <c r="F247" s="555"/>
      <c r="G247" s="555"/>
      <c r="H247" s="555"/>
    </row>
    <row r="248" spans="2:8">
      <c r="B248" s="557"/>
      <c r="C248" s="555"/>
      <c r="D248" s="555"/>
      <c r="E248" s="555"/>
      <c r="F248" s="555"/>
      <c r="G248" s="555"/>
      <c r="H248" s="555"/>
    </row>
    <row r="249" spans="2:8">
      <c r="B249" s="557"/>
      <c r="C249" s="555"/>
      <c r="D249" s="555"/>
      <c r="E249" s="555"/>
      <c r="F249" s="555"/>
      <c r="G249" s="555"/>
      <c r="H249" s="555"/>
    </row>
    <row r="250" spans="2:8">
      <c r="B250" s="557"/>
      <c r="C250" s="555"/>
      <c r="D250" s="555"/>
      <c r="E250" s="555"/>
      <c r="F250" s="555"/>
      <c r="G250" s="555"/>
      <c r="H250" s="555"/>
    </row>
    <row r="251" spans="2:8">
      <c r="B251" s="557"/>
      <c r="C251" s="555"/>
      <c r="D251" s="555"/>
      <c r="E251" s="555"/>
      <c r="F251" s="555"/>
      <c r="G251" s="555"/>
      <c r="H251" s="555"/>
    </row>
    <row r="252" spans="2:8">
      <c r="B252" s="557"/>
      <c r="C252" s="555"/>
      <c r="D252" s="555"/>
      <c r="E252" s="555"/>
      <c r="F252" s="555"/>
      <c r="G252" s="555"/>
      <c r="H252" s="555"/>
    </row>
    <row r="253" spans="2:8">
      <c r="B253" s="557"/>
      <c r="C253" s="555"/>
      <c r="D253" s="555"/>
      <c r="E253" s="555"/>
      <c r="F253" s="555"/>
      <c r="G253" s="555"/>
      <c r="H253" s="555"/>
    </row>
    <row r="254" spans="2:8">
      <c r="B254" s="557"/>
      <c r="C254" s="555"/>
      <c r="D254" s="555"/>
      <c r="E254" s="555"/>
      <c r="F254" s="555"/>
      <c r="G254" s="555"/>
      <c r="H254" s="555"/>
    </row>
    <row r="255" spans="2:8">
      <c r="B255" s="557"/>
      <c r="C255" s="555"/>
      <c r="D255" s="555"/>
      <c r="E255" s="555"/>
      <c r="F255" s="555"/>
      <c r="G255" s="555"/>
      <c r="H255" s="555"/>
    </row>
    <row r="256" spans="2:8">
      <c r="B256" s="557"/>
      <c r="C256" s="555"/>
      <c r="D256" s="555"/>
      <c r="E256" s="555"/>
      <c r="F256" s="555"/>
      <c r="G256" s="555"/>
      <c r="H256" s="555"/>
    </row>
    <row r="257" spans="2:8">
      <c r="B257" s="557"/>
      <c r="C257" s="555"/>
      <c r="D257" s="555"/>
      <c r="E257" s="555"/>
      <c r="F257" s="555"/>
      <c r="G257" s="555"/>
      <c r="H257" s="555"/>
    </row>
    <row r="258" spans="2:8">
      <c r="B258" s="557"/>
      <c r="C258" s="555"/>
      <c r="D258" s="555"/>
      <c r="E258" s="555"/>
      <c r="F258" s="555"/>
      <c r="G258" s="555"/>
      <c r="H258" s="555"/>
    </row>
    <row r="259" spans="2:8">
      <c r="B259" s="557"/>
      <c r="C259" s="555"/>
      <c r="D259" s="555"/>
      <c r="E259" s="555"/>
      <c r="F259" s="555"/>
      <c r="G259" s="555"/>
      <c r="H259" s="555"/>
    </row>
    <row r="260" spans="2:8">
      <c r="B260" s="557"/>
      <c r="C260" s="555"/>
      <c r="D260" s="555"/>
      <c r="E260" s="555"/>
      <c r="F260" s="555"/>
      <c r="G260" s="555"/>
      <c r="H260" s="555"/>
    </row>
    <row r="261" spans="2:8">
      <c r="B261" s="557"/>
      <c r="C261" s="555"/>
      <c r="D261" s="555"/>
      <c r="E261" s="555"/>
      <c r="F261" s="555"/>
      <c r="G261" s="555"/>
      <c r="H261" s="555"/>
    </row>
    <row r="262" spans="2:8">
      <c r="B262" s="557"/>
      <c r="C262" s="555"/>
      <c r="D262" s="555"/>
      <c r="E262" s="555"/>
      <c r="F262" s="555"/>
      <c r="G262" s="555"/>
      <c r="H262" s="555"/>
    </row>
    <row r="263" spans="2:8">
      <c r="B263" s="557"/>
      <c r="C263" s="555"/>
      <c r="D263" s="555"/>
      <c r="E263" s="555"/>
      <c r="F263" s="555"/>
      <c r="G263" s="555"/>
      <c r="H263" s="555"/>
    </row>
    <row r="264" spans="2:8">
      <c r="B264" s="557"/>
      <c r="C264" s="555"/>
      <c r="D264" s="555"/>
      <c r="E264" s="555"/>
      <c r="F264" s="555"/>
      <c r="G264" s="555"/>
      <c r="H264" s="555"/>
    </row>
    <row r="265" spans="2:8">
      <c r="B265" s="557"/>
      <c r="C265" s="555"/>
      <c r="D265" s="555"/>
      <c r="E265" s="555"/>
      <c r="F265" s="555"/>
      <c r="G265" s="555"/>
      <c r="H265" s="555"/>
    </row>
    <row r="266" spans="2:8">
      <c r="B266" s="557"/>
      <c r="C266" s="555"/>
      <c r="D266" s="555"/>
      <c r="E266" s="555"/>
      <c r="F266" s="555"/>
      <c r="G266" s="555"/>
      <c r="H266" s="555"/>
    </row>
    <row r="267" spans="2:8">
      <c r="B267" s="557"/>
      <c r="C267" s="555"/>
      <c r="D267" s="555"/>
      <c r="E267" s="555"/>
      <c r="F267" s="555"/>
      <c r="G267" s="555"/>
      <c r="H267" s="555"/>
    </row>
    <row r="268" spans="2:8">
      <c r="B268" s="557"/>
      <c r="C268" s="555"/>
      <c r="D268" s="555"/>
      <c r="E268" s="555"/>
      <c r="F268" s="555"/>
      <c r="G268" s="555"/>
      <c r="H268" s="555"/>
    </row>
    <row r="269" spans="2:8">
      <c r="B269" s="557"/>
      <c r="C269" s="555"/>
      <c r="D269" s="555"/>
      <c r="E269" s="555"/>
      <c r="F269" s="555"/>
      <c r="G269" s="555"/>
      <c r="H269" s="555"/>
    </row>
    <row r="270" spans="2:8">
      <c r="B270" s="557"/>
      <c r="C270" s="555"/>
      <c r="D270" s="555"/>
      <c r="E270" s="555"/>
      <c r="F270" s="555"/>
      <c r="G270" s="555"/>
      <c r="H270" s="555"/>
    </row>
    <row r="271" spans="2:8">
      <c r="B271" s="557"/>
      <c r="C271" s="555"/>
      <c r="D271" s="555"/>
      <c r="E271" s="555"/>
      <c r="F271" s="555"/>
      <c r="G271" s="555"/>
      <c r="H271" s="555"/>
    </row>
    <row r="272" spans="2:8">
      <c r="B272" s="557"/>
      <c r="C272" s="555"/>
      <c r="D272" s="555"/>
      <c r="E272" s="555"/>
      <c r="F272" s="555"/>
      <c r="G272" s="555"/>
      <c r="H272" s="555"/>
    </row>
    <row r="273" spans="2:8">
      <c r="B273" s="557"/>
      <c r="C273" s="555"/>
      <c r="D273" s="555"/>
      <c r="E273" s="555"/>
      <c r="F273" s="555"/>
      <c r="G273" s="555"/>
      <c r="H273" s="555"/>
    </row>
    <row r="274" spans="2:8">
      <c r="B274" s="557"/>
      <c r="C274" s="555"/>
      <c r="D274" s="555"/>
      <c r="E274" s="555"/>
      <c r="F274" s="555"/>
      <c r="G274" s="555"/>
      <c r="H274" s="555"/>
    </row>
    <row r="275" spans="2:8">
      <c r="B275" s="557"/>
      <c r="C275" s="555"/>
      <c r="D275" s="555"/>
      <c r="E275" s="555"/>
      <c r="F275" s="555"/>
      <c r="G275" s="555"/>
      <c r="H275" s="555"/>
    </row>
    <row r="276" spans="2:8">
      <c r="B276" s="557"/>
      <c r="C276" s="555"/>
      <c r="D276" s="555"/>
      <c r="E276" s="555"/>
      <c r="F276" s="555"/>
      <c r="G276" s="555"/>
      <c r="H276" s="555"/>
    </row>
    <row r="277" spans="2:8">
      <c r="B277" s="557"/>
      <c r="C277" s="555"/>
      <c r="D277" s="555"/>
      <c r="E277" s="555"/>
      <c r="F277" s="555"/>
      <c r="G277" s="555"/>
      <c r="H277" s="555"/>
    </row>
    <row r="278" spans="2:8">
      <c r="B278" s="557"/>
      <c r="C278" s="555"/>
      <c r="D278" s="555"/>
      <c r="E278" s="555"/>
      <c r="F278" s="555"/>
      <c r="G278" s="555"/>
      <c r="H278" s="555"/>
    </row>
    <row r="279" spans="2:8">
      <c r="B279" s="557"/>
      <c r="C279" s="555"/>
      <c r="D279" s="555"/>
      <c r="E279" s="555"/>
      <c r="F279" s="555"/>
      <c r="G279" s="555"/>
      <c r="H279" s="555"/>
    </row>
    <row r="280" spans="2:8">
      <c r="B280" s="557"/>
      <c r="C280" s="555"/>
      <c r="D280" s="555"/>
      <c r="E280" s="555"/>
      <c r="F280" s="555"/>
      <c r="G280" s="555"/>
      <c r="H280" s="555"/>
    </row>
    <row r="281" spans="2:8">
      <c r="B281" s="557"/>
      <c r="C281" s="555"/>
      <c r="D281" s="555"/>
      <c r="E281" s="555"/>
      <c r="F281" s="555"/>
      <c r="G281" s="555"/>
      <c r="H281" s="555"/>
    </row>
    <row r="282" spans="2:8">
      <c r="B282" s="557"/>
      <c r="C282" s="555"/>
      <c r="D282" s="555"/>
      <c r="E282" s="555"/>
      <c r="F282" s="555"/>
      <c r="G282" s="555"/>
      <c r="H282" s="555"/>
    </row>
    <row r="283" spans="2:8">
      <c r="B283" s="557"/>
      <c r="C283" s="555"/>
      <c r="D283" s="555"/>
      <c r="E283" s="555"/>
      <c r="F283" s="555"/>
      <c r="G283" s="555"/>
      <c r="H283" s="555"/>
    </row>
    <row r="284" spans="2:8">
      <c r="B284" s="557"/>
      <c r="C284" s="555"/>
      <c r="D284" s="555"/>
      <c r="E284" s="555"/>
      <c r="F284" s="555"/>
      <c r="G284" s="555"/>
      <c r="H284" s="555"/>
    </row>
    <row r="285" spans="2:8">
      <c r="B285" s="557"/>
      <c r="C285" s="555"/>
      <c r="D285" s="555"/>
      <c r="E285" s="555"/>
      <c r="F285" s="555"/>
      <c r="G285" s="555"/>
      <c r="H285" s="555"/>
    </row>
    <row r="286" spans="2:8">
      <c r="B286" s="557"/>
      <c r="C286" s="555"/>
      <c r="D286" s="555"/>
      <c r="E286" s="555"/>
      <c r="F286" s="555"/>
      <c r="G286" s="555"/>
      <c r="H286" s="555"/>
    </row>
    <row r="287" spans="2:8">
      <c r="B287" s="557"/>
      <c r="C287" s="555"/>
      <c r="D287" s="555"/>
      <c r="E287" s="555"/>
      <c r="F287" s="555"/>
      <c r="G287" s="555"/>
      <c r="H287" s="555"/>
    </row>
    <row r="288" spans="2:8">
      <c r="B288" s="557"/>
      <c r="C288" s="555"/>
      <c r="D288" s="555"/>
      <c r="E288" s="555"/>
      <c r="F288" s="555"/>
      <c r="G288" s="555"/>
      <c r="H288" s="555"/>
    </row>
    <row r="289" spans="2:8">
      <c r="B289" s="557"/>
      <c r="C289" s="555"/>
      <c r="D289" s="555"/>
      <c r="E289" s="555"/>
      <c r="F289" s="555"/>
      <c r="G289" s="555"/>
      <c r="H289" s="555"/>
    </row>
    <row r="290" spans="2:8">
      <c r="B290" s="557"/>
      <c r="C290" s="555"/>
      <c r="D290" s="555"/>
      <c r="E290" s="555"/>
      <c r="F290" s="555"/>
      <c r="G290" s="555"/>
      <c r="H290" s="555"/>
    </row>
    <row r="291" spans="2:8">
      <c r="B291" s="557"/>
      <c r="C291" s="555"/>
      <c r="D291" s="555"/>
      <c r="E291" s="555"/>
      <c r="F291" s="555"/>
      <c r="G291" s="555"/>
      <c r="H291" s="555"/>
    </row>
    <row r="292" spans="2:8">
      <c r="B292" s="557"/>
      <c r="C292" s="555"/>
      <c r="D292" s="555"/>
      <c r="E292" s="555"/>
      <c r="F292" s="555"/>
      <c r="G292" s="555"/>
      <c r="H292" s="555"/>
    </row>
    <row r="293" spans="2:8">
      <c r="B293" s="557"/>
      <c r="C293" s="555"/>
      <c r="D293" s="555"/>
      <c r="E293" s="555"/>
      <c r="F293" s="555"/>
      <c r="G293" s="555"/>
      <c r="H293" s="555"/>
    </row>
    <row r="294" spans="2:8">
      <c r="B294" s="557"/>
      <c r="C294" s="555"/>
      <c r="D294" s="555"/>
      <c r="E294" s="555"/>
      <c r="F294" s="555"/>
      <c r="G294" s="555"/>
      <c r="H294" s="555"/>
    </row>
    <row r="295" spans="2:8">
      <c r="B295" s="557"/>
      <c r="C295" s="555"/>
      <c r="D295" s="555"/>
      <c r="E295" s="555"/>
      <c r="F295" s="555"/>
      <c r="G295" s="555"/>
      <c r="H295" s="555"/>
    </row>
    <row r="296" spans="2:8">
      <c r="B296" s="557"/>
      <c r="C296" s="555"/>
      <c r="D296" s="555"/>
      <c r="E296" s="555"/>
      <c r="F296" s="555"/>
      <c r="G296" s="555"/>
      <c r="H296" s="555"/>
    </row>
    <row r="297" spans="2:8">
      <c r="B297" s="557"/>
      <c r="C297" s="555"/>
      <c r="D297" s="555"/>
      <c r="E297" s="555"/>
      <c r="F297" s="555"/>
      <c r="G297" s="555"/>
      <c r="H297" s="555"/>
    </row>
    <row r="298" spans="2:8">
      <c r="B298" s="557"/>
      <c r="C298" s="555"/>
      <c r="D298" s="555"/>
      <c r="E298" s="555"/>
      <c r="F298" s="555"/>
      <c r="G298" s="555"/>
      <c r="H298" s="555"/>
    </row>
    <row r="299" spans="2:8">
      <c r="B299" s="557"/>
      <c r="C299" s="555"/>
      <c r="D299" s="555"/>
      <c r="E299" s="555"/>
      <c r="F299" s="555"/>
      <c r="G299" s="555"/>
      <c r="H299" s="555"/>
    </row>
    <row r="300" spans="2:8">
      <c r="B300" s="557"/>
      <c r="C300" s="555"/>
      <c r="D300" s="555"/>
      <c r="E300" s="555"/>
      <c r="F300" s="555"/>
      <c r="G300" s="555"/>
      <c r="H300" s="555"/>
    </row>
    <row r="301" spans="2:8">
      <c r="B301" s="557"/>
      <c r="C301" s="555"/>
      <c r="D301" s="555"/>
      <c r="E301" s="555"/>
      <c r="F301" s="555"/>
      <c r="G301" s="555"/>
      <c r="H301" s="555"/>
    </row>
    <row r="302" spans="2:8">
      <c r="B302" s="557"/>
      <c r="C302" s="555"/>
      <c r="D302" s="555"/>
      <c r="E302" s="555"/>
      <c r="F302" s="555"/>
      <c r="G302" s="555"/>
      <c r="H302" s="555"/>
    </row>
    <row r="303" spans="2:8">
      <c r="B303" s="557"/>
      <c r="C303" s="555"/>
      <c r="D303" s="555"/>
      <c r="E303" s="555"/>
      <c r="F303" s="555"/>
      <c r="G303" s="555"/>
      <c r="H303" s="555"/>
    </row>
    <row r="304" spans="2:8">
      <c r="B304" s="557"/>
      <c r="C304" s="555"/>
      <c r="D304" s="555"/>
      <c r="E304" s="555"/>
      <c r="F304" s="555"/>
      <c r="G304" s="555"/>
      <c r="H304" s="555"/>
    </row>
    <row r="305" spans="2:8">
      <c r="B305" s="557"/>
      <c r="C305" s="555"/>
      <c r="D305" s="555"/>
      <c r="E305" s="555"/>
      <c r="F305" s="555"/>
      <c r="G305" s="555"/>
      <c r="H305" s="555"/>
    </row>
    <row r="306" spans="2:8">
      <c r="B306" s="557"/>
      <c r="C306" s="555"/>
      <c r="D306" s="555"/>
      <c r="E306" s="555"/>
      <c r="F306" s="555"/>
      <c r="G306" s="555"/>
      <c r="H306" s="555"/>
    </row>
    <row r="307" spans="2:8">
      <c r="B307" s="557"/>
      <c r="C307" s="555"/>
      <c r="D307" s="555"/>
      <c r="E307" s="555"/>
      <c r="F307" s="555"/>
      <c r="G307" s="555"/>
      <c r="H307" s="555"/>
    </row>
    <row r="308" spans="2:8">
      <c r="B308" s="557"/>
      <c r="C308" s="555"/>
      <c r="D308" s="555"/>
      <c r="E308" s="555"/>
      <c r="F308" s="555"/>
      <c r="G308" s="555"/>
      <c r="H308" s="555"/>
    </row>
    <row r="309" spans="2:8">
      <c r="B309" s="557"/>
      <c r="C309" s="555"/>
      <c r="D309" s="555"/>
      <c r="E309" s="555"/>
      <c r="F309" s="555"/>
      <c r="G309" s="555"/>
      <c r="H309" s="555"/>
    </row>
    <row r="310" spans="2:8">
      <c r="B310" s="557"/>
      <c r="C310" s="555"/>
      <c r="D310" s="555"/>
      <c r="E310" s="555"/>
      <c r="F310" s="555"/>
      <c r="G310" s="555"/>
      <c r="H310" s="555"/>
    </row>
    <row r="311" spans="2:8">
      <c r="B311" s="557"/>
      <c r="C311" s="555"/>
      <c r="D311" s="555"/>
      <c r="E311" s="555"/>
      <c r="F311" s="555"/>
      <c r="G311" s="555"/>
      <c r="H311" s="555"/>
    </row>
    <row r="312" spans="2:8">
      <c r="B312" s="557"/>
      <c r="C312" s="555"/>
      <c r="D312" s="555"/>
      <c r="E312" s="555"/>
      <c r="F312" s="555"/>
      <c r="G312" s="555"/>
      <c r="H312" s="555"/>
    </row>
    <row r="313" spans="2:8">
      <c r="B313" s="557"/>
      <c r="C313" s="555"/>
      <c r="D313" s="555"/>
      <c r="E313" s="555"/>
      <c r="F313" s="555"/>
      <c r="G313" s="555"/>
      <c r="H313" s="555"/>
    </row>
    <row r="314" spans="2:8">
      <c r="B314" s="557"/>
      <c r="C314" s="555"/>
      <c r="D314" s="555"/>
      <c r="E314" s="555"/>
      <c r="F314" s="555"/>
      <c r="G314" s="555"/>
      <c r="H314" s="555"/>
    </row>
    <row r="315" spans="2:8">
      <c r="B315" s="557"/>
      <c r="C315" s="555"/>
      <c r="D315" s="555"/>
      <c r="E315" s="555"/>
      <c r="F315" s="555"/>
      <c r="G315" s="555"/>
      <c r="H315" s="555"/>
    </row>
    <row r="316" spans="2:8">
      <c r="B316" s="557"/>
      <c r="C316" s="555"/>
      <c r="D316" s="555"/>
      <c r="E316" s="555"/>
      <c r="F316" s="555"/>
      <c r="G316" s="555"/>
      <c r="H316" s="555"/>
    </row>
    <row r="317" spans="2:8">
      <c r="B317" s="557"/>
      <c r="C317" s="555"/>
      <c r="D317" s="555"/>
      <c r="E317" s="555"/>
      <c r="F317" s="555"/>
      <c r="G317" s="555"/>
      <c r="H317" s="555"/>
    </row>
    <row r="318" spans="2:8">
      <c r="B318" s="557"/>
      <c r="C318" s="555"/>
      <c r="D318" s="555"/>
      <c r="E318" s="555"/>
      <c r="F318" s="555"/>
      <c r="G318" s="555"/>
      <c r="H318" s="555"/>
    </row>
    <row r="319" spans="2:8">
      <c r="B319" s="557"/>
      <c r="C319" s="555"/>
      <c r="D319" s="555"/>
      <c r="E319" s="555"/>
      <c r="F319" s="555"/>
      <c r="G319" s="555"/>
      <c r="H319" s="555"/>
    </row>
    <row r="320" spans="2:8">
      <c r="B320" s="557"/>
      <c r="C320" s="555"/>
      <c r="D320" s="555"/>
      <c r="E320" s="555"/>
      <c r="F320" s="555"/>
      <c r="G320" s="555"/>
      <c r="H320" s="555"/>
    </row>
    <row r="321" spans="2:8">
      <c r="B321" s="557"/>
      <c r="C321" s="555"/>
      <c r="D321" s="555"/>
      <c r="E321" s="555"/>
      <c r="F321" s="555"/>
      <c r="G321" s="555"/>
      <c r="H321" s="555"/>
    </row>
    <row r="322" spans="2:8">
      <c r="B322" s="557"/>
      <c r="C322" s="555"/>
      <c r="D322" s="555"/>
      <c r="E322" s="555"/>
      <c r="F322" s="555"/>
      <c r="G322" s="555"/>
      <c r="H322" s="555"/>
    </row>
    <row r="323" spans="2:8">
      <c r="B323" s="557"/>
      <c r="C323" s="555"/>
      <c r="D323" s="555"/>
      <c r="E323" s="555"/>
      <c r="F323" s="555"/>
      <c r="G323" s="555"/>
      <c r="H323" s="555"/>
    </row>
    <row r="324" spans="2:8">
      <c r="B324" s="557"/>
      <c r="C324" s="555"/>
      <c r="D324" s="555"/>
      <c r="E324" s="555"/>
      <c r="F324" s="555"/>
      <c r="G324" s="555"/>
      <c r="H324" s="555"/>
    </row>
    <row r="325" spans="2:8">
      <c r="B325" s="557"/>
      <c r="C325" s="555"/>
      <c r="D325" s="555"/>
      <c r="E325" s="555"/>
      <c r="F325" s="555"/>
      <c r="G325" s="555"/>
      <c r="H325" s="555"/>
    </row>
    <row r="326" spans="2:8">
      <c r="B326" s="557"/>
      <c r="C326" s="555"/>
      <c r="D326" s="555"/>
      <c r="E326" s="555"/>
      <c r="F326" s="555"/>
      <c r="G326" s="555"/>
      <c r="H326" s="555"/>
    </row>
    <row r="327" spans="2:8">
      <c r="B327" s="557"/>
      <c r="C327" s="555"/>
      <c r="D327" s="555"/>
      <c r="E327" s="555"/>
      <c r="F327" s="555"/>
      <c r="G327" s="555"/>
      <c r="H327" s="555"/>
    </row>
    <row r="328" spans="2:8">
      <c r="B328" s="557"/>
      <c r="C328" s="555"/>
      <c r="D328" s="555"/>
      <c r="E328" s="555"/>
      <c r="F328" s="555"/>
      <c r="G328" s="555"/>
      <c r="H328" s="555"/>
    </row>
    <row r="329" spans="2:8">
      <c r="B329" s="557"/>
      <c r="C329" s="555"/>
      <c r="D329" s="555"/>
      <c r="E329" s="555"/>
      <c r="F329" s="555"/>
      <c r="G329" s="555"/>
      <c r="H329" s="555"/>
    </row>
    <row r="330" spans="2:8">
      <c r="B330" s="557"/>
      <c r="C330" s="555"/>
      <c r="D330" s="555"/>
      <c r="E330" s="555"/>
      <c r="F330" s="555"/>
      <c r="G330" s="555"/>
      <c r="H330" s="555"/>
    </row>
    <row r="331" spans="2:8">
      <c r="B331" s="557"/>
      <c r="C331" s="555"/>
      <c r="D331" s="555"/>
      <c r="E331" s="555"/>
      <c r="F331" s="555"/>
      <c r="G331" s="555"/>
      <c r="H331" s="555"/>
    </row>
    <row r="332" spans="2:8">
      <c r="B332" s="557"/>
      <c r="C332" s="555"/>
      <c r="D332" s="555"/>
      <c r="E332" s="555"/>
      <c r="F332" s="555"/>
      <c r="G332" s="555"/>
      <c r="H332" s="555"/>
    </row>
    <row r="333" spans="2:8">
      <c r="B333" s="557"/>
      <c r="C333" s="555"/>
      <c r="D333" s="555"/>
      <c r="E333" s="555"/>
      <c r="F333" s="555"/>
      <c r="G333" s="555"/>
      <c r="H333" s="555"/>
    </row>
    <row r="334" spans="2:8">
      <c r="B334" s="557"/>
      <c r="C334" s="555"/>
      <c r="D334" s="555"/>
      <c r="E334" s="555"/>
      <c r="F334" s="555"/>
      <c r="G334" s="555"/>
      <c r="H334" s="555"/>
    </row>
    <row r="335" spans="2:8">
      <c r="B335" s="557"/>
      <c r="C335" s="555"/>
      <c r="D335" s="555"/>
      <c r="E335" s="555"/>
      <c r="F335" s="555"/>
      <c r="G335" s="555"/>
      <c r="H335" s="555"/>
    </row>
    <row r="336" spans="2:8">
      <c r="B336" s="557"/>
      <c r="C336" s="555"/>
      <c r="D336" s="555"/>
      <c r="E336" s="555"/>
      <c r="F336" s="555"/>
      <c r="G336" s="555"/>
      <c r="H336" s="555"/>
    </row>
    <row r="337" spans="2:8">
      <c r="B337" s="557"/>
      <c r="C337" s="555"/>
      <c r="D337" s="555"/>
      <c r="E337" s="555"/>
      <c r="F337" s="555"/>
      <c r="G337" s="555"/>
      <c r="H337" s="555"/>
    </row>
    <row r="338" spans="2:8">
      <c r="B338" s="557"/>
      <c r="C338" s="555"/>
      <c r="D338" s="555"/>
      <c r="E338" s="555"/>
      <c r="F338" s="555"/>
      <c r="G338" s="555"/>
      <c r="H338" s="555"/>
    </row>
    <row r="339" spans="2:8">
      <c r="B339" s="557"/>
      <c r="C339" s="555"/>
      <c r="D339" s="555"/>
      <c r="E339" s="555"/>
      <c r="F339" s="555"/>
      <c r="G339" s="555"/>
      <c r="H339" s="555"/>
    </row>
    <row r="340" spans="2:8">
      <c r="B340" s="557"/>
      <c r="C340" s="555"/>
      <c r="D340" s="555"/>
      <c r="E340" s="555"/>
      <c r="F340" s="555"/>
      <c r="G340" s="555"/>
      <c r="H340" s="555"/>
    </row>
    <row r="341" spans="2:8">
      <c r="B341" s="557"/>
      <c r="C341" s="555"/>
      <c r="D341" s="555"/>
      <c r="E341" s="555"/>
      <c r="F341" s="555"/>
      <c r="G341" s="555"/>
      <c r="H341" s="555"/>
    </row>
    <row r="342" spans="2:8">
      <c r="B342" s="557"/>
      <c r="C342" s="555"/>
      <c r="D342" s="555"/>
      <c r="E342" s="555"/>
      <c r="F342" s="555"/>
      <c r="G342" s="555"/>
      <c r="H342" s="555"/>
    </row>
    <row r="343" spans="2:8">
      <c r="B343" s="557"/>
      <c r="C343" s="555"/>
      <c r="D343" s="555"/>
      <c r="E343" s="555"/>
      <c r="F343" s="555"/>
      <c r="G343" s="555"/>
      <c r="H343" s="555"/>
    </row>
    <row r="344" spans="2:8">
      <c r="B344" s="557"/>
      <c r="C344" s="555"/>
      <c r="D344" s="555"/>
      <c r="E344" s="555"/>
      <c r="F344" s="555"/>
      <c r="G344" s="555"/>
      <c r="H344" s="555"/>
    </row>
    <row r="345" spans="2:8">
      <c r="B345" s="557"/>
      <c r="C345" s="555"/>
      <c r="D345" s="555"/>
      <c r="E345" s="555"/>
      <c r="F345" s="555"/>
      <c r="G345" s="555"/>
      <c r="H345" s="555"/>
    </row>
    <row r="346" spans="2:8">
      <c r="B346" s="557"/>
      <c r="C346" s="555"/>
      <c r="D346" s="555"/>
      <c r="E346" s="555"/>
      <c r="F346" s="555"/>
      <c r="G346" s="555"/>
      <c r="H346" s="555"/>
    </row>
    <row r="347" spans="2:8">
      <c r="B347" s="557"/>
      <c r="C347" s="555"/>
      <c r="D347" s="555"/>
      <c r="E347" s="555"/>
      <c r="F347" s="555"/>
      <c r="G347" s="555"/>
      <c r="H347" s="555"/>
    </row>
    <row r="348" spans="2:8">
      <c r="B348" s="557"/>
      <c r="C348" s="555"/>
      <c r="D348" s="555"/>
      <c r="E348" s="555"/>
      <c r="F348" s="555"/>
      <c r="G348" s="555"/>
      <c r="H348" s="555"/>
    </row>
    <row r="349" spans="2:8">
      <c r="B349" s="557"/>
      <c r="C349" s="555"/>
      <c r="D349" s="555"/>
      <c r="E349" s="555"/>
      <c r="F349" s="555"/>
      <c r="G349" s="555"/>
      <c r="H349" s="555"/>
    </row>
    <row r="350" spans="2:8">
      <c r="B350" s="557"/>
      <c r="C350" s="555"/>
      <c r="D350" s="555"/>
      <c r="E350" s="555"/>
      <c r="F350" s="555"/>
      <c r="G350" s="555"/>
      <c r="H350" s="555"/>
    </row>
    <row r="351" spans="2:8">
      <c r="B351" s="557"/>
      <c r="C351" s="555"/>
      <c r="D351" s="555"/>
      <c r="E351" s="555"/>
      <c r="F351" s="555"/>
      <c r="G351" s="555"/>
      <c r="H351" s="555"/>
    </row>
    <row r="352" spans="2:8">
      <c r="B352" s="557"/>
      <c r="C352" s="555"/>
      <c r="D352" s="555"/>
      <c r="E352" s="555"/>
      <c r="F352" s="555"/>
      <c r="G352" s="555"/>
      <c r="H352" s="555"/>
    </row>
    <row r="353" spans="2:8">
      <c r="B353" s="557"/>
      <c r="C353" s="555"/>
      <c r="D353" s="555"/>
      <c r="E353" s="555"/>
      <c r="F353" s="555"/>
      <c r="G353" s="555"/>
      <c r="H353" s="555"/>
    </row>
    <row r="354" spans="2:8">
      <c r="B354" s="557"/>
      <c r="C354" s="555"/>
      <c r="D354" s="555"/>
      <c r="E354" s="555"/>
      <c r="F354" s="555"/>
      <c r="G354" s="555"/>
      <c r="H354" s="555"/>
    </row>
    <row r="355" spans="2:8">
      <c r="B355" s="557"/>
      <c r="C355" s="555"/>
      <c r="D355" s="555"/>
      <c r="E355" s="555"/>
      <c r="F355" s="555"/>
      <c r="G355" s="555"/>
      <c r="H355" s="555"/>
    </row>
    <row r="356" spans="2:8">
      <c r="B356" s="557"/>
      <c r="C356" s="555"/>
      <c r="D356" s="555"/>
      <c r="E356" s="555"/>
      <c r="F356" s="555"/>
      <c r="G356" s="555"/>
      <c r="H356" s="555"/>
    </row>
    <row r="357" spans="2:8">
      <c r="B357" s="557"/>
      <c r="C357" s="555"/>
      <c r="D357" s="555"/>
      <c r="E357" s="555"/>
      <c r="F357" s="555"/>
      <c r="G357" s="555"/>
      <c r="H357" s="555"/>
    </row>
    <row r="358" spans="2:8">
      <c r="B358" s="557"/>
      <c r="C358" s="555"/>
      <c r="D358" s="555"/>
      <c r="E358" s="555"/>
      <c r="F358" s="555"/>
      <c r="G358" s="555"/>
      <c r="H358" s="555"/>
    </row>
    <row r="359" spans="2:8">
      <c r="B359" s="557"/>
      <c r="C359" s="555"/>
      <c r="D359" s="555"/>
      <c r="E359" s="555"/>
      <c r="F359" s="555"/>
      <c r="G359" s="555"/>
      <c r="H359" s="555"/>
    </row>
    <row r="360" spans="2:8">
      <c r="B360" s="557"/>
      <c r="C360" s="555"/>
      <c r="D360" s="555"/>
      <c r="E360" s="555"/>
      <c r="F360" s="555"/>
      <c r="G360" s="555"/>
      <c r="H360" s="555"/>
    </row>
    <row r="361" spans="2:8">
      <c r="B361" s="557"/>
      <c r="C361" s="555"/>
      <c r="D361" s="555"/>
      <c r="E361" s="555"/>
      <c r="F361" s="555"/>
      <c r="G361" s="555"/>
      <c r="H361" s="555"/>
    </row>
    <row r="362" spans="2:8">
      <c r="B362" s="557"/>
      <c r="C362" s="555"/>
      <c r="D362" s="555"/>
      <c r="E362" s="555"/>
      <c r="F362" s="555"/>
      <c r="G362" s="555"/>
      <c r="H362" s="555"/>
    </row>
    <row r="363" spans="2:8">
      <c r="B363" s="557"/>
      <c r="C363" s="555"/>
      <c r="D363" s="555"/>
      <c r="E363" s="555"/>
      <c r="F363" s="555"/>
      <c r="G363" s="555"/>
      <c r="H363" s="555"/>
    </row>
    <row r="364" spans="2:8">
      <c r="B364" s="557"/>
      <c r="C364" s="555"/>
      <c r="D364" s="555"/>
      <c r="E364" s="555"/>
      <c r="F364" s="555"/>
      <c r="G364" s="555"/>
      <c r="H364" s="555"/>
    </row>
    <row r="365" spans="2:8">
      <c r="B365" s="557"/>
      <c r="C365" s="555"/>
      <c r="D365" s="555"/>
      <c r="E365" s="555"/>
      <c r="F365" s="555"/>
      <c r="G365" s="555"/>
      <c r="H365" s="555"/>
    </row>
    <row r="366" spans="2:8">
      <c r="B366" s="557"/>
      <c r="C366" s="555"/>
      <c r="D366" s="555"/>
      <c r="E366" s="555"/>
      <c r="F366" s="555"/>
      <c r="G366" s="555"/>
      <c r="H366" s="555"/>
    </row>
    <row r="367" spans="2:8">
      <c r="B367" s="557"/>
      <c r="C367" s="555"/>
      <c r="D367" s="555"/>
      <c r="E367" s="555"/>
      <c r="F367" s="555"/>
      <c r="G367" s="555"/>
      <c r="H367" s="555"/>
    </row>
    <row r="368" spans="2:8">
      <c r="B368" s="557"/>
      <c r="C368" s="555"/>
      <c r="D368" s="555"/>
      <c r="E368" s="555"/>
      <c r="F368" s="555"/>
      <c r="G368" s="555"/>
      <c r="H368" s="555"/>
    </row>
    <row r="369" spans="2:8">
      <c r="B369" s="557"/>
      <c r="C369" s="555"/>
      <c r="D369" s="555"/>
      <c r="E369" s="555"/>
      <c r="F369" s="555"/>
      <c r="G369" s="555"/>
      <c r="H369" s="555"/>
    </row>
    <row r="370" spans="2:8">
      <c r="B370" s="557"/>
      <c r="C370" s="555"/>
      <c r="D370" s="555"/>
      <c r="E370" s="555"/>
      <c r="F370" s="555"/>
      <c r="G370" s="555"/>
      <c r="H370" s="555"/>
    </row>
    <row r="371" spans="2:8">
      <c r="B371" s="557"/>
      <c r="C371" s="555"/>
      <c r="D371" s="555"/>
      <c r="E371" s="555"/>
      <c r="F371" s="555"/>
      <c r="G371" s="555"/>
      <c r="H371" s="555"/>
    </row>
    <row r="372" spans="2:8">
      <c r="B372" s="557"/>
      <c r="C372" s="555"/>
      <c r="D372" s="555"/>
      <c r="E372" s="555"/>
      <c r="F372" s="555"/>
      <c r="G372" s="555"/>
      <c r="H372" s="555"/>
    </row>
    <row r="373" spans="2:8">
      <c r="B373" s="557"/>
      <c r="C373" s="555"/>
      <c r="D373" s="555"/>
      <c r="E373" s="555"/>
      <c r="F373" s="555"/>
      <c r="G373" s="555"/>
      <c r="H373" s="555"/>
    </row>
    <row r="374" spans="2:8">
      <c r="B374" s="557"/>
      <c r="C374" s="555"/>
      <c r="D374" s="555"/>
      <c r="E374" s="555"/>
      <c r="F374" s="555"/>
      <c r="G374" s="555"/>
      <c r="H374" s="555"/>
    </row>
    <row r="375" spans="2:8">
      <c r="B375" s="557"/>
      <c r="C375" s="555"/>
      <c r="D375" s="555"/>
      <c r="E375" s="555"/>
      <c r="F375" s="555"/>
      <c r="G375" s="555"/>
      <c r="H375" s="555"/>
    </row>
    <row r="376" spans="2:8">
      <c r="B376" s="557"/>
      <c r="C376" s="555"/>
      <c r="D376" s="555"/>
      <c r="E376" s="555"/>
      <c r="F376" s="555"/>
      <c r="G376" s="555"/>
      <c r="H376" s="555"/>
    </row>
    <row r="377" spans="2:8">
      <c r="B377" s="557"/>
      <c r="C377" s="555"/>
      <c r="D377" s="555"/>
      <c r="E377" s="555"/>
      <c r="F377" s="555"/>
      <c r="G377" s="555"/>
      <c r="H377" s="555"/>
    </row>
    <row r="378" spans="2:8">
      <c r="B378" s="557"/>
      <c r="C378" s="555"/>
      <c r="D378" s="555"/>
      <c r="E378" s="555"/>
      <c r="F378" s="555"/>
      <c r="G378" s="555"/>
      <c r="H378" s="555"/>
    </row>
    <row r="379" spans="2:8">
      <c r="B379" s="557"/>
      <c r="C379" s="555"/>
      <c r="D379" s="555"/>
      <c r="E379" s="555"/>
      <c r="F379" s="555"/>
      <c r="G379" s="555"/>
      <c r="H379" s="555"/>
    </row>
    <row r="380" spans="2:8">
      <c r="B380" s="557"/>
      <c r="C380" s="555"/>
      <c r="D380" s="555"/>
      <c r="E380" s="555"/>
      <c r="F380" s="555"/>
      <c r="G380" s="555"/>
      <c r="H380" s="555"/>
    </row>
    <row r="381" spans="2:8">
      <c r="B381" s="557"/>
      <c r="C381" s="555"/>
      <c r="D381" s="555"/>
      <c r="E381" s="555"/>
      <c r="F381" s="555"/>
      <c r="G381" s="555"/>
      <c r="H381" s="555"/>
    </row>
    <row r="382" spans="2:8">
      <c r="B382" s="557"/>
      <c r="C382" s="555"/>
      <c r="D382" s="555"/>
      <c r="E382" s="555"/>
      <c r="F382" s="555"/>
      <c r="G382" s="555"/>
      <c r="H382" s="555"/>
    </row>
    <row r="383" spans="2:8">
      <c r="B383" s="557"/>
      <c r="C383" s="555"/>
      <c r="D383" s="555"/>
      <c r="E383" s="555"/>
      <c r="F383" s="555"/>
      <c r="G383" s="555"/>
      <c r="H383" s="555"/>
    </row>
    <row r="384" spans="2:8">
      <c r="B384" s="557"/>
      <c r="C384" s="555"/>
      <c r="D384" s="555"/>
      <c r="E384" s="555"/>
      <c r="F384" s="555"/>
      <c r="G384" s="555"/>
      <c r="H384" s="555"/>
    </row>
    <row r="385" spans="2:8">
      <c r="B385" s="557"/>
      <c r="C385" s="555"/>
      <c r="D385" s="555"/>
      <c r="E385" s="555"/>
      <c r="F385" s="555"/>
      <c r="G385" s="555"/>
      <c r="H385" s="555"/>
    </row>
    <row r="386" spans="2:8">
      <c r="B386" s="557"/>
      <c r="C386" s="555"/>
      <c r="D386" s="555"/>
      <c r="E386" s="555"/>
      <c r="F386" s="555"/>
      <c r="G386" s="555"/>
      <c r="H386" s="555"/>
    </row>
    <row r="387" spans="2:8">
      <c r="B387" s="557"/>
      <c r="C387" s="555"/>
      <c r="D387" s="555"/>
      <c r="E387" s="555"/>
      <c r="F387" s="555"/>
      <c r="G387" s="555"/>
      <c r="H387" s="555"/>
    </row>
    <row r="388" spans="2:8">
      <c r="B388" s="557"/>
      <c r="C388" s="555"/>
      <c r="D388" s="555"/>
      <c r="E388" s="555"/>
      <c r="F388" s="555"/>
      <c r="G388" s="555"/>
      <c r="H388" s="555"/>
    </row>
    <row r="389" spans="2:8">
      <c r="B389" s="557"/>
      <c r="C389" s="555"/>
      <c r="D389" s="555"/>
      <c r="E389" s="555"/>
      <c r="F389" s="555"/>
      <c r="G389" s="555"/>
      <c r="H389" s="555"/>
    </row>
    <row r="390" spans="2:8">
      <c r="B390" s="557"/>
      <c r="C390" s="555"/>
      <c r="D390" s="555"/>
      <c r="E390" s="555"/>
      <c r="F390" s="555"/>
      <c r="G390" s="555"/>
      <c r="H390" s="555"/>
    </row>
    <row r="391" spans="2:8">
      <c r="B391" s="557"/>
      <c r="C391" s="555"/>
      <c r="D391" s="555"/>
      <c r="E391" s="555"/>
      <c r="F391" s="555"/>
      <c r="G391" s="555"/>
      <c r="H391" s="555"/>
    </row>
    <row r="392" spans="2:8">
      <c r="B392" s="557"/>
      <c r="C392" s="555"/>
      <c r="D392" s="555"/>
      <c r="E392" s="555"/>
      <c r="F392" s="555"/>
      <c r="G392" s="555"/>
      <c r="H392" s="555"/>
    </row>
    <row r="393" spans="2:8">
      <c r="B393" s="557"/>
      <c r="C393" s="555"/>
      <c r="D393" s="555"/>
      <c r="E393" s="555"/>
      <c r="F393" s="555"/>
      <c r="G393" s="555"/>
      <c r="H393" s="555"/>
    </row>
    <row r="394" spans="2:8">
      <c r="B394" s="557"/>
      <c r="C394" s="555"/>
      <c r="D394" s="555"/>
      <c r="E394" s="555"/>
      <c r="F394" s="555"/>
      <c r="G394" s="555"/>
      <c r="H394" s="555"/>
    </row>
    <row r="395" spans="2:8">
      <c r="B395" s="557"/>
      <c r="C395" s="555"/>
      <c r="D395" s="555"/>
      <c r="E395" s="555"/>
      <c r="F395" s="555"/>
      <c r="G395" s="555"/>
      <c r="H395" s="555"/>
    </row>
    <row r="396" spans="2:8">
      <c r="B396" s="557"/>
      <c r="C396" s="555"/>
      <c r="D396" s="555"/>
      <c r="E396" s="555"/>
      <c r="F396" s="555"/>
      <c r="G396" s="555"/>
      <c r="H396" s="555"/>
    </row>
    <row r="397" spans="2:8">
      <c r="B397" s="557"/>
      <c r="C397" s="555"/>
      <c r="D397" s="555"/>
      <c r="E397" s="555"/>
      <c r="F397" s="555"/>
      <c r="G397" s="555"/>
      <c r="H397" s="555"/>
    </row>
    <row r="398" spans="2:8">
      <c r="B398" s="557"/>
      <c r="C398" s="555"/>
      <c r="D398" s="555"/>
      <c r="E398" s="555"/>
      <c r="F398" s="555"/>
      <c r="G398" s="555"/>
      <c r="H398" s="555"/>
    </row>
    <row r="399" spans="2:8">
      <c r="B399" s="557"/>
      <c r="C399" s="555"/>
      <c r="D399" s="555"/>
      <c r="E399" s="555"/>
      <c r="F399" s="555"/>
      <c r="G399" s="555"/>
      <c r="H399" s="555"/>
    </row>
    <row r="400" spans="2:8">
      <c r="B400" s="557"/>
      <c r="C400" s="555"/>
      <c r="D400" s="555"/>
      <c r="E400" s="555"/>
      <c r="F400" s="555"/>
      <c r="G400" s="555"/>
      <c r="H400" s="555"/>
    </row>
    <row r="401" spans="2:8">
      <c r="B401" s="557"/>
      <c r="C401" s="555"/>
      <c r="D401" s="555"/>
      <c r="E401" s="555"/>
      <c r="F401" s="555"/>
      <c r="G401" s="555"/>
      <c r="H401" s="555"/>
    </row>
    <row r="402" spans="2:8">
      <c r="B402" s="557"/>
      <c r="C402" s="555"/>
      <c r="D402" s="555"/>
      <c r="E402" s="555"/>
      <c r="F402" s="555"/>
      <c r="G402" s="555"/>
      <c r="H402" s="555"/>
    </row>
    <row r="403" spans="2:8">
      <c r="B403" s="557"/>
      <c r="C403" s="555"/>
      <c r="D403" s="555"/>
      <c r="E403" s="555"/>
      <c r="F403" s="555"/>
      <c r="G403" s="555"/>
      <c r="H403" s="555"/>
    </row>
    <row r="404" spans="2:8">
      <c r="B404" s="557"/>
      <c r="C404" s="555"/>
      <c r="D404" s="555"/>
      <c r="E404" s="555"/>
      <c r="F404" s="555"/>
      <c r="G404" s="555"/>
      <c r="H404" s="555"/>
    </row>
    <row r="405" spans="2:8">
      <c r="B405" s="557"/>
      <c r="C405" s="555"/>
      <c r="D405" s="555"/>
      <c r="E405" s="555"/>
      <c r="F405" s="555"/>
      <c r="G405" s="555"/>
      <c r="H405" s="555"/>
    </row>
    <row r="406" spans="2:8">
      <c r="B406" s="557"/>
      <c r="C406" s="555"/>
      <c r="D406" s="555"/>
      <c r="E406" s="555"/>
      <c r="F406" s="555"/>
      <c r="G406" s="555"/>
      <c r="H406" s="555"/>
    </row>
    <row r="407" spans="2:8">
      <c r="B407" s="557"/>
      <c r="C407" s="555"/>
      <c r="D407" s="555"/>
      <c r="E407" s="555"/>
      <c r="F407" s="555"/>
      <c r="G407" s="555"/>
      <c r="H407" s="555"/>
    </row>
    <row r="408" spans="2:8">
      <c r="B408" s="557"/>
      <c r="C408" s="555"/>
      <c r="D408" s="555"/>
      <c r="E408" s="555"/>
      <c r="F408" s="555"/>
      <c r="G408" s="555"/>
      <c r="H408" s="555"/>
    </row>
    <row r="409" spans="2:8">
      <c r="B409" s="557"/>
      <c r="C409" s="555"/>
      <c r="D409" s="555"/>
      <c r="E409" s="555"/>
      <c r="F409" s="555"/>
      <c r="G409" s="555"/>
      <c r="H409" s="555"/>
    </row>
    <row r="410" spans="2:8">
      <c r="B410" s="557"/>
      <c r="C410" s="555"/>
      <c r="D410" s="555"/>
      <c r="E410" s="555"/>
      <c r="F410" s="555"/>
      <c r="G410" s="555"/>
      <c r="H410" s="555"/>
    </row>
    <row r="411" spans="2:8">
      <c r="B411" s="557"/>
      <c r="C411" s="555"/>
      <c r="D411" s="555"/>
      <c r="E411" s="555"/>
      <c r="F411" s="555"/>
      <c r="G411" s="555"/>
      <c r="H411" s="555"/>
    </row>
    <row r="412" spans="2:8">
      <c r="B412" s="557"/>
      <c r="C412" s="555"/>
      <c r="D412" s="555"/>
      <c r="E412" s="555"/>
      <c r="F412" s="555"/>
      <c r="G412" s="555"/>
      <c r="H412" s="555"/>
    </row>
    <row r="413" spans="2:8">
      <c r="B413" s="557"/>
      <c r="C413" s="555"/>
      <c r="D413" s="555"/>
      <c r="E413" s="555"/>
      <c r="F413" s="555"/>
      <c r="G413" s="555"/>
      <c r="H413" s="555"/>
    </row>
    <row r="414" spans="2:8">
      <c r="B414" s="557"/>
      <c r="C414" s="555"/>
      <c r="D414" s="555"/>
      <c r="E414" s="555"/>
      <c r="F414" s="555"/>
      <c r="G414" s="555"/>
      <c r="H414" s="555"/>
    </row>
    <row r="415" spans="2:8">
      <c r="B415" s="557"/>
      <c r="C415" s="555"/>
      <c r="D415" s="555"/>
      <c r="E415" s="555"/>
      <c r="F415" s="555"/>
      <c r="G415" s="555"/>
      <c r="H415" s="555"/>
    </row>
    <row r="416" spans="2:8">
      <c r="B416" s="557"/>
      <c r="C416" s="555"/>
      <c r="D416" s="555"/>
      <c r="E416" s="555"/>
      <c r="F416" s="555"/>
      <c r="G416" s="555"/>
      <c r="H416" s="555"/>
    </row>
    <row r="417" spans="2:8">
      <c r="B417" s="557"/>
      <c r="C417" s="555"/>
      <c r="D417" s="555"/>
      <c r="E417" s="555"/>
      <c r="F417" s="555"/>
      <c r="G417" s="555"/>
      <c r="H417" s="555"/>
    </row>
    <row r="418" spans="2:8">
      <c r="B418" s="557"/>
      <c r="C418" s="555"/>
      <c r="D418" s="555"/>
      <c r="E418" s="555"/>
      <c r="F418" s="555"/>
      <c r="G418" s="555"/>
      <c r="H418" s="555"/>
    </row>
    <row r="419" spans="2:8">
      <c r="B419" s="557"/>
      <c r="C419" s="555"/>
      <c r="D419" s="555"/>
      <c r="E419" s="555"/>
      <c r="F419" s="555"/>
      <c r="G419" s="555"/>
      <c r="H419" s="555"/>
    </row>
    <row r="420" spans="2:8">
      <c r="B420" s="557"/>
      <c r="C420" s="555"/>
      <c r="D420" s="555"/>
      <c r="E420" s="555"/>
      <c r="F420" s="555"/>
      <c r="G420" s="555"/>
      <c r="H420" s="555"/>
    </row>
    <row r="421" spans="2:8">
      <c r="B421" s="557"/>
      <c r="C421" s="555"/>
      <c r="D421" s="555"/>
      <c r="E421" s="555"/>
      <c r="F421" s="555"/>
      <c r="G421" s="555"/>
      <c r="H421" s="555"/>
    </row>
    <row r="422" spans="2:8">
      <c r="B422" s="557"/>
      <c r="C422" s="555"/>
      <c r="D422" s="555"/>
      <c r="E422" s="555"/>
      <c r="F422" s="555"/>
      <c r="G422" s="555"/>
      <c r="H422" s="555"/>
    </row>
    <row r="423" spans="2:8">
      <c r="B423" s="557"/>
      <c r="C423" s="555"/>
      <c r="D423" s="555"/>
      <c r="E423" s="555"/>
      <c r="F423" s="555"/>
      <c r="G423" s="555"/>
      <c r="H423" s="555"/>
    </row>
    <row r="424" spans="2:8">
      <c r="B424" s="557"/>
      <c r="C424" s="555"/>
      <c r="D424" s="555"/>
      <c r="E424" s="555"/>
      <c r="F424" s="555"/>
      <c r="G424" s="555"/>
      <c r="H424" s="555"/>
    </row>
    <row r="425" spans="2:8">
      <c r="B425" s="557"/>
      <c r="C425" s="555"/>
      <c r="D425" s="555"/>
      <c r="E425" s="555"/>
      <c r="F425" s="555"/>
      <c r="G425" s="555"/>
      <c r="H425" s="555"/>
    </row>
    <row r="426" spans="2:8">
      <c r="B426" s="557"/>
      <c r="C426" s="555"/>
      <c r="D426" s="555"/>
      <c r="E426" s="555"/>
      <c r="F426" s="555"/>
      <c r="G426" s="555"/>
      <c r="H426" s="555"/>
    </row>
    <row r="427" spans="2:8">
      <c r="B427" s="557"/>
      <c r="C427" s="555"/>
      <c r="D427" s="555"/>
      <c r="E427" s="555"/>
      <c r="F427" s="555"/>
      <c r="G427" s="555"/>
      <c r="H427" s="555"/>
    </row>
    <row r="428" spans="2:8">
      <c r="B428" s="557"/>
      <c r="C428" s="555"/>
      <c r="D428" s="555"/>
      <c r="E428" s="555"/>
      <c r="F428" s="555"/>
      <c r="G428" s="555"/>
      <c r="H428" s="555"/>
    </row>
    <row r="429" spans="2:8">
      <c r="B429" s="557"/>
      <c r="C429" s="555"/>
      <c r="D429" s="555"/>
      <c r="E429" s="555"/>
      <c r="F429" s="555"/>
      <c r="G429" s="555"/>
      <c r="H429" s="555"/>
    </row>
    <row r="430" spans="2:8">
      <c r="B430" s="557"/>
      <c r="C430" s="555"/>
      <c r="D430" s="555"/>
      <c r="E430" s="555"/>
      <c r="F430" s="555"/>
      <c r="G430" s="555"/>
      <c r="H430" s="555"/>
    </row>
    <row r="431" spans="2:8">
      <c r="B431" s="557"/>
      <c r="C431" s="555"/>
      <c r="D431" s="555"/>
      <c r="E431" s="555"/>
      <c r="F431" s="555"/>
      <c r="G431" s="555"/>
      <c r="H431" s="555"/>
    </row>
    <row r="432" spans="2:8">
      <c r="B432" s="557"/>
      <c r="C432" s="555"/>
      <c r="D432" s="555"/>
      <c r="E432" s="555"/>
      <c r="F432" s="555"/>
      <c r="G432" s="555"/>
      <c r="H432" s="555"/>
    </row>
    <row r="433" spans="2:8">
      <c r="B433" s="557"/>
      <c r="C433" s="555"/>
      <c r="D433" s="555"/>
      <c r="E433" s="555"/>
      <c r="F433" s="555"/>
      <c r="G433" s="555"/>
      <c r="H433" s="555"/>
    </row>
    <row r="434" spans="2:8">
      <c r="B434" s="557"/>
      <c r="C434" s="555"/>
      <c r="D434" s="555"/>
      <c r="E434" s="555"/>
      <c r="F434" s="555"/>
      <c r="G434" s="555"/>
      <c r="H434" s="555"/>
    </row>
    <row r="435" spans="2:8">
      <c r="B435" s="557"/>
      <c r="C435" s="555"/>
      <c r="D435" s="555"/>
      <c r="E435" s="555"/>
      <c r="F435" s="555"/>
      <c r="G435" s="555"/>
      <c r="H435" s="555"/>
    </row>
    <row r="436" spans="2:8">
      <c r="B436" s="557"/>
      <c r="C436" s="555"/>
      <c r="D436" s="555"/>
      <c r="E436" s="555"/>
      <c r="F436" s="555"/>
      <c r="G436" s="555"/>
      <c r="H436" s="555"/>
    </row>
    <row r="437" spans="2:8">
      <c r="B437" s="557"/>
      <c r="C437" s="555"/>
      <c r="D437" s="555"/>
      <c r="E437" s="555"/>
      <c r="F437" s="555"/>
      <c r="G437" s="555"/>
      <c r="H437" s="555"/>
    </row>
    <row r="438" spans="2:8">
      <c r="B438" s="557"/>
      <c r="C438" s="555"/>
      <c r="D438" s="555"/>
      <c r="E438" s="555"/>
      <c r="F438" s="555"/>
      <c r="G438" s="555"/>
      <c r="H438" s="555"/>
    </row>
    <row r="439" spans="2:8">
      <c r="B439" s="557"/>
      <c r="C439" s="555"/>
      <c r="D439" s="555"/>
      <c r="E439" s="555"/>
      <c r="F439" s="555"/>
      <c r="G439" s="555"/>
      <c r="H439" s="555"/>
    </row>
    <row r="440" spans="2:8">
      <c r="B440" s="557"/>
      <c r="C440" s="555"/>
      <c r="D440" s="555"/>
      <c r="E440" s="555"/>
      <c r="F440" s="555"/>
      <c r="G440" s="555"/>
      <c r="H440" s="555"/>
    </row>
    <row r="441" spans="2:8">
      <c r="B441" s="557"/>
      <c r="C441" s="555"/>
      <c r="D441" s="555"/>
      <c r="E441" s="555"/>
      <c r="F441" s="555"/>
      <c r="G441" s="555"/>
      <c r="H441" s="555"/>
    </row>
    <row r="442" spans="2:8">
      <c r="B442" s="557"/>
      <c r="C442" s="555"/>
      <c r="D442" s="555"/>
      <c r="E442" s="555"/>
      <c r="F442" s="555"/>
      <c r="G442" s="555"/>
      <c r="H442" s="555"/>
    </row>
    <row r="443" spans="2:8">
      <c r="B443" s="557"/>
      <c r="C443" s="555"/>
      <c r="D443" s="555"/>
      <c r="E443" s="555"/>
      <c r="F443" s="555"/>
      <c r="G443" s="555"/>
      <c r="H443" s="555"/>
    </row>
    <row r="444" spans="2:8">
      <c r="B444" s="557"/>
      <c r="C444" s="555"/>
      <c r="D444" s="555"/>
      <c r="E444" s="555"/>
      <c r="F444" s="555"/>
      <c r="G444" s="555"/>
      <c r="H444" s="555"/>
    </row>
    <row r="445" spans="2:8">
      <c r="B445" s="557"/>
      <c r="C445" s="555"/>
      <c r="D445" s="555"/>
      <c r="E445" s="555"/>
      <c r="F445" s="555"/>
      <c r="G445" s="555"/>
      <c r="H445" s="555"/>
    </row>
    <row r="446" spans="2:8">
      <c r="B446" s="557"/>
      <c r="C446" s="555"/>
      <c r="D446" s="555"/>
      <c r="E446" s="555"/>
      <c r="F446" s="555"/>
      <c r="G446" s="555"/>
      <c r="H446" s="555"/>
    </row>
    <row r="447" spans="2:8">
      <c r="B447" s="557"/>
      <c r="C447" s="555"/>
      <c r="D447" s="555"/>
      <c r="E447" s="555"/>
      <c r="F447" s="555"/>
      <c r="G447" s="555"/>
      <c r="H447" s="555"/>
    </row>
    <row r="448" spans="2:8">
      <c r="B448" s="557"/>
      <c r="C448" s="555"/>
      <c r="D448" s="555"/>
      <c r="E448" s="555"/>
      <c r="F448" s="555"/>
      <c r="G448" s="555"/>
      <c r="H448" s="555"/>
    </row>
    <row r="449" spans="2:8">
      <c r="B449" s="557"/>
      <c r="C449" s="555"/>
      <c r="D449" s="555"/>
      <c r="E449" s="555"/>
      <c r="F449" s="555"/>
      <c r="G449" s="555"/>
      <c r="H449" s="555"/>
    </row>
    <row r="450" spans="2:8">
      <c r="B450" s="557"/>
      <c r="C450" s="555"/>
      <c r="D450" s="555"/>
      <c r="E450" s="555"/>
      <c r="F450" s="555"/>
      <c r="G450" s="555"/>
      <c r="H450" s="555"/>
    </row>
    <row r="451" spans="2:8">
      <c r="B451" s="557"/>
      <c r="C451" s="555"/>
      <c r="D451" s="555"/>
      <c r="E451" s="555"/>
      <c r="F451" s="555"/>
      <c r="G451" s="555"/>
      <c r="H451" s="555"/>
    </row>
    <row r="452" spans="2:8">
      <c r="B452" s="557"/>
      <c r="C452" s="555"/>
      <c r="D452" s="555"/>
      <c r="E452" s="555"/>
      <c r="F452" s="555"/>
      <c r="G452" s="555"/>
      <c r="H452" s="555"/>
    </row>
    <row r="453" spans="2:8">
      <c r="B453" s="557"/>
      <c r="C453" s="555"/>
      <c r="D453" s="555"/>
      <c r="E453" s="555"/>
      <c r="F453" s="555"/>
      <c r="G453" s="555"/>
      <c r="H453" s="555"/>
    </row>
    <row r="454" spans="2:8">
      <c r="B454" s="557"/>
      <c r="C454" s="555"/>
      <c r="D454" s="555"/>
      <c r="E454" s="555"/>
      <c r="F454" s="555"/>
      <c r="G454" s="555"/>
      <c r="H454" s="555"/>
    </row>
    <row r="455" spans="2:8">
      <c r="B455" s="557"/>
      <c r="C455" s="555"/>
      <c r="D455" s="555"/>
      <c r="E455" s="555"/>
      <c r="F455" s="555"/>
      <c r="G455" s="555"/>
      <c r="H455" s="555"/>
    </row>
    <row r="456" spans="2:8">
      <c r="B456" s="557"/>
      <c r="C456" s="555"/>
      <c r="D456" s="555"/>
      <c r="E456" s="555"/>
      <c r="F456" s="555"/>
      <c r="G456" s="555"/>
      <c r="H456" s="555"/>
    </row>
    <row r="457" spans="2:8">
      <c r="B457" s="557"/>
      <c r="C457" s="555"/>
      <c r="D457" s="555"/>
      <c r="E457" s="555"/>
      <c r="F457" s="555"/>
      <c r="G457" s="555"/>
      <c r="H457" s="555"/>
    </row>
    <row r="458" spans="2:8">
      <c r="B458" s="557"/>
      <c r="C458" s="555"/>
      <c r="D458" s="555"/>
      <c r="E458" s="555"/>
      <c r="F458" s="555"/>
      <c r="G458" s="555"/>
      <c r="H458" s="555"/>
    </row>
    <row r="459" spans="2:8">
      <c r="B459" s="557"/>
      <c r="C459" s="555"/>
      <c r="D459" s="555"/>
      <c r="E459" s="555"/>
      <c r="F459" s="555"/>
      <c r="G459" s="555"/>
      <c r="H459" s="555"/>
    </row>
    <row r="460" spans="2:8">
      <c r="B460" s="557"/>
      <c r="C460" s="555"/>
      <c r="D460" s="555"/>
      <c r="E460" s="555"/>
      <c r="F460" s="555"/>
      <c r="G460" s="555"/>
      <c r="H460" s="555"/>
    </row>
    <row r="461" spans="2:8">
      <c r="B461" s="557"/>
      <c r="C461" s="555"/>
      <c r="D461" s="555"/>
      <c r="E461" s="555"/>
      <c r="F461" s="555"/>
      <c r="G461" s="555"/>
      <c r="H461" s="555"/>
    </row>
    <row r="462" spans="2:8">
      <c r="B462" s="557"/>
      <c r="C462" s="555"/>
      <c r="D462" s="555"/>
      <c r="E462" s="555"/>
      <c r="F462" s="555"/>
      <c r="G462" s="555"/>
      <c r="H462" s="555"/>
    </row>
    <row r="463" spans="2:8">
      <c r="B463" s="557"/>
      <c r="C463" s="555"/>
      <c r="D463" s="555"/>
      <c r="E463" s="555"/>
      <c r="F463" s="555"/>
      <c r="G463" s="555"/>
      <c r="H463" s="555"/>
    </row>
    <row r="464" spans="2:8">
      <c r="B464" s="557"/>
      <c r="C464" s="555"/>
      <c r="D464" s="555"/>
      <c r="E464" s="555"/>
      <c r="F464" s="555"/>
      <c r="G464" s="555"/>
      <c r="H464" s="555"/>
    </row>
    <row r="465" spans="2:8">
      <c r="B465" s="557"/>
      <c r="C465" s="555"/>
      <c r="D465" s="555"/>
      <c r="E465" s="555"/>
      <c r="F465" s="555"/>
      <c r="G465" s="555"/>
      <c r="H465" s="555"/>
    </row>
    <row r="466" spans="2:8">
      <c r="B466" s="557"/>
      <c r="C466" s="555"/>
      <c r="D466" s="555"/>
      <c r="E466" s="555"/>
      <c r="F466" s="555"/>
      <c r="G466" s="555"/>
      <c r="H466" s="555"/>
    </row>
    <row r="467" spans="2:8">
      <c r="B467" s="557"/>
      <c r="C467" s="555"/>
      <c r="D467" s="555"/>
      <c r="E467" s="555"/>
      <c r="F467" s="555"/>
      <c r="G467" s="555"/>
      <c r="H467" s="555"/>
    </row>
    <row r="468" spans="2:8">
      <c r="B468" s="557"/>
      <c r="C468" s="555"/>
      <c r="D468" s="555"/>
      <c r="E468" s="555"/>
      <c r="F468" s="555"/>
      <c r="G468" s="555"/>
      <c r="H468" s="555"/>
    </row>
    <row r="469" spans="2:8">
      <c r="B469" s="557"/>
      <c r="C469" s="555"/>
      <c r="D469" s="555"/>
      <c r="E469" s="555"/>
      <c r="F469" s="555"/>
      <c r="G469" s="555"/>
      <c r="H469" s="555"/>
    </row>
    <row r="470" spans="2:8">
      <c r="B470" s="557"/>
      <c r="C470" s="555"/>
      <c r="D470" s="555"/>
      <c r="E470" s="555"/>
      <c r="F470" s="555"/>
      <c r="G470" s="555"/>
      <c r="H470" s="555"/>
    </row>
    <row r="471" spans="2:8">
      <c r="B471" s="557"/>
      <c r="C471" s="555"/>
      <c r="D471" s="555"/>
      <c r="E471" s="555"/>
      <c r="F471" s="555"/>
      <c r="G471" s="555"/>
      <c r="H471" s="555"/>
    </row>
    <row r="472" spans="2:8">
      <c r="B472" s="557"/>
      <c r="C472" s="555"/>
      <c r="D472" s="555"/>
      <c r="E472" s="555"/>
      <c r="F472" s="555"/>
      <c r="G472" s="555"/>
      <c r="H472" s="555"/>
    </row>
    <row r="473" spans="2:8">
      <c r="B473" s="557"/>
      <c r="C473" s="555"/>
      <c r="D473" s="555"/>
      <c r="E473" s="555"/>
      <c r="F473" s="555"/>
      <c r="G473" s="555"/>
      <c r="H473" s="555"/>
    </row>
    <row r="474" spans="2:8">
      <c r="B474" s="557"/>
      <c r="C474" s="555"/>
      <c r="D474" s="555"/>
      <c r="E474" s="555"/>
      <c r="F474" s="555"/>
      <c r="G474" s="555"/>
      <c r="H474" s="555"/>
    </row>
    <row r="475" spans="2:8">
      <c r="B475" s="557"/>
      <c r="C475" s="555"/>
      <c r="D475" s="555"/>
      <c r="E475" s="555"/>
      <c r="F475" s="555"/>
      <c r="G475" s="555"/>
      <c r="H475" s="555"/>
    </row>
    <row r="476" spans="2:8">
      <c r="B476" s="557"/>
      <c r="C476" s="555"/>
      <c r="D476" s="555"/>
      <c r="E476" s="555"/>
      <c r="F476" s="555"/>
      <c r="G476" s="555"/>
      <c r="H476" s="555"/>
    </row>
    <row r="477" spans="2:8">
      <c r="B477" s="557"/>
      <c r="C477" s="555"/>
      <c r="D477" s="555"/>
      <c r="E477" s="555"/>
      <c r="F477" s="555"/>
      <c r="G477" s="555"/>
      <c r="H477" s="555"/>
    </row>
    <row r="478" spans="2:8">
      <c r="B478" s="557"/>
      <c r="C478" s="555"/>
      <c r="D478" s="555"/>
      <c r="E478" s="555"/>
      <c r="F478" s="555"/>
      <c r="G478" s="555"/>
      <c r="H478" s="555"/>
    </row>
    <row r="479" spans="2:8">
      <c r="B479" s="557"/>
      <c r="C479" s="555"/>
      <c r="D479" s="555"/>
      <c r="E479" s="555"/>
      <c r="F479" s="555"/>
      <c r="G479" s="555"/>
      <c r="H479" s="555"/>
    </row>
    <row r="480" spans="2:8">
      <c r="B480" s="557"/>
      <c r="C480" s="555"/>
      <c r="D480" s="555"/>
      <c r="E480" s="555"/>
      <c r="F480" s="555"/>
      <c r="G480" s="555"/>
      <c r="H480" s="555"/>
    </row>
    <row r="481" spans="2:8">
      <c r="B481" s="557"/>
      <c r="C481" s="555"/>
      <c r="D481" s="555"/>
      <c r="E481" s="555"/>
      <c r="F481" s="555"/>
      <c r="G481" s="555"/>
      <c r="H481" s="555"/>
    </row>
    <row r="482" spans="2:8">
      <c r="B482" s="557"/>
      <c r="C482" s="555"/>
      <c r="D482" s="555"/>
      <c r="E482" s="555"/>
      <c r="F482" s="555"/>
      <c r="G482" s="555"/>
      <c r="H482" s="555"/>
    </row>
    <row r="483" spans="2:8">
      <c r="B483" s="557"/>
      <c r="C483" s="555"/>
      <c r="D483" s="555"/>
      <c r="E483" s="555"/>
      <c r="F483" s="555"/>
      <c r="G483" s="555"/>
      <c r="H483" s="555"/>
    </row>
    <row r="484" spans="2:8">
      <c r="B484" s="557"/>
      <c r="C484" s="555"/>
      <c r="D484" s="555"/>
      <c r="E484" s="555"/>
      <c r="F484" s="555"/>
      <c r="G484" s="555"/>
      <c r="H484" s="555"/>
    </row>
    <row r="485" spans="2:8">
      <c r="B485" s="557"/>
      <c r="C485" s="555"/>
      <c r="D485" s="555"/>
      <c r="E485" s="555"/>
      <c r="F485" s="555"/>
      <c r="G485" s="555"/>
      <c r="H485" s="555"/>
    </row>
    <row r="486" spans="2:8">
      <c r="B486" s="557"/>
      <c r="C486" s="555"/>
      <c r="D486" s="555"/>
      <c r="E486" s="555"/>
      <c r="F486" s="555"/>
      <c r="G486" s="555"/>
      <c r="H486" s="555"/>
    </row>
    <row r="487" spans="2:8">
      <c r="B487" s="557"/>
      <c r="C487" s="555"/>
      <c r="D487" s="555"/>
      <c r="E487" s="555"/>
      <c r="F487" s="555"/>
      <c r="G487" s="555"/>
      <c r="H487" s="555"/>
    </row>
    <row r="488" spans="2:8">
      <c r="B488" s="557"/>
      <c r="C488" s="555"/>
      <c r="D488" s="555"/>
      <c r="E488" s="555"/>
      <c r="F488" s="555"/>
      <c r="G488" s="555"/>
      <c r="H488" s="555"/>
    </row>
    <row r="489" spans="2:8">
      <c r="B489" s="557"/>
      <c r="C489" s="555"/>
      <c r="D489" s="555"/>
      <c r="E489" s="555"/>
      <c r="F489" s="555"/>
      <c r="G489" s="555"/>
      <c r="H489" s="555"/>
    </row>
    <row r="490" spans="2:8">
      <c r="B490" s="557"/>
      <c r="C490" s="555"/>
      <c r="D490" s="555"/>
      <c r="E490" s="555"/>
      <c r="F490" s="555"/>
      <c r="G490" s="555"/>
      <c r="H490" s="555"/>
    </row>
    <row r="491" spans="2:8">
      <c r="B491" s="557"/>
      <c r="C491" s="555"/>
      <c r="D491" s="555"/>
      <c r="E491" s="555"/>
      <c r="F491" s="555"/>
      <c r="G491" s="555"/>
      <c r="H491" s="555"/>
    </row>
    <row r="492" spans="2:8">
      <c r="B492" s="557"/>
      <c r="C492" s="555"/>
      <c r="D492" s="555"/>
      <c r="E492" s="555"/>
      <c r="F492" s="555"/>
      <c r="G492" s="555"/>
      <c r="H492" s="555"/>
    </row>
    <row r="493" spans="2:8">
      <c r="B493" s="557"/>
      <c r="C493" s="555"/>
      <c r="D493" s="555"/>
      <c r="E493" s="555"/>
      <c r="F493" s="555"/>
      <c r="G493" s="555"/>
      <c r="H493" s="555"/>
    </row>
    <row r="494" spans="2:8">
      <c r="B494" s="557"/>
      <c r="C494" s="555"/>
      <c r="D494" s="555"/>
      <c r="E494" s="555"/>
      <c r="F494" s="555"/>
      <c r="G494" s="555"/>
      <c r="H494" s="555"/>
    </row>
    <row r="495" spans="2:8">
      <c r="B495" s="557"/>
      <c r="C495" s="555"/>
      <c r="D495" s="555"/>
      <c r="E495" s="555"/>
      <c r="F495" s="555"/>
      <c r="G495" s="555"/>
      <c r="H495" s="555"/>
    </row>
    <row r="496" spans="2:8">
      <c r="B496" s="557"/>
      <c r="C496" s="555"/>
      <c r="D496" s="555"/>
      <c r="E496" s="555"/>
      <c r="F496" s="555"/>
      <c r="G496" s="555"/>
      <c r="H496" s="555"/>
    </row>
    <row r="497" spans="2:8">
      <c r="B497" s="557"/>
      <c r="C497" s="555"/>
      <c r="D497" s="555"/>
      <c r="E497" s="555"/>
      <c r="F497" s="555"/>
      <c r="G497" s="555"/>
      <c r="H497" s="555"/>
    </row>
    <row r="498" spans="2:8">
      <c r="B498" s="557"/>
      <c r="C498" s="555"/>
      <c r="D498" s="555"/>
      <c r="E498" s="555"/>
      <c r="F498" s="555"/>
      <c r="G498" s="555"/>
      <c r="H498" s="555"/>
    </row>
    <row r="499" spans="2:8">
      <c r="B499" s="557"/>
      <c r="C499" s="555"/>
      <c r="D499" s="555"/>
      <c r="E499" s="555"/>
      <c r="F499" s="555"/>
      <c r="G499" s="555"/>
      <c r="H499" s="555"/>
    </row>
    <row r="500" spans="2:8">
      <c r="B500" s="557"/>
      <c r="C500" s="555"/>
      <c r="D500" s="555"/>
      <c r="E500" s="555"/>
      <c r="F500" s="555"/>
      <c r="G500" s="555"/>
      <c r="H500" s="555"/>
    </row>
    <row r="501" spans="2:8">
      <c r="B501" s="557"/>
      <c r="C501" s="555"/>
      <c r="D501" s="555"/>
      <c r="E501" s="555"/>
      <c r="F501" s="555"/>
      <c r="G501" s="555"/>
      <c r="H501" s="555"/>
    </row>
    <row r="502" spans="2:8">
      <c r="B502" s="557"/>
      <c r="C502" s="555"/>
      <c r="D502" s="555"/>
      <c r="E502" s="555"/>
      <c r="F502" s="555"/>
      <c r="G502" s="555"/>
      <c r="H502" s="555"/>
    </row>
    <row r="503" spans="2:8">
      <c r="B503" s="557"/>
      <c r="C503" s="555"/>
      <c r="D503" s="555"/>
      <c r="E503" s="555"/>
      <c r="F503" s="555"/>
      <c r="G503" s="555"/>
      <c r="H503" s="555"/>
    </row>
    <row r="504" spans="2:8">
      <c r="B504" s="557"/>
      <c r="C504" s="555"/>
      <c r="D504" s="555"/>
      <c r="E504" s="555"/>
      <c r="F504" s="555"/>
      <c r="G504" s="555"/>
      <c r="H504" s="555"/>
    </row>
    <row r="505" spans="2:8">
      <c r="B505" s="557"/>
      <c r="C505" s="555"/>
      <c r="D505" s="555"/>
      <c r="E505" s="555"/>
      <c r="F505" s="555"/>
      <c r="G505" s="555"/>
      <c r="H505" s="555"/>
    </row>
    <row r="506" spans="2:8">
      <c r="B506" s="557"/>
      <c r="C506" s="555"/>
      <c r="D506" s="555"/>
      <c r="E506" s="555"/>
      <c r="F506" s="555"/>
      <c r="G506" s="555"/>
      <c r="H506" s="555"/>
    </row>
    <row r="507" spans="2:8">
      <c r="B507" s="557"/>
      <c r="C507" s="555"/>
      <c r="D507" s="555"/>
      <c r="E507" s="555"/>
      <c r="F507" s="555"/>
      <c r="G507" s="555"/>
      <c r="H507" s="555"/>
    </row>
    <row r="508" spans="2:8">
      <c r="B508" s="557"/>
      <c r="C508" s="555"/>
      <c r="D508" s="555"/>
      <c r="E508" s="555"/>
      <c r="F508" s="555"/>
      <c r="G508" s="555"/>
      <c r="H508" s="555"/>
    </row>
    <row r="509" spans="2:8">
      <c r="B509" s="557"/>
      <c r="C509" s="555"/>
      <c r="D509" s="555"/>
      <c r="E509" s="555"/>
      <c r="F509" s="555"/>
      <c r="G509" s="555"/>
      <c r="H509" s="555"/>
    </row>
    <row r="510" spans="2:8">
      <c r="B510" s="557"/>
      <c r="C510" s="555"/>
      <c r="D510" s="555"/>
      <c r="E510" s="555"/>
      <c r="F510" s="555"/>
      <c r="G510" s="555"/>
      <c r="H510" s="555"/>
    </row>
    <row r="511" spans="2:8">
      <c r="B511" s="557"/>
      <c r="C511" s="555"/>
      <c r="D511" s="555"/>
      <c r="E511" s="555"/>
      <c r="F511" s="555"/>
      <c r="G511" s="555"/>
      <c r="H511" s="555"/>
    </row>
    <row r="512" spans="2:8">
      <c r="B512" s="557"/>
      <c r="C512" s="555"/>
      <c r="D512" s="555"/>
      <c r="E512" s="555"/>
      <c r="F512" s="555"/>
      <c r="G512" s="555"/>
      <c r="H512" s="555"/>
    </row>
    <row r="513" spans="2:8">
      <c r="B513" s="557"/>
      <c r="C513" s="555"/>
      <c r="D513" s="555"/>
      <c r="E513" s="555"/>
      <c r="F513" s="555"/>
      <c r="G513" s="555"/>
      <c r="H513" s="555"/>
    </row>
    <row r="514" spans="2:8">
      <c r="B514" s="557"/>
      <c r="C514" s="555"/>
      <c r="D514" s="555"/>
      <c r="E514" s="555"/>
      <c r="F514" s="555"/>
      <c r="G514" s="555"/>
      <c r="H514" s="555"/>
    </row>
    <row r="515" spans="2:8">
      <c r="B515" s="557"/>
      <c r="C515" s="555"/>
      <c r="D515" s="555"/>
      <c r="E515" s="555"/>
      <c r="F515" s="555"/>
      <c r="G515" s="555"/>
      <c r="H515" s="555"/>
    </row>
    <row r="516" spans="2:8">
      <c r="B516" s="557"/>
      <c r="C516" s="555"/>
      <c r="D516" s="555"/>
      <c r="E516" s="555"/>
      <c r="F516" s="555"/>
      <c r="G516" s="555"/>
      <c r="H516" s="555"/>
    </row>
    <row r="517" spans="2:8">
      <c r="B517" s="557"/>
      <c r="C517" s="555"/>
      <c r="D517" s="555"/>
      <c r="E517" s="555"/>
      <c r="F517" s="555"/>
      <c r="G517" s="555"/>
      <c r="H517" s="555"/>
    </row>
    <row r="518" spans="2:8">
      <c r="B518" s="557"/>
      <c r="C518" s="555"/>
      <c r="D518" s="555"/>
      <c r="E518" s="555"/>
      <c r="F518" s="555"/>
      <c r="G518" s="555"/>
      <c r="H518" s="555"/>
    </row>
    <row r="519" spans="2:8">
      <c r="B519" s="557"/>
      <c r="C519" s="555"/>
      <c r="D519" s="555"/>
      <c r="E519" s="555"/>
      <c r="F519" s="555"/>
      <c r="G519" s="555"/>
      <c r="H519" s="555"/>
    </row>
    <row r="520" spans="2:8">
      <c r="B520" s="557"/>
      <c r="C520" s="555"/>
      <c r="D520" s="555"/>
      <c r="E520" s="555"/>
      <c r="F520" s="555"/>
      <c r="G520" s="555"/>
      <c r="H520" s="555"/>
    </row>
    <row r="521" spans="2:8">
      <c r="B521" s="557"/>
      <c r="C521" s="555"/>
      <c r="D521" s="555"/>
      <c r="E521" s="555"/>
      <c r="F521" s="555"/>
      <c r="G521" s="555"/>
      <c r="H521" s="555"/>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4" type="noConversion"/>
  <printOptions horizontalCentered="1"/>
  <pageMargins left="0.25" right="0.25" top="0.75" bottom="0.75" header="0.3" footer="0.3"/>
  <pageSetup scale="37" fitToHeight="0" orientation="landscape" r:id="rId1"/>
  <headerFooter alignWithMargins="0"/>
  <rowBreaks count="2" manualBreakCount="2">
    <brk id="46" max="7"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21"/>
  <sheetViews>
    <sheetView view="pageBreakPreview" topLeftCell="A43" zoomScale="60" zoomScaleNormal="50" workbookViewId="0">
      <selection activeCell="E55" sqref="E55"/>
    </sheetView>
  </sheetViews>
  <sheetFormatPr defaultColWidth="8.90625" defaultRowHeight="15"/>
  <cols>
    <col min="1" max="1" width="6.90625" style="1340" customWidth="1"/>
    <col min="2" max="2" width="51.453125" style="558" customWidth="1"/>
    <col min="3" max="3" width="22.08984375" style="549" customWidth="1"/>
    <col min="4" max="4" width="21.54296875" style="549" customWidth="1"/>
    <col min="5" max="5" width="20.90625" style="549" customWidth="1"/>
    <col min="6" max="6" width="16.6328125" style="549" customWidth="1"/>
    <col min="7" max="7" width="20.453125" style="549" customWidth="1"/>
    <col min="8" max="8" width="114.81640625" style="549" bestFit="1" customWidth="1"/>
    <col min="9" max="16384" width="8.90625" style="549"/>
  </cols>
  <sheetData>
    <row r="1" spans="1:21" ht="17.399999999999999">
      <c r="B1" s="1542" t="str">
        <f>+'Appendix A'!E9</f>
        <v>New York Transco LLC</v>
      </c>
      <c r="C1" s="1543"/>
      <c r="D1" s="1543"/>
      <c r="E1" s="1543"/>
      <c r="F1" s="1543"/>
      <c r="G1" s="1543"/>
      <c r="H1" s="1543"/>
      <c r="I1" s="548"/>
      <c r="J1" s="548"/>
    </row>
    <row r="2" spans="1:21" ht="17.399999999999999">
      <c r="B2" s="1542" t="s">
        <v>389</v>
      </c>
      <c r="C2" s="1542"/>
      <c r="D2" s="1542"/>
      <c r="E2" s="1542"/>
      <c r="F2" s="1542"/>
      <c r="G2" s="1542"/>
      <c r="H2" s="1542"/>
      <c r="I2" s="548"/>
      <c r="J2" s="548"/>
    </row>
    <row r="3" spans="1:21" ht="17.399999999999999">
      <c r="B3" s="1541" t="s">
        <v>160</v>
      </c>
      <c r="C3" s="1541"/>
      <c r="D3" s="1541"/>
      <c r="E3" s="1541"/>
      <c r="F3" s="1541"/>
      <c r="G3" s="1541"/>
      <c r="H3" s="1541"/>
      <c r="I3" s="548"/>
      <c r="J3" s="548"/>
    </row>
    <row r="4" spans="1:21" ht="18">
      <c r="A4" s="1341"/>
      <c r="B4" s="594"/>
      <c r="C4" s="594"/>
      <c r="D4" s="594"/>
      <c r="E4" s="594"/>
      <c r="F4" s="594"/>
      <c r="G4" s="594"/>
      <c r="H4" s="594"/>
      <c r="I4" s="548"/>
      <c r="J4" s="548"/>
    </row>
    <row r="5" spans="1:21" ht="18">
      <c r="A5" s="1341"/>
      <c r="B5" s="559"/>
      <c r="C5" s="560"/>
      <c r="D5" s="594"/>
      <c r="E5" s="594"/>
      <c r="F5" s="560"/>
      <c r="G5" s="595"/>
      <c r="H5" s="560"/>
    </row>
    <row r="6" spans="1:21" ht="15.6">
      <c r="A6" s="1341"/>
      <c r="B6" s="559"/>
      <c r="C6" s="560"/>
      <c r="D6" s="595" t="s">
        <v>46</v>
      </c>
      <c r="E6" s="595" t="s">
        <v>361</v>
      </c>
      <c r="F6" s="595" t="s">
        <v>359</v>
      </c>
      <c r="G6" s="595" t="s">
        <v>42</v>
      </c>
      <c r="H6" s="560"/>
      <c r="I6" s="550"/>
      <c r="J6" s="551"/>
      <c r="K6" s="551"/>
      <c r="L6" s="551"/>
      <c r="M6" s="551"/>
      <c r="N6" s="551"/>
      <c r="O6" s="551"/>
      <c r="P6" s="551"/>
      <c r="Q6" s="551"/>
      <c r="R6" s="551"/>
      <c r="S6" s="551"/>
      <c r="T6" s="551"/>
      <c r="U6" s="552"/>
    </row>
    <row r="7" spans="1:21" ht="15.6">
      <c r="A7" s="1341"/>
      <c r="B7" s="561" t="s">
        <v>36</v>
      </c>
      <c r="C7" s="560"/>
      <c r="D7" s="595" t="s">
        <v>362</v>
      </c>
      <c r="E7" s="595" t="s">
        <v>362</v>
      </c>
      <c r="F7" s="595" t="s">
        <v>362</v>
      </c>
      <c r="G7" s="595"/>
      <c r="H7" s="560"/>
      <c r="J7" s="551"/>
      <c r="K7" s="551"/>
      <c r="L7" s="551"/>
      <c r="M7" s="551"/>
      <c r="N7" s="551"/>
      <c r="O7" s="551"/>
      <c r="P7" s="551"/>
      <c r="Q7" s="551"/>
      <c r="R7" s="551"/>
      <c r="S7" s="551"/>
      <c r="T7" s="551"/>
      <c r="U7" s="552"/>
    </row>
    <row r="8" spans="1:21" ht="15.6">
      <c r="A8" s="1341"/>
      <c r="B8" s="561"/>
      <c r="C8" s="560"/>
      <c r="D8" s="560"/>
      <c r="E8" s="560"/>
      <c r="F8" s="560"/>
      <c r="G8" s="560"/>
      <c r="H8" s="560"/>
    </row>
    <row r="9" spans="1:21" ht="15.6">
      <c r="A9" s="1341">
        <v>1</v>
      </c>
      <c r="B9" s="561">
        <v>1</v>
      </c>
      <c r="C9" s="560" t="s">
        <v>1021</v>
      </c>
      <c r="D9" s="761">
        <f>+E67</f>
        <v>-2513459</v>
      </c>
      <c r="E9" s="761">
        <f>+F67</f>
        <v>0</v>
      </c>
      <c r="F9" s="761">
        <f>+G67</f>
        <v>0</v>
      </c>
      <c r="G9" s="761"/>
      <c r="H9" s="560" t="s">
        <v>364</v>
      </c>
    </row>
    <row r="10" spans="1:21" ht="15.6">
      <c r="A10" s="1341">
        <v>2</v>
      </c>
      <c r="B10" s="561">
        <v>2</v>
      </c>
      <c r="C10" s="560" t="s">
        <v>365</v>
      </c>
      <c r="D10" s="761">
        <f>+E96</f>
        <v>0</v>
      </c>
      <c r="E10" s="761">
        <f>+F96</f>
        <v>0</v>
      </c>
      <c r="F10" s="761">
        <f>+G96</f>
        <v>0</v>
      </c>
      <c r="G10" s="761"/>
      <c r="H10" s="560" t="s">
        <v>366</v>
      </c>
    </row>
    <row r="11" spans="1:21" ht="15.6">
      <c r="A11" s="1341">
        <v>3</v>
      </c>
      <c r="B11" s="561">
        <v>3</v>
      </c>
      <c r="C11" s="560" t="s">
        <v>367</v>
      </c>
      <c r="D11" s="761">
        <f>E39</f>
        <v>0</v>
      </c>
      <c r="E11" s="761">
        <f>F39</f>
        <v>0</v>
      </c>
      <c r="F11" s="761">
        <f>G39</f>
        <v>0</v>
      </c>
      <c r="G11" s="761"/>
      <c r="H11" s="560" t="s">
        <v>368</v>
      </c>
    </row>
    <row r="12" spans="1:21" ht="15.6">
      <c r="A12" s="1341">
        <v>4</v>
      </c>
      <c r="B12" s="561">
        <v>4</v>
      </c>
      <c r="C12" s="560" t="s">
        <v>369</v>
      </c>
      <c r="D12" s="761">
        <f>SUM(D9:D11)</f>
        <v>-2513459</v>
      </c>
      <c r="E12" s="761">
        <f>SUM(E9:E11)</f>
        <v>0</v>
      </c>
      <c r="F12" s="761">
        <f>SUM(F9:F11)</f>
        <v>0</v>
      </c>
      <c r="G12" s="761"/>
      <c r="H12" s="562"/>
    </row>
    <row r="13" spans="1:21" ht="15.6">
      <c r="A13" s="1341">
        <v>5</v>
      </c>
      <c r="B13" s="561">
        <v>5</v>
      </c>
      <c r="C13" s="560" t="s">
        <v>370</v>
      </c>
      <c r="D13" s="761"/>
      <c r="E13" s="761"/>
      <c r="F13" s="761">
        <f>+'Appendix A'!J228</f>
        <v>1</v>
      </c>
      <c r="G13" s="761"/>
      <c r="H13" s="560"/>
    </row>
    <row r="14" spans="1:21" ht="15.6">
      <c r="A14" s="1341">
        <v>6</v>
      </c>
      <c r="B14" s="561">
        <v>6</v>
      </c>
      <c r="C14" s="560" t="s">
        <v>60</v>
      </c>
      <c r="D14" s="761"/>
      <c r="E14" s="761">
        <f>+'Appendix A'!H97</f>
        <v>1</v>
      </c>
      <c r="F14" s="761"/>
      <c r="G14" s="761"/>
      <c r="H14" s="560"/>
    </row>
    <row r="15" spans="1:21" ht="15.6">
      <c r="A15" s="1341">
        <v>7</v>
      </c>
      <c r="B15" s="561">
        <v>7</v>
      </c>
      <c r="C15" s="560" t="s">
        <v>371</v>
      </c>
      <c r="D15" s="761">
        <f>+D12</f>
        <v>-2513459</v>
      </c>
      <c r="E15" s="761">
        <f>+E12</f>
        <v>0</v>
      </c>
      <c r="F15" s="761">
        <f>+F13*F12</f>
        <v>0</v>
      </c>
      <c r="G15" s="761">
        <f>+D15+E15+F15</f>
        <v>-2513459</v>
      </c>
      <c r="H15" s="563"/>
    </row>
    <row r="16" spans="1:21" ht="15.6">
      <c r="A16" s="1341"/>
      <c r="B16" s="559"/>
      <c r="C16" s="560"/>
      <c r="D16" s="562"/>
      <c r="E16" s="562"/>
      <c r="F16" s="562"/>
      <c r="G16" s="562"/>
      <c r="H16" s="563"/>
    </row>
    <row r="17" spans="1:9" s="550" customFormat="1" ht="15.6">
      <c r="A17" s="1341"/>
      <c r="B17" s="560"/>
      <c r="C17" s="560"/>
      <c r="D17" s="560"/>
      <c r="E17" s="560"/>
      <c r="F17" s="560"/>
      <c r="G17" s="560"/>
      <c r="H17" s="562"/>
    </row>
    <row r="18" spans="1:9" s="550" customFormat="1" ht="15.6">
      <c r="A18" s="1341"/>
      <c r="B18" s="560"/>
      <c r="C18" s="560"/>
      <c r="D18" s="562"/>
      <c r="E18" s="560"/>
      <c r="F18" s="560"/>
      <c r="G18" s="560"/>
      <c r="H18" s="534"/>
    </row>
    <row r="19" spans="1:9" ht="15.6">
      <c r="A19" s="1341"/>
      <c r="B19" s="560"/>
      <c r="C19" s="560"/>
      <c r="D19" s="560"/>
      <c r="E19" s="560"/>
      <c r="F19" s="560"/>
      <c r="G19" s="560"/>
      <c r="H19" s="564"/>
    </row>
    <row r="20" spans="1:9" ht="15.6">
      <c r="A20" s="1341"/>
      <c r="B20" s="559" t="s">
        <v>372</v>
      </c>
      <c r="C20" s="560"/>
      <c r="D20" s="560"/>
      <c r="E20" s="560"/>
      <c r="F20" s="560"/>
      <c r="G20" s="560"/>
      <c r="H20" s="560"/>
    </row>
    <row r="21" spans="1:9" ht="15.6">
      <c r="A21" s="1341"/>
      <c r="B21" s="559" t="s">
        <v>966</v>
      </c>
      <c r="C21" s="560"/>
      <c r="D21" s="560"/>
      <c r="E21" s="560"/>
      <c r="F21" s="560"/>
      <c r="G21" s="560"/>
      <c r="H21" s="560"/>
    </row>
    <row r="22" spans="1:9" ht="15.6">
      <c r="A22" s="1341"/>
      <c r="B22" s="595" t="s">
        <v>100</v>
      </c>
      <c r="C22" s="595" t="s">
        <v>101</v>
      </c>
      <c r="D22" s="595" t="s">
        <v>102</v>
      </c>
      <c r="E22" s="595" t="s">
        <v>103</v>
      </c>
      <c r="F22" s="595" t="s">
        <v>104</v>
      </c>
      <c r="G22" s="595" t="s">
        <v>105</v>
      </c>
      <c r="H22" s="595" t="s">
        <v>106</v>
      </c>
    </row>
    <row r="23" spans="1:9" ht="18">
      <c r="A23" s="1341"/>
      <c r="B23" s="559"/>
      <c r="C23" s="595" t="s">
        <v>42</v>
      </c>
      <c r="D23" s="595" t="s">
        <v>373</v>
      </c>
      <c r="E23" s="594"/>
      <c r="F23" s="594"/>
      <c r="G23" s="594"/>
      <c r="H23" s="560"/>
    </row>
    <row r="24" spans="1:9" ht="15.6">
      <c r="A24" s="1341" t="s">
        <v>864</v>
      </c>
      <c r="B24" s="559" t="s">
        <v>367</v>
      </c>
      <c r="C24" s="595"/>
      <c r="D24" s="595" t="s">
        <v>374</v>
      </c>
      <c r="E24" s="595" t="s">
        <v>46</v>
      </c>
      <c r="F24" s="595" t="s">
        <v>361</v>
      </c>
      <c r="G24" s="595" t="s">
        <v>359</v>
      </c>
      <c r="H24" s="560"/>
    </row>
    <row r="25" spans="1:9" ht="15.6">
      <c r="A25" s="1341"/>
      <c r="B25" s="559"/>
      <c r="C25" s="595"/>
      <c r="D25" s="595" t="s">
        <v>362</v>
      </c>
      <c r="E25" s="595" t="s">
        <v>362</v>
      </c>
      <c r="F25" s="595" t="s">
        <v>362</v>
      </c>
      <c r="G25" s="595" t="s">
        <v>362</v>
      </c>
      <c r="H25" s="595" t="s">
        <v>375</v>
      </c>
    </row>
    <row r="26" spans="1:9" ht="35.1" customHeight="1">
      <c r="A26" s="1340" t="s">
        <v>341</v>
      </c>
      <c r="B26" s="565"/>
      <c r="C26" s="566"/>
      <c r="D26" s="567"/>
      <c r="E26" s="567"/>
      <c r="F26" s="567"/>
      <c r="G26" s="567"/>
      <c r="H26" s="568"/>
      <c r="I26" s="553"/>
    </row>
    <row r="27" spans="1:9" ht="35.1" customHeight="1">
      <c r="A27" s="1340" t="s">
        <v>342</v>
      </c>
      <c r="B27" s="569"/>
      <c r="C27" s="566"/>
      <c r="D27" s="567"/>
      <c r="E27" s="567"/>
      <c r="F27" s="567"/>
      <c r="G27" s="567"/>
      <c r="H27" s="568"/>
      <c r="I27" s="553"/>
    </row>
    <row r="28" spans="1:9" ht="35.1" customHeight="1">
      <c r="A28" s="1340" t="s">
        <v>343</v>
      </c>
      <c r="B28" s="569"/>
      <c r="C28" s="566"/>
      <c r="D28" s="567"/>
      <c r="E28" s="567"/>
      <c r="F28" s="567"/>
      <c r="G28" s="567"/>
      <c r="H28" s="568"/>
      <c r="I28" s="553"/>
    </row>
    <row r="29" spans="1:9" ht="35.1" customHeight="1">
      <c r="A29" s="1340" t="s">
        <v>416</v>
      </c>
      <c r="B29" s="569"/>
      <c r="C29" s="566"/>
      <c r="D29" s="567"/>
      <c r="E29" s="567"/>
      <c r="F29" s="567"/>
      <c r="G29" s="567"/>
      <c r="H29" s="568"/>
      <c r="I29" s="553"/>
    </row>
    <row r="30" spans="1:9" ht="35.1" customHeight="1">
      <c r="A30" s="1340" t="s">
        <v>416</v>
      </c>
      <c r="B30" s="569"/>
      <c r="C30" s="566"/>
      <c r="D30" s="567"/>
      <c r="E30" s="567"/>
      <c r="F30" s="567"/>
      <c r="G30" s="567"/>
      <c r="H30" s="568"/>
      <c r="I30" s="553"/>
    </row>
    <row r="31" spans="1:9" ht="35.1" customHeight="1">
      <c r="A31" s="1340" t="s">
        <v>416</v>
      </c>
      <c r="B31" s="569"/>
      <c r="C31" s="566"/>
      <c r="D31" s="567"/>
      <c r="E31" s="567"/>
      <c r="F31" s="567"/>
      <c r="G31" s="567"/>
      <c r="H31" s="568"/>
      <c r="I31" s="553"/>
    </row>
    <row r="32" spans="1:9" ht="35.1" customHeight="1">
      <c r="A32" s="1340" t="s">
        <v>416</v>
      </c>
      <c r="B32" s="569"/>
      <c r="C32" s="566"/>
      <c r="D32" s="567"/>
      <c r="E32" s="567"/>
      <c r="F32" s="567"/>
      <c r="G32" s="567"/>
      <c r="H32" s="568"/>
      <c r="I32" s="553"/>
    </row>
    <row r="33" spans="1:9" ht="35.1" customHeight="1">
      <c r="A33" s="1340" t="s">
        <v>416</v>
      </c>
      <c r="B33" s="569"/>
      <c r="C33" s="566"/>
      <c r="D33" s="570"/>
      <c r="E33" s="567"/>
      <c r="F33" s="567"/>
      <c r="G33" s="567"/>
      <c r="H33" s="568"/>
      <c r="I33" s="553"/>
    </row>
    <row r="34" spans="1:9" ht="35.1" customHeight="1">
      <c r="A34" s="1340" t="s">
        <v>416</v>
      </c>
      <c r="B34" s="569"/>
      <c r="C34" s="566"/>
      <c r="D34" s="567"/>
      <c r="E34" s="567"/>
      <c r="F34" s="567"/>
      <c r="G34" s="567"/>
      <c r="H34" s="568"/>
      <c r="I34" s="553"/>
    </row>
    <row r="35" spans="1:9" ht="35.1" customHeight="1">
      <c r="A35" s="1340" t="s">
        <v>416</v>
      </c>
      <c r="B35" s="569"/>
      <c r="C35" s="566"/>
      <c r="D35" s="566"/>
      <c r="E35" s="566"/>
      <c r="F35" s="566"/>
      <c r="G35" s="566"/>
      <c r="H35" s="568"/>
      <c r="I35" s="553"/>
    </row>
    <row r="36" spans="1:9" ht="35.1" customHeight="1">
      <c r="A36" s="1340" t="s">
        <v>866</v>
      </c>
      <c r="B36" s="596" t="s">
        <v>376</v>
      </c>
      <c r="C36" s="597">
        <f>SUBTOTAL(9,C26:C35)</f>
        <v>0</v>
      </c>
      <c r="D36" s="583">
        <f>SUM(D26:D35)</f>
        <v>0</v>
      </c>
      <c r="E36" s="583">
        <f>SUM(E26:E35)</f>
        <v>0</v>
      </c>
      <c r="F36" s="583">
        <f>SUM(F26:F35)</f>
        <v>0</v>
      </c>
      <c r="G36" s="583">
        <f>SUM(G26:G35)</f>
        <v>0</v>
      </c>
      <c r="H36" s="571"/>
      <c r="I36" s="553"/>
    </row>
    <row r="37" spans="1:9" ht="35.1" customHeight="1">
      <c r="A37" s="1340" t="s">
        <v>867</v>
      </c>
      <c r="B37" s="598" t="s">
        <v>377</v>
      </c>
      <c r="C37" s="572"/>
      <c r="D37" s="572"/>
      <c r="E37" s="572"/>
      <c r="F37" s="573"/>
      <c r="G37" s="574"/>
      <c r="H37" s="568"/>
      <c r="I37" s="553"/>
    </row>
    <row r="38" spans="1:9" ht="35.1" customHeight="1">
      <c r="A38" s="1340" t="s">
        <v>840</v>
      </c>
      <c r="B38" s="599" t="s">
        <v>378</v>
      </c>
      <c r="C38" s="575"/>
      <c r="D38" s="575"/>
      <c r="E38" s="575"/>
      <c r="F38" s="575"/>
      <c r="G38" s="575"/>
      <c r="H38" s="576"/>
      <c r="I38" s="553"/>
    </row>
    <row r="39" spans="1:9" ht="35.1" customHeight="1" thickBot="1">
      <c r="A39" s="1340" t="s">
        <v>841</v>
      </c>
      <c r="B39" s="600" t="s">
        <v>42</v>
      </c>
      <c r="C39" s="601">
        <f>+C36-C37-C38</f>
        <v>0</v>
      </c>
      <c r="D39" s="601">
        <f>+D36-D37-D38</f>
        <v>0</v>
      </c>
      <c r="E39" s="601">
        <f>+E36-E37-E38</f>
        <v>0</v>
      </c>
      <c r="F39" s="601">
        <f>+F36-F37-F38</f>
        <v>0</v>
      </c>
      <c r="G39" s="601">
        <f>+G36-G37-G38</f>
        <v>0</v>
      </c>
      <c r="H39" s="602"/>
      <c r="I39" s="553"/>
    </row>
    <row r="40" spans="1:9" ht="35.1" customHeight="1" thickTop="1">
      <c r="B40" s="584" t="s">
        <v>379</v>
      </c>
      <c r="C40" s="585"/>
      <c r="D40" s="587"/>
      <c r="E40" s="586"/>
      <c r="F40" s="577"/>
      <c r="G40" s="603"/>
      <c r="H40" s="577"/>
    </row>
    <row r="41" spans="1:9" ht="15.6">
      <c r="A41" s="1340" t="s">
        <v>842</v>
      </c>
      <c r="B41" s="1544" t="s">
        <v>380</v>
      </c>
      <c r="C41" s="1539"/>
      <c r="D41" s="1539"/>
      <c r="E41" s="1539"/>
      <c r="F41" s="1539"/>
      <c r="G41" s="1539"/>
      <c r="H41" s="577"/>
    </row>
    <row r="42" spans="1:9" ht="15.6">
      <c r="A42" s="1340" t="s">
        <v>843</v>
      </c>
      <c r="B42" s="593" t="s">
        <v>381</v>
      </c>
      <c r="C42" s="577"/>
      <c r="D42" s="584"/>
      <c r="E42" s="584"/>
      <c r="F42" s="586"/>
      <c r="G42" s="586"/>
      <c r="H42" s="577"/>
    </row>
    <row r="43" spans="1:9" ht="15.6">
      <c r="A43" s="1340" t="s">
        <v>844</v>
      </c>
      <c r="B43" s="593" t="s">
        <v>382</v>
      </c>
      <c r="C43" s="577"/>
      <c r="D43" s="584"/>
      <c r="E43" s="584"/>
      <c r="F43" s="586"/>
      <c r="G43" s="586"/>
      <c r="H43" s="577"/>
    </row>
    <row r="44" spans="1:9" ht="15.6">
      <c r="A44" s="1340" t="s">
        <v>845</v>
      </c>
      <c r="B44" s="593" t="s">
        <v>383</v>
      </c>
      <c r="C44" s="577"/>
      <c r="D44" s="584"/>
      <c r="E44" s="584"/>
      <c r="F44" s="586"/>
      <c r="G44" s="586"/>
      <c r="H44" s="577"/>
    </row>
    <row r="45" spans="1:9" ht="15.6">
      <c r="A45" s="1340" t="s">
        <v>868</v>
      </c>
      <c r="B45" s="1304" t="s">
        <v>811</v>
      </c>
      <c r="C45" s="1304"/>
      <c r="D45" s="1304"/>
      <c r="E45" s="1304"/>
      <c r="F45" s="1304"/>
      <c r="G45" s="1304"/>
      <c r="H45" s="578"/>
    </row>
    <row r="46" spans="1:9" ht="35.1" customHeight="1">
      <c r="B46" s="591"/>
      <c r="C46" s="591"/>
      <c r="D46" s="591"/>
      <c r="E46" s="591"/>
      <c r="F46" s="591"/>
      <c r="G46" s="591"/>
      <c r="H46" s="578"/>
    </row>
    <row r="47" spans="1:9" s="780" customFormat="1" ht="24.9" customHeight="1">
      <c r="A47" s="1342"/>
      <c r="B47" s="1535" t="str">
        <f>+B1</f>
        <v>New York Transco LLC</v>
      </c>
      <c r="C47" s="1536"/>
      <c r="D47" s="1536"/>
      <c r="E47" s="1536"/>
      <c r="F47" s="1536"/>
      <c r="G47" s="1536"/>
      <c r="H47" s="1536"/>
      <c r="I47" s="781"/>
    </row>
    <row r="48" spans="1:9" s="780" customFormat="1" ht="24.9" customHeight="1">
      <c r="A48" s="1342"/>
      <c r="B48" s="1535" t="s">
        <v>389</v>
      </c>
      <c r="C48" s="1535"/>
      <c r="D48" s="1535"/>
      <c r="E48" s="1535"/>
      <c r="F48" s="1535"/>
      <c r="G48" s="1535"/>
      <c r="H48" s="1535"/>
      <c r="I48" s="781"/>
    </row>
    <row r="49" spans="1:9" s="780" customFormat="1" ht="24.9" customHeight="1">
      <c r="A49" s="1342"/>
      <c r="B49" s="1541" t="s">
        <v>160</v>
      </c>
      <c r="C49" s="1541"/>
      <c r="D49" s="1541"/>
      <c r="E49" s="1541"/>
      <c r="F49" s="1541"/>
      <c r="G49" s="1541"/>
      <c r="H49" s="1541"/>
      <c r="I49" s="781"/>
    </row>
    <row r="50" spans="1:9" s="550" customFormat="1" ht="24.9" customHeight="1">
      <c r="A50" s="1341"/>
      <c r="B50" s="783"/>
      <c r="C50" s="783"/>
      <c r="D50" s="783"/>
      <c r="E50" s="783"/>
      <c r="F50" s="783"/>
      <c r="G50" s="783"/>
      <c r="H50" s="783"/>
      <c r="I50" s="555"/>
    </row>
    <row r="51" spans="1:9" s="550" customFormat="1" ht="24.9" customHeight="1">
      <c r="A51" s="1341"/>
      <c r="B51" s="595" t="s">
        <v>100</v>
      </c>
      <c r="C51" s="595" t="s">
        <v>101</v>
      </c>
      <c r="D51" s="595" t="s">
        <v>102</v>
      </c>
      <c r="E51" s="595" t="s">
        <v>103</v>
      </c>
      <c r="F51" s="595" t="s">
        <v>104</v>
      </c>
      <c r="G51" s="595" t="s">
        <v>105</v>
      </c>
      <c r="H51" s="595" t="s">
        <v>106</v>
      </c>
      <c r="I51" s="555"/>
    </row>
    <row r="52" spans="1:9" s="550" customFormat="1" ht="24.9" customHeight="1">
      <c r="A52" s="1341"/>
      <c r="B52" s="560"/>
      <c r="C52" s="595" t="s">
        <v>42</v>
      </c>
      <c r="D52" s="595" t="s">
        <v>373</v>
      </c>
      <c r="E52" s="594"/>
      <c r="F52" s="594"/>
      <c r="G52" s="594"/>
      <c r="H52" s="560"/>
      <c r="I52" s="555"/>
    </row>
    <row r="53" spans="1:9" s="550" customFormat="1" ht="24.9" customHeight="1">
      <c r="A53" s="1341" t="s">
        <v>846</v>
      </c>
      <c r="B53" s="584" t="s">
        <v>363</v>
      </c>
      <c r="C53" s="595"/>
      <c r="D53" s="595" t="s">
        <v>374</v>
      </c>
      <c r="E53" s="595" t="s">
        <v>46</v>
      </c>
      <c r="F53" s="595" t="s">
        <v>361</v>
      </c>
      <c r="G53" s="595" t="s">
        <v>359</v>
      </c>
      <c r="H53" s="560"/>
      <c r="I53" s="555"/>
    </row>
    <row r="54" spans="1:9" s="550" customFormat="1" ht="24.9" customHeight="1">
      <c r="A54" s="1341"/>
      <c r="B54" s="593"/>
      <c r="C54" s="595"/>
      <c r="D54" s="595" t="s">
        <v>362</v>
      </c>
      <c r="E54" s="595" t="s">
        <v>362</v>
      </c>
      <c r="F54" s="595" t="s">
        <v>362</v>
      </c>
      <c r="G54" s="595" t="s">
        <v>362</v>
      </c>
      <c r="H54" s="595" t="s">
        <v>375</v>
      </c>
      <c r="I54" s="555"/>
    </row>
    <row r="55" spans="1:9" ht="35.1" customHeight="1">
      <c r="A55" s="1340" t="s">
        <v>880</v>
      </c>
      <c r="B55" s="569" t="s">
        <v>1022</v>
      </c>
      <c r="C55" s="566"/>
      <c r="D55" s="567"/>
      <c r="E55" s="567">
        <f>-ROUND((('2 - Cost Support '!F19+'2 - Cost Support '!F51)*0.0375+'2 - Cost Support '!F67*0.2-'Appendix A'!E158)*'Appendix A'!E171,0)</f>
        <v>-2513459</v>
      </c>
      <c r="F55" s="567"/>
      <c r="G55" s="567"/>
      <c r="H55" s="568"/>
      <c r="I55" s="553"/>
    </row>
    <row r="56" spans="1:9" ht="35.1" customHeight="1">
      <c r="A56" s="1340" t="s">
        <v>881</v>
      </c>
      <c r="B56" s="569"/>
      <c r="C56" s="566"/>
      <c r="D56" s="567"/>
      <c r="E56" s="567"/>
      <c r="F56" s="567"/>
      <c r="G56" s="567"/>
      <c r="H56" s="568"/>
      <c r="I56" s="553"/>
    </row>
    <row r="57" spans="1:9" ht="35.1" customHeight="1">
      <c r="A57" s="1340" t="s">
        <v>882</v>
      </c>
      <c r="B57" s="569"/>
      <c r="C57" s="566"/>
      <c r="D57" s="567"/>
      <c r="E57" s="567"/>
      <c r="F57" s="567"/>
      <c r="G57" s="567"/>
      <c r="H57" s="568"/>
      <c r="I57" s="553"/>
    </row>
    <row r="58" spans="1:9" ht="35.1" customHeight="1">
      <c r="A58" s="1340" t="s">
        <v>416</v>
      </c>
      <c r="B58" s="569"/>
      <c r="C58" s="566"/>
      <c r="D58" s="567"/>
      <c r="E58" s="567"/>
      <c r="F58" s="567"/>
      <c r="G58" s="567"/>
      <c r="H58" s="568"/>
      <c r="I58" s="553"/>
    </row>
    <row r="59" spans="1:9" ht="35.1" customHeight="1">
      <c r="A59" s="1340" t="s">
        <v>416</v>
      </c>
      <c r="B59" s="569"/>
      <c r="C59" s="567"/>
      <c r="D59" s="567"/>
      <c r="E59" s="567"/>
      <c r="F59" s="567"/>
      <c r="G59" s="567"/>
      <c r="H59" s="568"/>
      <c r="I59" s="553"/>
    </row>
    <row r="60" spans="1:9" ht="35.1" customHeight="1">
      <c r="A60" s="1340" t="s">
        <v>416</v>
      </c>
      <c r="B60" s="569"/>
      <c r="C60" s="567"/>
      <c r="D60" s="567"/>
      <c r="E60" s="567"/>
      <c r="F60" s="567"/>
      <c r="G60" s="567"/>
      <c r="H60" s="568"/>
      <c r="I60" s="553"/>
    </row>
    <row r="61" spans="1:9" ht="35.1" customHeight="1">
      <c r="A61" s="1340" t="s">
        <v>416</v>
      </c>
      <c r="B61" s="580"/>
      <c r="C61" s="581"/>
      <c r="D61" s="581"/>
      <c r="E61" s="581"/>
      <c r="F61" s="581"/>
      <c r="G61" s="581"/>
      <c r="H61" s="568"/>
      <c r="I61" s="553"/>
    </row>
    <row r="62" spans="1:9" ht="35.1" customHeight="1">
      <c r="A62" s="1340" t="s">
        <v>416</v>
      </c>
      <c r="B62" s="582"/>
      <c r="C62" s="581"/>
      <c r="D62" s="581"/>
      <c r="E62" s="581"/>
      <c r="F62" s="581"/>
      <c r="G62" s="581"/>
      <c r="H62" s="568"/>
      <c r="I62" s="553"/>
    </row>
    <row r="63" spans="1:9" ht="35.1" customHeight="1">
      <c r="A63" s="1340" t="s">
        <v>416</v>
      </c>
      <c r="B63" s="582"/>
      <c r="C63" s="581"/>
      <c r="D63" s="581"/>
      <c r="E63" s="581"/>
      <c r="F63" s="581"/>
      <c r="G63" s="581"/>
      <c r="H63" s="568"/>
      <c r="I63" s="553"/>
    </row>
    <row r="64" spans="1:9" ht="35.1" customHeight="1">
      <c r="A64" s="1340" t="s">
        <v>848</v>
      </c>
      <c r="B64" s="604" t="s">
        <v>384</v>
      </c>
      <c r="C64" s="583">
        <f>SUBTOTAL(9,C55:C63)</f>
        <v>0</v>
      </c>
      <c r="D64" s="583">
        <f>SUM(D55:D63)</f>
        <v>0</v>
      </c>
      <c r="E64" s="583">
        <f>SUM(E55:E63)</f>
        <v>-2513459</v>
      </c>
      <c r="F64" s="583">
        <f>SUM(F55:F63)</f>
        <v>0</v>
      </c>
      <c r="G64" s="583">
        <f>SUM(G55:G63)</f>
        <v>0</v>
      </c>
      <c r="H64" s="571"/>
      <c r="I64" s="553"/>
    </row>
    <row r="65" spans="1:9" ht="35.1" customHeight="1">
      <c r="A65" s="1340" t="s">
        <v>849</v>
      </c>
      <c r="B65" s="605" t="s">
        <v>377</v>
      </c>
      <c r="C65" s="572"/>
      <c r="D65" s="572"/>
      <c r="E65" s="572"/>
      <c r="F65" s="572"/>
      <c r="G65" s="572"/>
      <c r="H65" s="568"/>
      <c r="I65" s="553"/>
    </row>
    <row r="66" spans="1:9" ht="35.1" customHeight="1">
      <c r="A66" s="1340" t="s">
        <v>850</v>
      </c>
      <c r="B66" s="606" t="s">
        <v>378</v>
      </c>
      <c r="C66" s="575"/>
      <c r="D66" s="575"/>
      <c r="E66" s="575"/>
      <c r="F66" s="575"/>
      <c r="G66" s="575"/>
      <c r="H66" s="576"/>
      <c r="I66" s="553"/>
    </row>
    <row r="67" spans="1:9" ht="35.1" customHeight="1" thickBot="1">
      <c r="A67" s="1340" t="s">
        <v>851</v>
      </c>
      <c r="B67" s="600" t="s">
        <v>42</v>
      </c>
      <c r="C67" s="601">
        <f>+C64-C65-C66</f>
        <v>0</v>
      </c>
      <c r="D67" s="601">
        <f>+D64-D65-D66</f>
        <v>0</v>
      </c>
      <c r="E67" s="601">
        <f>+E64-E65-E66</f>
        <v>-2513459</v>
      </c>
      <c r="F67" s="601">
        <f>+F64-F65-F66</f>
        <v>0</v>
      </c>
      <c r="G67" s="601">
        <f>+G64-G65-G66</f>
        <v>0</v>
      </c>
      <c r="H67" s="602"/>
      <c r="I67" s="553"/>
    </row>
    <row r="68" spans="1:9" ht="35.1" customHeight="1" thickTop="1">
      <c r="B68" s="579"/>
      <c r="C68" s="577"/>
      <c r="D68" s="584"/>
      <c r="E68" s="585"/>
      <c r="F68" s="586"/>
      <c r="G68" s="587"/>
      <c r="H68" s="578"/>
      <c r="I68" s="553"/>
    </row>
    <row r="69" spans="1:9" ht="35.1" customHeight="1">
      <c r="B69" s="584" t="s">
        <v>385</v>
      </c>
      <c r="C69" s="584"/>
      <c r="D69" s="586"/>
      <c r="E69" s="587"/>
      <c r="F69" s="577"/>
      <c r="G69" s="578"/>
      <c r="H69" s="577"/>
    </row>
    <row r="70" spans="1:9" ht="15.6">
      <c r="A70" s="1340" t="s">
        <v>852</v>
      </c>
      <c r="B70" s="783" t="s">
        <v>380</v>
      </c>
      <c r="C70" s="1304"/>
      <c r="D70" s="1304"/>
      <c r="E70" s="1304"/>
      <c r="F70" s="1304"/>
      <c r="G70" s="1304"/>
      <c r="H70" s="577"/>
    </row>
    <row r="71" spans="1:9" ht="15.6">
      <c r="A71" s="1340" t="s">
        <v>853</v>
      </c>
      <c r="B71" s="593" t="s">
        <v>381</v>
      </c>
      <c r="C71" s="1304"/>
      <c r="D71" s="783"/>
      <c r="E71" s="783"/>
      <c r="F71" s="1277"/>
      <c r="G71" s="1277"/>
      <c r="H71" s="577"/>
    </row>
    <row r="72" spans="1:9" ht="15.6">
      <c r="A72" s="1340" t="s">
        <v>854</v>
      </c>
      <c r="B72" s="593" t="s">
        <v>382</v>
      </c>
      <c r="C72" s="1304"/>
      <c r="D72" s="783"/>
      <c r="E72" s="783"/>
      <c r="F72" s="1277"/>
      <c r="G72" s="1277"/>
      <c r="H72" s="577"/>
    </row>
    <row r="73" spans="1:9" ht="15.6">
      <c r="A73" s="1340" t="s">
        <v>855</v>
      </c>
      <c r="B73" s="593" t="s">
        <v>383</v>
      </c>
      <c r="C73" s="1304"/>
      <c r="D73" s="783"/>
      <c r="E73" s="783"/>
      <c r="F73" s="1277"/>
      <c r="G73" s="1277"/>
      <c r="H73" s="577"/>
    </row>
    <row r="74" spans="1:9" ht="15.6">
      <c r="A74" s="1340" t="s">
        <v>872</v>
      </c>
      <c r="B74" s="1304" t="s">
        <v>811</v>
      </c>
      <c r="C74" s="1304"/>
      <c r="D74" s="1304"/>
      <c r="E74" s="1304"/>
      <c r="F74" s="1304"/>
      <c r="G74" s="1304"/>
      <c r="H74" s="578"/>
    </row>
    <row r="75" spans="1:9" s="780" customFormat="1" ht="24.9" customHeight="1">
      <c r="A75" s="1342"/>
      <c r="B75" s="1535" t="str">
        <f>+B47</f>
        <v>New York Transco LLC</v>
      </c>
      <c r="C75" s="1536"/>
      <c r="D75" s="1536"/>
      <c r="E75" s="1536"/>
      <c r="F75" s="1536"/>
      <c r="G75" s="1536"/>
      <c r="H75" s="1536"/>
      <c r="I75" s="781"/>
    </row>
    <row r="76" spans="1:9" s="780" customFormat="1" ht="24.9" customHeight="1">
      <c r="A76" s="1342"/>
      <c r="B76" s="1535" t="s">
        <v>389</v>
      </c>
      <c r="C76" s="1535"/>
      <c r="D76" s="1535"/>
      <c r="E76" s="1535"/>
      <c r="F76" s="1535"/>
      <c r="G76" s="1535"/>
      <c r="H76" s="1535"/>
      <c r="I76" s="781"/>
    </row>
    <row r="77" spans="1:9" s="780" customFormat="1" ht="24.9" customHeight="1">
      <c r="A77" s="1342"/>
      <c r="B77" s="1541" t="s">
        <v>160</v>
      </c>
      <c r="C77" s="1541"/>
      <c r="D77" s="1541"/>
      <c r="E77" s="1541"/>
      <c r="F77" s="1541"/>
      <c r="G77" s="1541"/>
      <c r="H77" s="1541"/>
      <c r="I77" s="781"/>
    </row>
    <row r="78" spans="1:9" s="550" customFormat="1" ht="24.9" customHeight="1">
      <c r="A78" s="1341"/>
      <c r="B78" s="593"/>
      <c r="C78" s="584"/>
      <c r="D78" s="584"/>
      <c r="E78" s="584"/>
      <c r="F78" s="584"/>
      <c r="G78" s="584"/>
      <c r="H78" s="578"/>
      <c r="I78" s="555"/>
    </row>
    <row r="79" spans="1:9" s="550" customFormat="1" ht="35.1" customHeight="1">
      <c r="A79" s="1341"/>
      <c r="B79" s="595" t="s">
        <v>100</v>
      </c>
      <c r="C79" s="595" t="s">
        <v>101</v>
      </c>
      <c r="D79" s="595" t="s">
        <v>102</v>
      </c>
      <c r="E79" s="595" t="s">
        <v>103</v>
      </c>
      <c r="F79" s="595" t="s">
        <v>104</v>
      </c>
      <c r="G79" s="595" t="s">
        <v>105</v>
      </c>
      <c r="H79" s="595" t="s">
        <v>106</v>
      </c>
      <c r="I79" s="555"/>
    </row>
    <row r="80" spans="1:9" s="550" customFormat="1" ht="30" customHeight="1">
      <c r="A80" s="1341"/>
      <c r="B80" s="584"/>
      <c r="C80" s="595" t="s">
        <v>42</v>
      </c>
      <c r="D80" s="595" t="s">
        <v>373</v>
      </c>
      <c r="E80" s="594"/>
      <c r="F80" s="594"/>
      <c r="G80" s="594"/>
      <c r="H80" s="560"/>
      <c r="I80" s="555"/>
    </row>
    <row r="81" spans="1:9" s="550" customFormat="1" ht="30" customHeight="1">
      <c r="A81" s="1341" t="s">
        <v>856</v>
      </c>
      <c r="B81" s="584" t="s">
        <v>391</v>
      </c>
      <c r="C81" s="595"/>
      <c r="D81" s="595" t="s">
        <v>374</v>
      </c>
      <c r="E81" s="595" t="s">
        <v>46</v>
      </c>
      <c r="F81" s="595" t="s">
        <v>361</v>
      </c>
      <c r="G81" s="595" t="s">
        <v>359</v>
      </c>
      <c r="H81" s="560"/>
      <c r="I81" s="555"/>
    </row>
    <row r="82" spans="1:9" s="550" customFormat="1" ht="30" customHeight="1">
      <c r="A82" s="1341"/>
      <c r="B82" s="584"/>
      <c r="C82" s="595"/>
      <c r="D82" s="595" t="s">
        <v>362</v>
      </c>
      <c r="E82" s="595" t="s">
        <v>362</v>
      </c>
      <c r="F82" s="595" t="s">
        <v>362</v>
      </c>
      <c r="G82" s="595" t="s">
        <v>362</v>
      </c>
      <c r="H82" s="560"/>
      <c r="I82" s="555"/>
    </row>
    <row r="83" spans="1:9" ht="35.1" customHeight="1">
      <c r="A83" s="1340" t="s">
        <v>883</v>
      </c>
      <c r="B83" s="588"/>
      <c r="C83" s="566"/>
      <c r="D83" s="567"/>
      <c r="E83" s="567"/>
      <c r="F83" s="567"/>
      <c r="G83" s="567"/>
      <c r="H83" s="568"/>
      <c r="I83" s="553"/>
    </row>
    <row r="84" spans="1:9" ht="35.1" customHeight="1">
      <c r="A84" s="1340" t="s">
        <v>884</v>
      </c>
      <c r="B84" s="569"/>
      <c r="C84" s="566"/>
      <c r="D84" s="567"/>
      <c r="E84" s="567"/>
      <c r="F84" s="567"/>
      <c r="G84" s="567"/>
      <c r="H84" s="568"/>
      <c r="I84" s="553"/>
    </row>
    <row r="85" spans="1:9" ht="35.1" customHeight="1">
      <c r="A85" s="1340" t="s">
        <v>970</v>
      </c>
      <c r="B85" s="569"/>
      <c r="C85" s="566"/>
      <c r="D85" s="567"/>
      <c r="E85" s="567"/>
      <c r="F85" s="567"/>
      <c r="G85" s="567"/>
      <c r="H85" s="568"/>
      <c r="I85" s="553"/>
    </row>
    <row r="86" spans="1:9" ht="35.1" customHeight="1">
      <c r="A86" s="1340" t="s">
        <v>416</v>
      </c>
      <c r="B86" s="569"/>
      <c r="C86" s="566"/>
      <c r="D86" s="567"/>
      <c r="E86" s="567"/>
      <c r="F86" s="567"/>
      <c r="G86" s="567"/>
      <c r="H86" s="568"/>
      <c r="I86" s="553"/>
    </row>
    <row r="87" spans="1:9" ht="35.1" customHeight="1">
      <c r="A87" s="1340" t="s">
        <v>416</v>
      </c>
      <c r="B87" s="569"/>
      <c r="C87" s="567"/>
      <c r="D87" s="581"/>
      <c r="E87" s="567"/>
      <c r="F87" s="567"/>
      <c r="G87" s="567"/>
      <c r="H87" s="568"/>
      <c r="I87" s="553"/>
    </row>
    <row r="88" spans="1:9" ht="35.1" customHeight="1">
      <c r="A88" s="1340" t="s">
        <v>416</v>
      </c>
      <c r="B88" s="569"/>
      <c r="C88" s="567"/>
      <c r="D88" s="581"/>
      <c r="E88" s="567"/>
      <c r="F88" s="567"/>
      <c r="G88" s="567"/>
      <c r="H88" s="568"/>
      <c r="I88" s="553"/>
    </row>
    <row r="89" spans="1:9" ht="35.1" customHeight="1">
      <c r="A89" s="1340" t="s">
        <v>416</v>
      </c>
      <c r="B89" s="569"/>
      <c r="C89" s="567"/>
      <c r="D89" s="581"/>
      <c r="E89" s="567"/>
      <c r="F89" s="567"/>
      <c r="G89" s="567"/>
      <c r="H89" s="568"/>
      <c r="I89" s="553"/>
    </row>
    <row r="90" spans="1:9" ht="35.1" customHeight="1">
      <c r="A90" s="1340" t="s">
        <v>416</v>
      </c>
      <c r="B90" s="569"/>
      <c r="C90" s="567"/>
      <c r="D90" s="570"/>
      <c r="E90" s="567"/>
      <c r="F90" s="567"/>
      <c r="G90" s="567"/>
      <c r="H90" s="568"/>
      <c r="I90" s="553"/>
    </row>
    <row r="91" spans="1:9" ht="35.1" customHeight="1">
      <c r="A91" s="1340" t="s">
        <v>416</v>
      </c>
      <c r="B91" s="569"/>
      <c r="C91" s="567"/>
      <c r="D91" s="567"/>
      <c r="E91" s="567"/>
      <c r="F91" s="567"/>
      <c r="G91" s="567"/>
      <c r="H91" s="568"/>
      <c r="I91" s="553"/>
    </row>
    <row r="92" spans="1:9" ht="35.1" customHeight="1">
      <c r="A92" s="1340" t="s">
        <v>416</v>
      </c>
      <c r="B92" s="569"/>
      <c r="C92" s="567"/>
      <c r="D92" s="567"/>
      <c r="E92" s="567"/>
      <c r="F92" s="567"/>
      <c r="G92" s="567"/>
      <c r="H92" s="568"/>
      <c r="I92" s="553"/>
    </row>
    <row r="93" spans="1:9" ht="20.100000000000001" customHeight="1">
      <c r="A93" s="1340" t="s">
        <v>858</v>
      </c>
      <c r="B93" s="607" t="s">
        <v>386</v>
      </c>
      <c r="C93" s="597">
        <f>SUBTOTAL(9,C83:C92)</f>
        <v>0</v>
      </c>
      <c r="D93" s="597">
        <f>SUM(D83:D92)</f>
        <v>0</v>
      </c>
      <c r="E93" s="597">
        <f>SUM(E83:E92)</f>
        <v>0</v>
      </c>
      <c r="F93" s="597">
        <f>SUM(F83:F92)</f>
        <v>0</v>
      </c>
      <c r="G93" s="597">
        <f>SUM(G83:G92)</f>
        <v>0</v>
      </c>
      <c r="H93" s="568"/>
      <c r="I93" s="553"/>
    </row>
    <row r="94" spans="1:9" ht="20.100000000000001" customHeight="1">
      <c r="A94" s="1340" t="s">
        <v>859</v>
      </c>
      <c r="B94" s="608" t="s">
        <v>377</v>
      </c>
      <c r="C94" s="573"/>
      <c r="D94" s="573"/>
      <c r="E94" s="573"/>
      <c r="F94" s="573"/>
      <c r="G94" s="573"/>
      <c r="H94" s="568"/>
      <c r="I94" s="553"/>
    </row>
    <row r="95" spans="1:9" ht="20.100000000000001" customHeight="1">
      <c r="A95" s="1340" t="s">
        <v>860</v>
      </c>
      <c r="B95" s="609" t="s">
        <v>378</v>
      </c>
      <c r="C95" s="589"/>
      <c r="D95" s="589"/>
      <c r="E95" s="589"/>
      <c r="F95" s="589"/>
      <c r="G95" s="589"/>
      <c r="H95" s="576"/>
      <c r="I95" s="553"/>
    </row>
    <row r="96" spans="1:9" ht="20.100000000000001" customHeight="1" thickBot="1">
      <c r="A96" s="1340" t="s">
        <v>861</v>
      </c>
      <c r="B96" s="600" t="s">
        <v>42</v>
      </c>
      <c r="C96" s="610">
        <f>+C93-C94-C95</f>
        <v>0</v>
      </c>
      <c r="D96" s="610">
        <f>+D93-D94-D95</f>
        <v>0</v>
      </c>
      <c r="E96" s="610">
        <f>+E93-E94-E95</f>
        <v>0</v>
      </c>
      <c r="F96" s="610">
        <f>+F93-F94-F95</f>
        <v>0</v>
      </c>
      <c r="G96" s="610">
        <f>+G93-G94-G95</f>
        <v>0</v>
      </c>
      <c r="H96" s="602"/>
      <c r="I96" s="553"/>
    </row>
    <row r="97" spans="1:9" ht="35.1" customHeight="1" thickTop="1">
      <c r="B97" s="611" t="s">
        <v>387</v>
      </c>
      <c r="C97" s="584"/>
      <c r="D97" s="584"/>
      <c r="E97" s="586"/>
      <c r="F97" s="586"/>
      <c r="G97" s="577"/>
      <c r="H97" s="590"/>
      <c r="I97" s="553"/>
    </row>
    <row r="98" spans="1:9" ht="20.100000000000001" customHeight="1">
      <c r="A98" s="1340" t="s">
        <v>862</v>
      </c>
      <c r="B98" s="1544" t="s">
        <v>380</v>
      </c>
      <c r="C98" s="1539"/>
      <c r="D98" s="1539"/>
      <c r="E98" s="1539"/>
      <c r="F98" s="1539"/>
      <c r="G98" s="1539"/>
      <c r="H98" s="577"/>
    </row>
    <row r="99" spans="1:9" ht="20.100000000000001" customHeight="1">
      <c r="A99" s="1340" t="s">
        <v>863</v>
      </c>
      <c r="B99" s="593" t="s">
        <v>381</v>
      </c>
      <c r="C99" s="577"/>
      <c r="D99" s="584"/>
      <c r="E99" s="584"/>
      <c r="F99" s="586"/>
      <c r="G99" s="586"/>
      <c r="H99" s="577"/>
    </row>
    <row r="100" spans="1:9" ht="20.100000000000001" customHeight="1">
      <c r="A100" s="1340" t="s">
        <v>865</v>
      </c>
      <c r="B100" s="593" t="s">
        <v>382</v>
      </c>
      <c r="C100" s="577"/>
      <c r="D100" s="584"/>
      <c r="E100" s="584"/>
      <c r="F100" s="586"/>
      <c r="G100" s="586"/>
      <c r="H100" s="577"/>
    </row>
    <row r="101" spans="1:9" ht="20.100000000000001" customHeight="1">
      <c r="A101" s="1340" t="s">
        <v>876</v>
      </c>
      <c r="B101" s="593" t="s">
        <v>383</v>
      </c>
      <c r="C101" s="577"/>
      <c r="D101" s="584"/>
      <c r="E101" s="584"/>
      <c r="F101" s="586"/>
      <c r="G101" s="586"/>
      <c r="H101" s="577"/>
    </row>
    <row r="102" spans="1:9" ht="15.6">
      <c r="A102" s="1340" t="s">
        <v>877</v>
      </c>
      <c r="B102" s="1539" t="s">
        <v>811</v>
      </c>
      <c r="C102" s="1539"/>
      <c r="D102" s="1539"/>
      <c r="E102" s="1539"/>
      <c r="F102" s="1539"/>
      <c r="G102" s="1539"/>
      <c r="H102" s="577"/>
    </row>
    <row r="103" spans="1:9" ht="15.6">
      <c r="B103" s="579"/>
      <c r="C103" s="577"/>
      <c r="D103" s="577"/>
      <c r="E103" s="577"/>
      <c r="F103" s="577"/>
      <c r="G103" s="577"/>
      <c r="H103" s="577"/>
      <c r="I103" s="553"/>
    </row>
    <row r="104" spans="1:9" ht="15.75" customHeight="1">
      <c r="B104" s="592"/>
      <c r="C104" s="592"/>
      <c r="D104" s="592"/>
      <c r="E104" s="592"/>
      <c r="F104" s="592"/>
      <c r="G104" s="592"/>
      <c r="H104" s="592"/>
      <c r="I104" s="553"/>
    </row>
    <row r="105" spans="1:9" ht="15.6">
      <c r="B105" s="1540"/>
      <c r="C105" s="1540"/>
      <c r="D105" s="1540"/>
      <c r="E105" s="1540"/>
      <c r="F105" s="1540"/>
      <c r="G105" s="1540"/>
      <c r="H105" s="1540"/>
      <c r="I105" s="554"/>
    </row>
    <row r="106" spans="1:9" ht="15.6">
      <c r="B106" s="584"/>
      <c r="C106" s="584"/>
      <c r="D106" s="584"/>
      <c r="E106" s="584"/>
      <c r="F106" s="584"/>
      <c r="G106" s="584"/>
      <c r="H106" s="584"/>
      <c r="I106" s="553"/>
    </row>
    <row r="107" spans="1:9" ht="15.6">
      <c r="B107" s="584"/>
      <c r="C107" s="584"/>
      <c r="D107" s="584"/>
      <c r="E107" s="584"/>
      <c r="F107" s="584"/>
      <c r="G107" s="584"/>
      <c r="H107" s="584"/>
      <c r="I107" s="553"/>
    </row>
    <row r="108" spans="1:9" ht="15.75" customHeight="1">
      <c r="B108" s="584"/>
      <c r="C108" s="584"/>
      <c r="D108" s="584"/>
      <c r="E108" s="584"/>
      <c r="F108" s="584"/>
      <c r="G108" s="584"/>
      <c r="H108" s="584"/>
      <c r="I108" s="553"/>
    </row>
    <row r="109" spans="1:9" ht="15.6">
      <c r="B109" s="584"/>
      <c r="C109" s="584"/>
      <c r="D109" s="612"/>
      <c r="E109" s="612"/>
      <c r="F109" s="612"/>
      <c r="G109" s="612"/>
      <c r="H109" s="612"/>
      <c r="I109" s="556"/>
    </row>
    <row r="110" spans="1:9" ht="15.6">
      <c r="B110" s="584"/>
      <c r="C110" s="584"/>
      <c r="D110" s="612"/>
      <c r="E110" s="612"/>
      <c r="F110" s="612"/>
      <c r="G110" s="612"/>
      <c r="H110" s="612"/>
      <c r="I110" s="556"/>
    </row>
    <row r="111" spans="1:9" ht="15.6">
      <c r="B111" s="593"/>
      <c r="C111" s="584"/>
      <c r="D111" s="586"/>
      <c r="E111" s="586"/>
      <c r="F111" s="584"/>
      <c r="G111" s="584"/>
      <c r="H111" s="584"/>
      <c r="I111" s="553"/>
    </row>
    <row r="112" spans="1:9" ht="15.6">
      <c r="B112" s="593"/>
      <c r="C112" s="584"/>
      <c r="D112" s="162"/>
      <c r="E112" s="162"/>
      <c r="F112" s="584"/>
      <c r="G112" s="584"/>
      <c r="H112" s="584"/>
      <c r="I112" s="553"/>
    </row>
    <row r="113" spans="2:9" ht="15.6">
      <c r="B113" s="593"/>
      <c r="C113" s="584"/>
      <c r="D113" s="162"/>
      <c r="E113" s="162"/>
      <c r="F113" s="584"/>
      <c r="G113" s="584"/>
      <c r="H113" s="584"/>
      <c r="I113" s="553"/>
    </row>
    <row r="114" spans="2:9" ht="15.6">
      <c r="B114" s="593"/>
      <c r="C114" s="584"/>
      <c r="D114" s="162"/>
      <c r="E114" s="162"/>
      <c r="F114" s="584"/>
      <c r="G114" s="584"/>
      <c r="H114" s="584"/>
      <c r="I114" s="553"/>
    </row>
    <row r="115" spans="2:9" ht="15.6">
      <c r="B115" s="593"/>
      <c r="C115" s="584"/>
      <c r="D115" s="162"/>
      <c r="E115" s="162"/>
      <c r="F115" s="584"/>
      <c r="G115" s="584"/>
      <c r="H115" s="584"/>
      <c r="I115" s="553"/>
    </row>
    <row r="116" spans="2:9" ht="15.6">
      <c r="B116" s="593"/>
      <c r="C116" s="584"/>
      <c r="D116" s="162"/>
      <c r="E116" s="162"/>
      <c r="F116" s="584"/>
      <c r="G116" s="584"/>
      <c r="H116" s="584"/>
      <c r="I116" s="553"/>
    </row>
    <row r="117" spans="2:9" ht="15.6">
      <c r="B117" s="593"/>
      <c r="C117" s="584"/>
      <c r="D117" s="162"/>
      <c r="E117" s="162"/>
      <c r="F117" s="584"/>
      <c r="G117" s="584"/>
      <c r="H117" s="584"/>
      <c r="I117" s="553"/>
    </row>
    <row r="118" spans="2:9" ht="15.6">
      <c r="B118" s="593"/>
      <c r="C118" s="584"/>
      <c r="D118" s="162"/>
      <c r="E118" s="162"/>
      <c r="F118" s="584"/>
      <c r="G118" s="584"/>
      <c r="H118" s="584"/>
      <c r="I118" s="553"/>
    </row>
    <row r="119" spans="2:9" ht="15.6">
      <c r="B119" s="593"/>
      <c r="C119" s="584"/>
      <c r="D119" s="162"/>
      <c r="E119" s="162"/>
      <c r="F119" s="584"/>
      <c r="G119" s="584"/>
      <c r="H119" s="584"/>
      <c r="I119" s="553"/>
    </row>
    <row r="120" spans="2:9" ht="15.6">
      <c r="B120" s="593"/>
      <c r="C120" s="584"/>
      <c r="D120" s="162"/>
      <c r="E120" s="162"/>
      <c r="F120" s="584"/>
      <c r="G120" s="584"/>
      <c r="H120" s="584"/>
      <c r="I120" s="553"/>
    </row>
    <row r="121" spans="2:9" ht="15.6">
      <c r="B121" s="593"/>
      <c r="C121" s="584"/>
      <c r="D121" s="162"/>
      <c r="E121" s="162"/>
      <c r="F121" s="584"/>
      <c r="G121" s="584"/>
      <c r="H121" s="584"/>
      <c r="I121" s="553"/>
    </row>
    <row r="122" spans="2:9" ht="15.6">
      <c r="B122" s="584"/>
      <c r="C122" s="584"/>
      <c r="D122" s="162"/>
      <c r="E122" s="162"/>
      <c r="F122" s="584"/>
      <c r="G122" s="584"/>
      <c r="H122" s="584"/>
      <c r="I122" s="553"/>
    </row>
    <row r="123" spans="2:9" ht="15.6">
      <c r="B123" s="593"/>
      <c r="C123" s="584"/>
      <c r="D123" s="162"/>
      <c r="E123" s="162"/>
      <c r="F123" s="584"/>
      <c r="G123" s="584"/>
      <c r="H123" s="584"/>
      <c r="I123" s="553"/>
    </row>
    <row r="124" spans="2:9" ht="15.6">
      <c r="B124" s="584"/>
      <c r="C124" s="584"/>
      <c r="D124" s="162"/>
      <c r="E124" s="162"/>
      <c r="F124" s="584"/>
      <c r="G124" s="584"/>
      <c r="H124" s="584"/>
      <c r="I124" s="553"/>
    </row>
    <row r="125" spans="2:9" ht="15.6">
      <c r="B125" s="593"/>
      <c r="C125" s="584"/>
      <c r="D125" s="584"/>
      <c r="E125" s="584"/>
      <c r="F125" s="584"/>
      <c r="G125" s="584"/>
      <c r="H125" s="584"/>
      <c r="I125" s="553"/>
    </row>
    <row r="126" spans="2:9" ht="15.6">
      <c r="B126" s="593"/>
      <c r="C126" s="584"/>
      <c r="D126" s="584"/>
      <c r="E126" s="584"/>
      <c r="F126" s="584"/>
      <c r="G126" s="584"/>
      <c r="H126" s="584"/>
    </row>
    <row r="127" spans="2:9" ht="15.6">
      <c r="B127" s="593"/>
      <c r="C127" s="584"/>
      <c r="D127" s="584"/>
      <c r="E127" s="584"/>
      <c r="F127" s="584"/>
      <c r="G127" s="584"/>
      <c r="H127" s="584"/>
    </row>
    <row r="128" spans="2:9" ht="15.6">
      <c r="B128" s="593"/>
      <c r="C128" s="584"/>
      <c r="D128" s="584"/>
      <c r="E128" s="584"/>
      <c r="F128" s="584"/>
      <c r="G128" s="584"/>
      <c r="H128" s="584"/>
    </row>
    <row r="129" spans="2:8" ht="15.6">
      <c r="B129" s="593"/>
      <c r="C129" s="584"/>
      <c r="D129" s="584"/>
      <c r="E129" s="584"/>
      <c r="F129" s="584"/>
      <c r="G129" s="584"/>
      <c r="H129" s="584"/>
    </row>
    <row r="130" spans="2:8" ht="15.6">
      <c r="B130" s="593"/>
      <c r="C130" s="584"/>
      <c r="D130" s="584"/>
      <c r="E130" s="584"/>
      <c r="F130" s="584"/>
      <c r="G130" s="584"/>
      <c r="H130" s="584"/>
    </row>
    <row r="131" spans="2:8" ht="15.6">
      <c r="B131" s="593"/>
      <c r="C131" s="584"/>
      <c r="D131" s="584"/>
      <c r="E131" s="584"/>
      <c r="F131" s="584"/>
      <c r="G131" s="584"/>
      <c r="H131" s="584"/>
    </row>
    <row r="132" spans="2:8" ht="15.6">
      <c r="B132" s="593"/>
      <c r="C132" s="584"/>
      <c r="D132" s="584"/>
      <c r="E132" s="584"/>
      <c r="F132" s="584"/>
      <c r="G132" s="584"/>
      <c r="H132" s="584"/>
    </row>
    <row r="133" spans="2:8" ht="15.6">
      <c r="B133" s="593"/>
      <c r="C133" s="584"/>
      <c r="D133" s="584"/>
      <c r="E133" s="584"/>
      <c r="F133" s="584"/>
      <c r="G133" s="584"/>
      <c r="H133" s="584"/>
    </row>
    <row r="134" spans="2:8" ht="15.6">
      <c r="B134" s="593"/>
      <c r="C134" s="584"/>
      <c r="D134" s="584"/>
      <c r="E134" s="584"/>
      <c r="F134" s="584"/>
      <c r="G134" s="584"/>
      <c r="H134" s="584"/>
    </row>
    <row r="135" spans="2:8" ht="15.6">
      <c r="B135" s="593"/>
      <c r="C135" s="584"/>
      <c r="D135" s="584"/>
      <c r="E135" s="584"/>
      <c r="F135" s="584"/>
      <c r="G135" s="584"/>
      <c r="H135" s="584"/>
    </row>
    <row r="136" spans="2:8" ht="15.6">
      <c r="B136" s="593"/>
      <c r="C136" s="584"/>
      <c r="D136" s="584"/>
      <c r="E136" s="584"/>
      <c r="F136" s="584"/>
      <c r="G136" s="584"/>
      <c r="H136" s="584"/>
    </row>
    <row r="137" spans="2:8" ht="15.6">
      <c r="B137" s="593"/>
      <c r="C137" s="584"/>
      <c r="D137" s="584"/>
      <c r="E137" s="584"/>
      <c r="F137" s="584"/>
      <c r="G137" s="584"/>
      <c r="H137" s="584"/>
    </row>
    <row r="138" spans="2:8" ht="15.6">
      <c r="B138" s="593"/>
      <c r="C138" s="584"/>
      <c r="D138" s="584"/>
      <c r="E138" s="584"/>
      <c r="F138" s="584"/>
      <c r="G138" s="584"/>
      <c r="H138" s="584"/>
    </row>
    <row r="139" spans="2:8" ht="15.6">
      <c r="B139" s="593"/>
      <c r="C139" s="584"/>
      <c r="D139" s="584"/>
      <c r="E139" s="584"/>
      <c r="F139" s="584"/>
      <c r="G139" s="584"/>
      <c r="H139" s="584"/>
    </row>
    <row r="140" spans="2:8" ht="15.6">
      <c r="B140" s="593"/>
      <c r="C140" s="584"/>
      <c r="D140" s="584"/>
      <c r="E140" s="584"/>
      <c r="F140" s="584"/>
      <c r="G140" s="584"/>
      <c r="H140" s="584"/>
    </row>
    <row r="141" spans="2:8" ht="15.6">
      <c r="B141" s="593"/>
      <c r="C141" s="584"/>
      <c r="D141" s="584"/>
      <c r="E141" s="584"/>
      <c r="F141" s="584"/>
      <c r="G141" s="584"/>
      <c r="H141" s="584"/>
    </row>
    <row r="142" spans="2:8" ht="15.6">
      <c r="B142" s="593"/>
      <c r="C142" s="584"/>
      <c r="D142" s="584"/>
      <c r="E142" s="584"/>
      <c r="F142" s="584"/>
      <c r="G142" s="584"/>
      <c r="H142" s="584"/>
    </row>
    <row r="143" spans="2:8" ht="15.6">
      <c r="B143" s="593"/>
      <c r="C143" s="584"/>
      <c r="D143" s="584"/>
      <c r="E143" s="584"/>
      <c r="F143" s="584"/>
      <c r="G143" s="584"/>
      <c r="H143" s="584"/>
    </row>
    <row r="144" spans="2:8" ht="15.6">
      <c r="B144" s="593"/>
      <c r="C144" s="584"/>
      <c r="D144" s="584"/>
      <c r="E144" s="584"/>
      <c r="F144" s="584"/>
      <c r="G144" s="584"/>
      <c r="H144" s="584"/>
    </row>
    <row r="145" spans="2:8" ht="15.6">
      <c r="B145" s="593"/>
      <c r="C145" s="584"/>
      <c r="D145" s="584"/>
      <c r="E145" s="584"/>
      <c r="F145" s="584"/>
      <c r="G145" s="584"/>
      <c r="H145" s="584"/>
    </row>
    <row r="146" spans="2:8" ht="15.6">
      <c r="B146" s="593"/>
      <c r="C146" s="584"/>
      <c r="D146" s="584"/>
      <c r="E146" s="584"/>
      <c r="F146" s="584"/>
      <c r="G146" s="584"/>
      <c r="H146" s="584"/>
    </row>
    <row r="147" spans="2:8" ht="15.6">
      <c r="B147" s="593"/>
      <c r="C147" s="584"/>
      <c r="D147" s="584"/>
      <c r="E147" s="584"/>
      <c r="F147" s="584"/>
      <c r="G147" s="584"/>
      <c r="H147" s="584"/>
    </row>
    <row r="148" spans="2:8" ht="15.6">
      <c r="B148" s="593"/>
      <c r="C148" s="584"/>
      <c r="D148" s="584"/>
      <c r="E148" s="584"/>
      <c r="F148" s="584"/>
      <c r="G148" s="584"/>
      <c r="H148" s="584"/>
    </row>
    <row r="149" spans="2:8" ht="15.6">
      <c r="B149" s="593"/>
      <c r="C149" s="584"/>
      <c r="D149" s="584"/>
      <c r="E149" s="584"/>
      <c r="F149" s="584"/>
      <c r="G149" s="584"/>
      <c r="H149" s="584"/>
    </row>
    <row r="150" spans="2:8" ht="15.6">
      <c r="B150" s="593"/>
      <c r="C150" s="584"/>
      <c r="D150" s="584"/>
      <c r="E150" s="584"/>
      <c r="F150" s="584"/>
      <c r="G150" s="584"/>
      <c r="H150" s="584"/>
    </row>
    <row r="151" spans="2:8" ht="15.6">
      <c r="B151" s="593"/>
      <c r="C151" s="584"/>
      <c r="D151" s="584"/>
      <c r="E151" s="584"/>
      <c r="F151" s="584"/>
      <c r="G151" s="584"/>
      <c r="H151" s="584"/>
    </row>
    <row r="152" spans="2:8" ht="15.6">
      <c r="B152" s="593"/>
      <c r="C152" s="584"/>
      <c r="D152" s="584"/>
      <c r="E152" s="584"/>
      <c r="F152" s="584"/>
      <c r="G152" s="584"/>
      <c r="H152" s="584"/>
    </row>
    <row r="153" spans="2:8" ht="15.6">
      <c r="B153" s="593"/>
      <c r="C153" s="584"/>
      <c r="D153" s="584"/>
      <c r="E153" s="584"/>
      <c r="F153" s="584"/>
      <c r="G153" s="584"/>
      <c r="H153" s="584"/>
    </row>
    <row r="154" spans="2:8" ht="15.6">
      <c r="B154" s="593"/>
      <c r="C154" s="584"/>
      <c r="D154" s="584"/>
      <c r="E154" s="584"/>
      <c r="F154" s="584"/>
      <c r="G154" s="584"/>
      <c r="H154" s="584"/>
    </row>
    <row r="155" spans="2:8" ht="15.6">
      <c r="B155" s="593"/>
      <c r="C155" s="584"/>
      <c r="D155" s="584"/>
      <c r="E155" s="584"/>
      <c r="F155" s="584"/>
      <c r="G155" s="584"/>
      <c r="H155" s="584"/>
    </row>
    <row r="156" spans="2:8" ht="15.6">
      <c r="B156" s="593"/>
      <c r="C156" s="584"/>
      <c r="D156" s="584"/>
      <c r="E156" s="584"/>
      <c r="F156" s="584"/>
      <c r="G156" s="584"/>
      <c r="H156" s="584"/>
    </row>
    <row r="157" spans="2:8" ht="15.6">
      <c r="B157" s="593"/>
      <c r="C157" s="584"/>
      <c r="D157" s="584"/>
      <c r="E157" s="584"/>
      <c r="F157" s="584"/>
      <c r="G157" s="584"/>
      <c r="H157" s="584"/>
    </row>
    <row r="158" spans="2:8" ht="15.6">
      <c r="B158" s="593"/>
      <c r="C158" s="584"/>
      <c r="D158" s="584"/>
      <c r="E158" s="584"/>
      <c r="F158" s="584"/>
      <c r="G158" s="584"/>
      <c r="H158" s="584"/>
    </row>
    <row r="159" spans="2:8" ht="15.6">
      <c r="B159" s="593"/>
      <c r="C159" s="584"/>
      <c r="D159" s="584"/>
      <c r="E159" s="584"/>
      <c r="F159" s="584"/>
      <c r="G159" s="584"/>
      <c r="H159" s="584"/>
    </row>
    <row r="160" spans="2:8" ht="15.6">
      <c r="B160" s="593"/>
      <c r="C160" s="584"/>
      <c r="D160" s="584"/>
      <c r="E160" s="584"/>
      <c r="F160" s="584"/>
      <c r="G160" s="584"/>
      <c r="H160" s="584"/>
    </row>
    <row r="161" spans="2:8" ht="15.6">
      <c r="B161" s="593"/>
      <c r="C161" s="584"/>
      <c r="D161" s="584"/>
      <c r="E161" s="584"/>
      <c r="F161" s="584"/>
      <c r="G161" s="584"/>
      <c r="H161" s="584"/>
    </row>
    <row r="162" spans="2:8" ht="15.6">
      <c r="B162" s="593"/>
      <c r="C162" s="584"/>
      <c r="D162" s="584"/>
      <c r="E162" s="584"/>
      <c r="F162" s="584"/>
      <c r="G162" s="584"/>
      <c r="H162" s="584"/>
    </row>
    <row r="163" spans="2:8" ht="15.6">
      <c r="B163" s="593"/>
      <c r="C163" s="584"/>
      <c r="D163" s="584"/>
      <c r="E163" s="584"/>
      <c r="F163" s="584"/>
      <c r="G163" s="584"/>
      <c r="H163" s="584"/>
    </row>
    <row r="164" spans="2:8" ht="15.6">
      <c r="B164" s="593"/>
      <c r="C164" s="584"/>
      <c r="D164" s="584"/>
      <c r="E164" s="584"/>
      <c r="F164" s="584"/>
      <c r="G164" s="584"/>
      <c r="H164" s="584"/>
    </row>
    <row r="165" spans="2:8" ht="15.6">
      <c r="B165" s="593"/>
      <c r="C165" s="584"/>
      <c r="D165" s="584"/>
      <c r="E165" s="584"/>
      <c r="F165" s="584"/>
      <c r="G165" s="584"/>
      <c r="H165" s="584"/>
    </row>
    <row r="166" spans="2:8" ht="15.6">
      <c r="B166" s="593"/>
      <c r="C166" s="584"/>
      <c r="D166" s="584"/>
      <c r="E166" s="584"/>
      <c r="F166" s="584"/>
      <c r="G166" s="584"/>
      <c r="H166" s="584"/>
    </row>
    <row r="167" spans="2:8" ht="15.6">
      <c r="B167" s="593"/>
      <c r="C167" s="584"/>
      <c r="D167" s="584"/>
      <c r="E167" s="584"/>
      <c r="F167" s="584"/>
      <c r="G167" s="584"/>
      <c r="H167" s="584"/>
    </row>
    <row r="168" spans="2:8" ht="15.6">
      <c r="B168" s="593"/>
      <c r="C168" s="584"/>
      <c r="D168" s="584"/>
      <c r="E168" s="584"/>
      <c r="F168" s="584"/>
      <c r="G168" s="584"/>
      <c r="H168" s="584"/>
    </row>
    <row r="169" spans="2:8" ht="15.6">
      <c r="B169" s="593"/>
      <c r="C169" s="584"/>
      <c r="D169" s="584"/>
      <c r="E169" s="584"/>
      <c r="F169" s="584"/>
      <c r="G169" s="584"/>
      <c r="H169" s="584"/>
    </row>
    <row r="170" spans="2:8" ht="15.6">
      <c r="B170" s="593"/>
      <c r="C170" s="584"/>
      <c r="D170" s="584"/>
      <c r="E170" s="584"/>
      <c r="F170" s="584"/>
      <c r="G170" s="584"/>
      <c r="H170" s="584"/>
    </row>
    <row r="171" spans="2:8" ht="15.6">
      <c r="B171" s="593"/>
      <c r="C171" s="584"/>
      <c r="D171" s="584"/>
      <c r="E171" s="584"/>
      <c r="F171" s="584"/>
      <c r="G171" s="584"/>
      <c r="H171" s="584"/>
    </row>
    <row r="172" spans="2:8" ht="15.6">
      <c r="B172" s="593"/>
      <c r="C172" s="584"/>
      <c r="D172" s="584"/>
      <c r="E172" s="584"/>
      <c r="F172" s="584"/>
      <c r="G172" s="584"/>
      <c r="H172" s="584"/>
    </row>
    <row r="173" spans="2:8" ht="15.6">
      <c r="B173" s="593"/>
      <c r="C173" s="584"/>
      <c r="D173" s="584"/>
      <c r="E173" s="584"/>
      <c r="F173" s="584"/>
      <c r="G173" s="584"/>
      <c r="H173" s="584"/>
    </row>
    <row r="174" spans="2:8" ht="15.6">
      <c r="B174" s="593"/>
      <c r="C174" s="584"/>
      <c r="D174" s="584"/>
      <c r="E174" s="584"/>
      <c r="F174" s="584"/>
      <c r="G174" s="584"/>
      <c r="H174" s="584"/>
    </row>
    <row r="175" spans="2:8" ht="15.6">
      <c r="B175" s="593"/>
      <c r="C175" s="584"/>
      <c r="D175" s="584"/>
      <c r="E175" s="584"/>
      <c r="F175" s="584"/>
      <c r="G175" s="584"/>
      <c r="H175" s="584"/>
    </row>
    <row r="176" spans="2:8" ht="15.6">
      <c r="B176" s="593"/>
      <c r="C176" s="584"/>
      <c r="D176" s="584"/>
      <c r="E176" s="584"/>
      <c r="F176" s="584"/>
      <c r="G176" s="584"/>
      <c r="H176" s="584"/>
    </row>
    <row r="177" spans="2:8" ht="15.6">
      <c r="B177" s="593"/>
      <c r="C177" s="584"/>
      <c r="D177" s="584"/>
      <c r="E177" s="584"/>
      <c r="F177" s="584"/>
      <c r="G177" s="584"/>
      <c r="H177" s="584"/>
    </row>
    <row r="178" spans="2:8" ht="15.6">
      <c r="B178" s="593"/>
      <c r="C178" s="584"/>
      <c r="D178" s="584"/>
      <c r="E178" s="584"/>
      <c r="F178" s="584"/>
      <c r="G178" s="584"/>
      <c r="H178" s="584"/>
    </row>
    <row r="179" spans="2:8" ht="15.6">
      <c r="B179" s="593"/>
      <c r="C179" s="584"/>
      <c r="D179" s="584"/>
      <c r="E179" s="584"/>
      <c r="F179" s="584"/>
      <c r="G179" s="584"/>
      <c r="H179" s="584"/>
    </row>
    <row r="180" spans="2:8" ht="15.6">
      <c r="B180" s="593"/>
      <c r="C180" s="584"/>
      <c r="D180" s="584"/>
      <c r="E180" s="584"/>
      <c r="F180" s="584"/>
      <c r="G180" s="584"/>
      <c r="H180" s="584"/>
    </row>
    <row r="181" spans="2:8" ht="15.6">
      <c r="B181" s="593"/>
      <c r="C181" s="584"/>
      <c r="D181" s="584"/>
      <c r="E181" s="584"/>
      <c r="F181" s="584"/>
      <c r="G181" s="584"/>
      <c r="H181" s="584"/>
    </row>
    <row r="182" spans="2:8" ht="15.6">
      <c r="B182" s="593"/>
      <c r="C182" s="584"/>
      <c r="D182" s="584"/>
      <c r="E182" s="584"/>
      <c r="F182" s="584"/>
      <c r="G182" s="584"/>
      <c r="H182" s="584"/>
    </row>
    <row r="183" spans="2:8" ht="15.6">
      <c r="B183" s="593"/>
      <c r="C183" s="584"/>
      <c r="D183" s="584"/>
      <c r="E183" s="584"/>
      <c r="F183" s="584"/>
      <c r="G183" s="584"/>
      <c r="H183" s="584"/>
    </row>
    <row r="184" spans="2:8" ht="15.6">
      <c r="B184" s="593"/>
      <c r="C184" s="584"/>
      <c r="D184" s="584"/>
      <c r="E184" s="584"/>
      <c r="F184" s="584"/>
      <c r="G184" s="584"/>
      <c r="H184" s="584"/>
    </row>
    <row r="185" spans="2:8" ht="15.6">
      <c r="B185" s="593"/>
      <c r="C185" s="584"/>
      <c r="D185" s="584"/>
      <c r="E185" s="584"/>
      <c r="F185" s="584"/>
      <c r="G185" s="584"/>
      <c r="H185" s="584"/>
    </row>
    <row r="186" spans="2:8" ht="15.6">
      <c r="B186" s="593"/>
      <c r="C186" s="584"/>
      <c r="D186" s="584"/>
      <c r="E186" s="584"/>
      <c r="F186" s="584"/>
      <c r="G186" s="584"/>
      <c r="H186" s="584"/>
    </row>
    <row r="187" spans="2:8" ht="15.6">
      <c r="B187" s="593"/>
      <c r="C187" s="584"/>
      <c r="D187" s="584"/>
      <c r="E187" s="584"/>
      <c r="F187" s="584"/>
      <c r="G187" s="584"/>
      <c r="H187" s="584"/>
    </row>
    <row r="188" spans="2:8" ht="15.6">
      <c r="B188" s="593"/>
      <c r="C188" s="584"/>
      <c r="D188" s="584"/>
      <c r="E188" s="584"/>
      <c r="F188" s="584"/>
      <c r="G188" s="584"/>
      <c r="H188" s="584"/>
    </row>
    <row r="189" spans="2:8" ht="15.6">
      <c r="B189" s="593"/>
      <c r="C189" s="584"/>
      <c r="D189" s="584"/>
      <c r="E189" s="584"/>
      <c r="F189" s="584"/>
      <c r="G189" s="584"/>
      <c r="H189" s="584"/>
    </row>
    <row r="190" spans="2:8" ht="15.6">
      <c r="B190" s="593"/>
      <c r="C190" s="584"/>
      <c r="D190" s="584"/>
      <c r="E190" s="584"/>
      <c r="F190" s="584"/>
      <c r="G190" s="584"/>
      <c r="H190" s="584"/>
    </row>
    <row r="191" spans="2:8" ht="15.6">
      <c r="B191" s="593"/>
      <c r="C191" s="584"/>
      <c r="D191" s="584"/>
      <c r="E191" s="584"/>
      <c r="F191" s="584"/>
      <c r="G191" s="584"/>
      <c r="H191" s="584"/>
    </row>
    <row r="192" spans="2:8" ht="15.6">
      <c r="B192" s="593"/>
      <c r="C192" s="584"/>
      <c r="D192" s="584"/>
      <c r="E192" s="584"/>
      <c r="F192" s="584"/>
      <c r="G192" s="584"/>
      <c r="H192" s="584"/>
    </row>
    <row r="193" spans="2:8" ht="15.6">
      <c r="B193" s="593"/>
      <c r="C193" s="584"/>
      <c r="D193" s="584"/>
      <c r="E193" s="584"/>
      <c r="F193" s="584"/>
      <c r="G193" s="584"/>
      <c r="H193" s="584"/>
    </row>
    <row r="194" spans="2:8" ht="15.6">
      <c r="B194" s="593"/>
      <c r="C194" s="584"/>
      <c r="D194" s="584"/>
      <c r="E194" s="584"/>
      <c r="F194" s="584"/>
      <c r="G194" s="584"/>
      <c r="H194" s="584"/>
    </row>
    <row r="195" spans="2:8" ht="15.6">
      <c r="B195" s="593"/>
      <c r="C195" s="584"/>
      <c r="D195" s="584"/>
      <c r="E195" s="584"/>
      <c r="F195" s="584"/>
      <c r="G195" s="584"/>
      <c r="H195" s="584"/>
    </row>
    <row r="196" spans="2:8" ht="15.6">
      <c r="B196" s="593"/>
      <c r="C196" s="584"/>
      <c r="D196" s="584"/>
      <c r="E196" s="584"/>
      <c r="F196" s="584"/>
      <c r="G196" s="584"/>
      <c r="H196" s="584"/>
    </row>
    <row r="197" spans="2:8" ht="15.6">
      <c r="B197" s="593"/>
      <c r="C197" s="584"/>
      <c r="D197" s="584"/>
      <c r="E197" s="584"/>
      <c r="F197" s="584"/>
      <c r="G197" s="584"/>
      <c r="H197" s="584"/>
    </row>
    <row r="198" spans="2:8" ht="15.6">
      <c r="B198" s="593"/>
      <c r="C198" s="584"/>
      <c r="D198" s="584"/>
      <c r="E198" s="584"/>
      <c r="F198" s="584"/>
      <c r="G198" s="584"/>
      <c r="H198" s="584"/>
    </row>
    <row r="199" spans="2:8" ht="15.6">
      <c r="B199" s="593"/>
      <c r="C199" s="584"/>
      <c r="D199" s="584"/>
      <c r="E199" s="584"/>
      <c r="F199" s="584"/>
      <c r="G199" s="584"/>
      <c r="H199" s="584"/>
    </row>
    <row r="200" spans="2:8" ht="15.6">
      <c r="B200" s="593"/>
      <c r="C200" s="584"/>
      <c r="D200" s="584"/>
      <c r="E200" s="584"/>
      <c r="F200" s="584"/>
      <c r="G200" s="584"/>
      <c r="H200" s="584"/>
    </row>
    <row r="201" spans="2:8" ht="15.6">
      <c r="B201" s="593"/>
      <c r="C201" s="584"/>
      <c r="D201" s="584"/>
      <c r="E201" s="584"/>
      <c r="F201" s="584"/>
      <c r="G201" s="584"/>
      <c r="H201" s="584"/>
    </row>
    <row r="202" spans="2:8" ht="15.6">
      <c r="B202" s="593"/>
      <c r="C202" s="584"/>
      <c r="D202" s="584"/>
      <c r="E202" s="584"/>
      <c r="F202" s="584"/>
      <c r="G202" s="584"/>
      <c r="H202" s="584"/>
    </row>
    <row r="203" spans="2:8" ht="15.6">
      <c r="B203" s="593"/>
      <c r="C203" s="584"/>
      <c r="D203" s="584"/>
      <c r="E203" s="584"/>
      <c r="F203" s="584"/>
      <c r="G203" s="584"/>
      <c r="H203" s="584"/>
    </row>
    <row r="204" spans="2:8" ht="15.6">
      <c r="B204" s="593"/>
      <c r="C204" s="584"/>
      <c r="D204" s="584"/>
      <c r="E204" s="584"/>
      <c r="F204" s="584"/>
      <c r="G204" s="584"/>
      <c r="H204" s="584"/>
    </row>
    <row r="205" spans="2:8" ht="15.6">
      <c r="B205" s="593"/>
      <c r="C205" s="584"/>
      <c r="D205" s="584"/>
      <c r="E205" s="584"/>
      <c r="F205" s="584"/>
      <c r="G205" s="584"/>
      <c r="H205" s="584"/>
    </row>
    <row r="206" spans="2:8" ht="15.6">
      <c r="B206" s="593"/>
      <c r="C206" s="584"/>
      <c r="D206" s="584"/>
      <c r="E206" s="584"/>
      <c r="F206" s="584"/>
      <c r="G206" s="584"/>
      <c r="H206" s="584"/>
    </row>
    <row r="207" spans="2:8" ht="15.6">
      <c r="B207" s="593"/>
      <c r="C207" s="584"/>
      <c r="D207" s="584"/>
      <c r="E207" s="584"/>
      <c r="F207" s="584"/>
      <c r="G207" s="584"/>
      <c r="H207" s="584"/>
    </row>
    <row r="208" spans="2:8" ht="15.6">
      <c r="B208" s="593"/>
      <c r="C208" s="584"/>
      <c r="D208" s="584"/>
      <c r="E208" s="584"/>
      <c r="F208" s="584"/>
      <c r="G208" s="584"/>
      <c r="H208" s="584"/>
    </row>
    <row r="209" spans="2:8" ht="15.6">
      <c r="B209" s="593"/>
      <c r="C209" s="584"/>
      <c r="D209" s="584"/>
      <c r="E209" s="584"/>
      <c r="F209" s="584"/>
      <c r="G209" s="584"/>
      <c r="H209" s="584"/>
    </row>
    <row r="210" spans="2:8" ht="15.6">
      <c r="B210" s="593"/>
      <c r="C210" s="584"/>
      <c r="D210" s="584"/>
      <c r="E210" s="584"/>
      <c r="F210" s="584"/>
      <c r="G210" s="584"/>
      <c r="H210" s="584"/>
    </row>
    <row r="211" spans="2:8" ht="15.6">
      <c r="B211" s="593"/>
      <c r="C211" s="584"/>
      <c r="D211" s="584"/>
      <c r="E211" s="584"/>
      <c r="F211" s="584"/>
      <c r="G211" s="584"/>
      <c r="H211" s="584"/>
    </row>
    <row r="212" spans="2:8" ht="15.6">
      <c r="B212" s="593"/>
      <c r="C212" s="584"/>
      <c r="D212" s="584"/>
      <c r="E212" s="584"/>
      <c r="F212" s="584"/>
      <c r="G212" s="584"/>
      <c r="H212" s="584"/>
    </row>
    <row r="213" spans="2:8" ht="15.6">
      <c r="B213" s="593"/>
      <c r="C213" s="584"/>
      <c r="D213" s="584"/>
      <c r="E213" s="584"/>
      <c r="F213" s="584"/>
      <c r="G213" s="584"/>
      <c r="H213" s="584"/>
    </row>
    <row r="214" spans="2:8" ht="15.6">
      <c r="B214" s="593"/>
      <c r="C214" s="584"/>
      <c r="D214" s="584"/>
      <c r="E214" s="584"/>
      <c r="F214" s="584"/>
      <c r="G214" s="584"/>
      <c r="H214" s="584"/>
    </row>
    <row r="215" spans="2:8" ht="15.6">
      <c r="B215" s="593"/>
      <c r="C215" s="584"/>
      <c r="D215" s="584"/>
      <c r="E215" s="584"/>
      <c r="F215" s="584"/>
      <c r="G215" s="584"/>
      <c r="H215" s="584"/>
    </row>
    <row r="216" spans="2:8" ht="15.6">
      <c r="B216" s="593"/>
      <c r="C216" s="584"/>
      <c r="D216" s="584"/>
      <c r="E216" s="584"/>
      <c r="F216" s="584"/>
      <c r="G216" s="584"/>
      <c r="H216" s="584"/>
    </row>
    <row r="217" spans="2:8" ht="15.6">
      <c r="B217" s="593"/>
      <c r="C217" s="584"/>
      <c r="D217" s="584"/>
      <c r="E217" s="584"/>
      <c r="F217" s="584"/>
      <c r="G217" s="584"/>
      <c r="H217" s="584"/>
    </row>
    <row r="218" spans="2:8" ht="15.6">
      <c r="B218" s="593"/>
      <c r="C218" s="584"/>
      <c r="D218" s="584"/>
      <c r="E218" s="584"/>
      <c r="F218" s="584"/>
      <c r="G218" s="584"/>
      <c r="H218" s="584"/>
    </row>
    <row r="219" spans="2:8" ht="15.6">
      <c r="B219" s="593"/>
      <c r="C219" s="584"/>
      <c r="D219" s="584"/>
      <c r="E219" s="584"/>
      <c r="F219" s="584"/>
      <c r="G219" s="584"/>
      <c r="H219" s="584"/>
    </row>
    <row r="220" spans="2:8" ht="15.6">
      <c r="B220" s="593"/>
      <c r="C220" s="584"/>
      <c r="D220" s="584"/>
      <c r="E220" s="584"/>
      <c r="F220" s="584"/>
      <c r="G220" s="584"/>
      <c r="H220" s="584"/>
    </row>
    <row r="221" spans="2:8" ht="15.6">
      <c r="B221" s="593"/>
      <c r="C221" s="584"/>
      <c r="D221" s="584"/>
      <c r="E221" s="584"/>
      <c r="F221" s="584"/>
      <c r="G221" s="584"/>
      <c r="H221" s="584"/>
    </row>
    <row r="222" spans="2:8" ht="15.6">
      <c r="B222" s="593"/>
      <c r="C222" s="584"/>
      <c r="D222" s="584"/>
      <c r="E222" s="584"/>
      <c r="F222" s="584"/>
      <c r="G222" s="584"/>
      <c r="H222" s="584"/>
    </row>
    <row r="223" spans="2:8" ht="15.6">
      <c r="B223" s="593"/>
      <c r="C223" s="584"/>
      <c r="D223" s="584"/>
      <c r="E223" s="584"/>
      <c r="F223" s="584"/>
      <c r="G223" s="584"/>
      <c r="H223" s="584"/>
    </row>
    <row r="224" spans="2:8" ht="15.6">
      <c r="B224" s="593"/>
      <c r="C224" s="584"/>
      <c r="D224" s="584"/>
      <c r="E224" s="584"/>
      <c r="F224" s="584"/>
      <c r="G224" s="584"/>
      <c r="H224" s="584"/>
    </row>
    <row r="225" spans="2:8" ht="15.6">
      <c r="B225" s="593"/>
      <c r="C225" s="584"/>
      <c r="D225" s="584"/>
      <c r="E225" s="584"/>
      <c r="F225" s="584"/>
      <c r="G225" s="584"/>
      <c r="H225" s="584"/>
    </row>
    <row r="226" spans="2:8" ht="15.6">
      <c r="B226" s="593"/>
      <c r="C226" s="584"/>
      <c r="D226" s="584"/>
      <c r="E226" s="584"/>
      <c r="F226" s="584"/>
      <c r="G226" s="584"/>
      <c r="H226" s="584"/>
    </row>
    <row r="227" spans="2:8" ht="15.6">
      <c r="B227" s="593"/>
      <c r="C227" s="584"/>
      <c r="D227" s="584"/>
      <c r="E227" s="584"/>
      <c r="F227" s="584"/>
      <c r="G227" s="584"/>
      <c r="H227" s="584"/>
    </row>
    <row r="228" spans="2:8" ht="15.6">
      <c r="B228" s="593"/>
      <c r="C228" s="584"/>
      <c r="D228" s="584"/>
      <c r="E228" s="584"/>
      <c r="F228" s="584"/>
      <c r="G228" s="584"/>
      <c r="H228" s="584"/>
    </row>
    <row r="229" spans="2:8" ht="15.6">
      <c r="B229" s="593"/>
      <c r="C229" s="584"/>
      <c r="D229" s="584"/>
      <c r="E229" s="584"/>
      <c r="F229" s="584"/>
      <c r="G229" s="584"/>
      <c r="H229" s="584"/>
    </row>
    <row r="230" spans="2:8" ht="15.6">
      <c r="B230" s="593"/>
      <c r="C230" s="584"/>
      <c r="D230" s="584"/>
      <c r="E230" s="584"/>
      <c r="F230" s="584"/>
      <c r="G230" s="584"/>
      <c r="H230" s="584"/>
    </row>
    <row r="231" spans="2:8" ht="15.6">
      <c r="B231" s="593"/>
      <c r="C231" s="584"/>
      <c r="D231" s="584"/>
      <c r="E231" s="584"/>
      <c r="F231" s="584"/>
      <c r="G231" s="584"/>
      <c r="H231" s="584"/>
    </row>
    <row r="232" spans="2:8" ht="15.6">
      <c r="B232" s="593"/>
      <c r="C232" s="584"/>
      <c r="D232" s="584"/>
      <c r="E232" s="584"/>
      <c r="F232" s="584"/>
      <c r="G232" s="584"/>
      <c r="H232" s="584"/>
    </row>
    <row r="233" spans="2:8" ht="15.6">
      <c r="B233" s="593"/>
      <c r="C233" s="584"/>
      <c r="D233" s="584"/>
      <c r="E233" s="584"/>
      <c r="F233" s="584"/>
      <c r="G233" s="584"/>
      <c r="H233" s="584"/>
    </row>
    <row r="234" spans="2:8" ht="15.6">
      <c r="B234" s="593"/>
      <c r="C234" s="584"/>
      <c r="D234" s="584"/>
      <c r="E234" s="584"/>
      <c r="F234" s="584"/>
      <c r="G234" s="584"/>
      <c r="H234" s="584"/>
    </row>
    <row r="235" spans="2:8" ht="15.6">
      <c r="B235" s="593"/>
      <c r="C235" s="584"/>
      <c r="D235" s="584"/>
      <c r="E235" s="584"/>
      <c r="F235" s="584"/>
      <c r="G235" s="584"/>
      <c r="H235" s="584"/>
    </row>
    <row r="236" spans="2:8" ht="15.6">
      <c r="B236" s="593"/>
      <c r="C236" s="584"/>
      <c r="D236" s="584"/>
      <c r="E236" s="584"/>
      <c r="F236" s="584"/>
      <c r="G236" s="584"/>
      <c r="H236" s="584"/>
    </row>
    <row r="237" spans="2:8" ht="15.6">
      <c r="B237" s="593"/>
      <c r="C237" s="584"/>
      <c r="D237" s="584"/>
      <c r="E237" s="584"/>
      <c r="F237" s="584"/>
      <c r="G237" s="584"/>
      <c r="H237" s="584"/>
    </row>
    <row r="238" spans="2:8" ht="15.6">
      <c r="B238" s="593"/>
      <c r="C238" s="584"/>
      <c r="D238" s="584"/>
      <c r="E238" s="584"/>
      <c r="F238" s="584"/>
      <c r="G238" s="584"/>
      <c r="H238" s="584"/>
    </row>
    <row r="239" spans="2:8" ht="15.6">
      <c r="B239" s="593"/>
      <c r="C239" s="584"/>
      <c r="D239" s="584"/>
      <c r="E239" s="584"/>
      <c r="F239" s="584"/>
      <c r="G239" s="584"/>
      <c r="H239" s="584"/>
    </row>
    <row r="240" spans="2:8" ht="15.6">
      <c r="B240" s="593"/>
      <c r="C240" s="584"/>
      <c r="D240" s="584"/>
      <c r="E240" s="584"/>
      <c r="F240" s="584"/>
      <c r="G240" s="584"/>
      <c r="H240" s="584"/>
    </row>
    <row r="241" spans="2:8" ht="15.6">
      <c r="B241" s="593"/>
      <c r="C241" s="584"/>
      <c r="D241" s="584"/>
      <c r="E241" s="584"/>
      <c r="F241" s="584"/>
      <c r="G241" s="584"/>
      <c r="H241" s="584"/>
    </row>
    <row r="242" spans="2:8" ht="15.6">
      <c r="B242" s="593"/>
      <c r="C242" s="584"/>
      <c r="D242" s="584"/>
      <c r="E242" s="584"/>
      <c r="F242" s="584"/>
      <c r="G242" s="584"/>
      <c r="H242" s="584"/>
    </row>
    <row r="243" spans="2:8" ht="15.6">
      <c r="B243" s="593"/>
      <c r="C243" s="584"/>
      <c r="D243" s="584"/>
      <c r="E243" s="584"/>
      <c r="F243" s="584"/>
      <c r="G243" s="584"/>
      <c r="H243" s="584"/>
    </row>
    <row r="244" spans="2:8" ht="15.6">
      <c r="B244" s="593"/>
      <c r="C244" s="584"/>
      <c r="D244" s="584"/>
      <c r="E244" s="584"/>
      <c r="F244" s="584"/>
      <c r="G244" s="584"/>
      <c r="H244" s="584"/>
    </row>
    <row r="245" spans="2:8" ht="15.6">
      <c r="B245" s="593"/>
      <c r="C245" s="584"/>
      <c r="D245" s="584"/>
      <c r="E245" s="584"/>
      <c r="F245" s="584"/>
      <c r="G245" s="584"/>
      <c r="H245" s="584"/>
    </row>
    <row r="246" spans="2:8" ht="15.6">
      <c r="B246" s="593"/>
      <c r="C246" s="584"/>
      <c r="D246" s="584"/>
      <c r="E246" s="584"/>
      <c r="F246" s="584"/>
      <c r="G246" s="584"/>
      <c r="H246" s="584"/>
    </row>
    <row r="247" spans="2:8" ht="15.6">
      <c r="B247" s="593"/>
      <c r="C247" s="584"/>
      <c r="D247" s="584"/>
      <c r="E247" s="584"/>
      <c r="F247" s="584"/>
      <c r="G247" s="584"/>
      <c r="H247" s="584"/>
    </row>
    <row r="248" spans="2:8" ht="15.6">
      <c r="B248" s="593"/>
      <c r="C248" s="584"/>
      <c r="D248" s="584"/>
      <c r="E248" s="584"/>
      <c r="F248" s="584"/>
      <c r="G248" s="584"/>
      <c r="H248" s="584"/>
    </row>
    <row r="249" spans="2:8" ht="15.6">
      <c r="B249" s="593"/>
      <c r="C249" s="584"/>
      <c r="D249" s="584"/>
      <c r="E249" s="584"/>
      <c r="F249" s="584"/>
      <c r="G249" s="584"/>
      <c r="H249" s="584"/>
    </row>
    <row r="250" spans="2:8" ht="15.6">
      <c r="B250" s="593"/>
      <c r="C250" s="584"/>
      <c r="D250" s="584"/>
      <c r="E250" s="584"/>
      <c r="F250" s="584"/>
      <c r="G250" s="584"/>
      <c r="H250" s="584"/>
    </row>
    <row r="251" spans="2:8" ht="15.6">
      <c r="B251" s="593"/>
      <c r="C251" s="584"/>
      <c r="D251" s="584"/>
      <c r="E251" s="584"/>
      <c r="F251" s="584"/>
      <c r="G251" s="584"/>
      <c r="H251" s="584"/>
    </row>
    <row r="252" spans="2:8" ht="15.6">
      <c r="B252" s="593"/>
      <c r="C252" s="584"/>
      <c r="D252" s="584"/>
      <c r="E252" s="584"/>
      <c r="F252" s="584"/>
      <c r="G252" s="584"/>
      <c r="H252" s="584"/>
    </row>
    <row r="253" spans="2:8" ht="15.6">
      <c r="B253" s="593"/>
      <c r="C253" s="584"/>
      <c r="D253" s="584"/>
      <c r="E253" s="584"/>
      <c r="F253" s="584"/>
      <c r="G253" s="584"/>
      <c r="H253" s="584"/>
    </row>
    <row r="254" spans="2:8" ht="15.6">
      <c r="B254" s="593"/>
      <c r="C254" s="584"/>
      <c r="D254" s="584"/>
      <c r="E254" s="584"/>
      <c r="F254" s="584"/>
      <c r="G254" s="584"/>
      <c r="H254" s="584"/>
    </row>
    <row r="255" spans="2:8" ht="15.6">
      <c r="B255" s="593"/>
      <c r="C255" s="584"/>
      <c r="D255" s="584"/>
      <c r="E255" s="584"/>
      <c r="F255" s="584"/>
      <c r="G255" s="584"/>
      <c r="H255" s="584"/>
    </row>
    <row r="256" spans="2:8" ht="15.6">
      <c r="B256" s="593"/>
      <c r="C256" s="584"/>
      <c r="D256" s="584"/>
      <c r="E256" s="584"/>
      <c r="F256" s="584"/>
      <c r="G256" s="584"/>
      <c r="H256" s="584"/>
    </row>
    <row r="257" spans="2:8" ht="15.6">
      <c r="B257" s="593"/>
      <c r="C257" s="584"/>
      <c r="D257" s="584"/>
      <c r="E257" s="584"/>
      <c r="F257" s="584"/>
      <c r="G257" s="584"/>
      <c r="H257" s="584"/>
    </row>
    <row r="258" spans="2:8" ht="15.6">
      <c r="B258" s="593"/>
      <c r="C258" s="584"/>
      <c r="D258" s="584"/>
      <c r="E258" s="584"/>
      <c r="F258" s="584"/>
      <c r="G258" s="584"/>
      <c r="H258" s="584"/>
    </row>
    <row r="259" spans="2:8" ht="15.6">
      <c r="B259" s="593"/>
      <c r="C259" s="584"/>
      <c r="D259" s="584"/>
      <c r="E259" s="584"/>
      <c r="F259" s="584"/>
      <c r="G259" s="584"/>
      <c r="H259" s="584"/>
    </row>
    <row r="260" spans="2:8" ht="15.6">
      <c r="B260" s="593"/>
      <c r="C260" s="584"/>
      <c r="D260" s="584"/>
      <c r="E260" s="584"/>
      <c r="F260" s="584"/>
      <c r="G260" s="584"/>
      <c r="H260" s="584"/>
    </row>
    <row r="261" spans="2:8" ht="15.6">
      <c r="B261" s="593"/>
      <c r="C261" s="584"/>
      <c r="D261" s="584"/>
      <c r="E261" s="584"/>
      <c r="F261" s="584"/>
      <c r="G261" s="584"/>
      <c r="H261" s="584"/>
    </row>
    <row r="262" spans="2:8" ht="15.6">
      <c r="B262" s="593"/>
      <c r="C262" s="584"/>
      <c r="D262" s="584"/>
      <c r="E262" s="584"/>
      <c r="F262" s="584"/>
      <c r="G262" s="584"/>
      <c r="H262" s="584"/>
    </row>
    <row r="263" spans="2:8" ht="15.6">
      <c r="B263" s="593"/>
      <c r="C263" s="584"/>
      <c r="D263" s="584"/>
      <c r="E263" s="584"/>
      <c r="F263" s="584"/>
      <c r="G263" s="584"/>
      <c r="H263" s="584"/>
    </row>
    <row r="264" spans="2:8" ht="15.6">
      <c r="B264" s="593"/>
      <c r="C264" s="584"/>
      <c r="D264" s="584"/>
      <c r="E264" s="584"/>
      <c r="F264" s="584"/>
      <c r="G264" s="584"/>
      <c r="H264" s="584"/>
    </row>
    <row r="265" spans="2:8" ht="15.6">
      <c r="B265" s="593"/>
      <c r="C265" s="584"/>
      <c r="D265" s="584"/>
      <c r="E265" s="584"/>
      <c r="F265" s="584"/>
      <c r="G265" s="584"/>
      <c r="H265" s="584"/>
    </row>
    <row r="266" spans="2:8" ht="15.6">
      <c r="B266" s="593"/>
      <c r="C266" s="584"/>
      <c r="D266" s="584"/>
      <c r="E266" s="584"/>
      <c r="F266" s="584"/>
      <c r="G266" s="584"/>
      <c r="H266" s="584"/>
    </row>
    <row r="267" spans="2:8" ht="15.6">
      <c r="B267" s="593"/>
      <c r="C267" s="584"/>
      <c r="D267" s="584"/>
      <c r="E267" s="584"/>
      <c r="F267" s="584"/>
      <c r="G267" s="584"/>
      <c r="H267" s="584"/>
    </row>
    <row r="268" spans="2:8" ht="15.6">
      <c r="B268" s="593"/>
      <c r="C268" s="584"/>
      <c r="D268" s="584"/>
      <c r="E268" s="584"/>
      <c r="F268" s="584"/>
      <c r="G268" s="584"/>
      <c r="H268" s="584"/>
    </row>
    <row r="269" spans="2:8" ht="15.6">
      <c r="B269" s="593"/>
      <c r="C269" s="584"/>
      <c r="D269" s="584"/>
      <c r="E269" s="584"/>
      <c r="F269" s="584"/>
      <c r="G269" s="584"/>
      <c r="H269" s="584"/>
    </row>
    <row r="270" spans="2:8" ht="15.6">
      <c r="B270" s="593"/>
      <c r="C270" s="584"/>
      <c r="D270" s="584"/>
      <c r="E270" s="584"/>
      <c r="F270" s="584"/>
      <c r="G270" s="584"/>
      <c r="H270" s="584"/>
    </row>
    <row r="271" spans="2:8" ht="15.6">
      <c r="B271" s="593"/>
      <c r="C271" s="584"/>
      <c r="D271" s="584"/>
      <c r="E271" s="584"/>
      <c r="F271" s="584"/>
      <c r="G271" s="584"/>
      <c r="H271" s="584"/>
    </row>
    <row r="272" spans="2:8" ht="15.6">
      <c r="B272" s="593"/>
      <c r="C272" s="584"/>
      <c r="D272" s="584"/>
      <c r="E272" s="584"/>
      <c r="F272" s="584"/>
      <c r="G272" s="584"/>
      <c r="H272" s="584"/>
    </row>
    <row r="273" spans="2:8" ht="15.6">
      <c r="B273" s="593"/>
      <c r="C273" s="584"/>
      <c r="D273" s="584"/>
      <c r="E273" s="584"/>
      <c r="F273" s="584"/>
      <c r="G273" s="584"/>
      <c r="H273" s="584"/>
    </row>
    <row r="274" spans="2:8" ht="15.6">
      <c r="B274" s="593"/>
      <c r="C274" s="584"/>
      <c r="D274" s="584"/>
      <c r="E274" s="584"/>
      <c r="F274" s="584"/>
      <c r="G274" s="584"/>
      <c r="H274" s="584"/>
    </row>
    <row r="275" spans="2:8" ht="15.6">
      <c r="B275" s="593"/>
      <c r="C275" s="584"/>
      <c r="D275" s="584"/>
      <c r="E275" s="584"/>
      <c r="F275" s="584"/>
      <c r="G275" s="584"/>
      <c r="H275" s="584"/>
    </row>
    <row r="276" spans="2:8" ht="15.6">
      <c r="B276" s="593"/>
      <c r="C276" s="584"/>
      <c r="D276" s="584"/>
      <c r="E276" s="584"/>
      <c r="F276" s="584"/>
      <c r="G276" s="584"/>
      <c r="H276" s="584"/>
    </row>
    <row r="277" spans="2:8" ht="15.6">
      <c r="B277" s="593"/>
      <c r="C277" s="584"/>
      <c r="D277" s="584"/>
      <c r="E277" s="584"/>
      <c r="F277" s="584"/>
      <c r="G277" s="584"/>
      <c r="H277" s="584"/>
    </row>
    <row r="278" spans="2:8" ht="15.6">
      <c r="B278" s="593"/>
      <c r="C278" s="584"/>
      <c r="D278" s="584"/>
      <c r="E278" s="584"/>
      <c r="F278" s="584"/>
      <c r="G278" s="584"/>
      <c r="H278" s="584"/>
    </row>
    <row r="279" spans="2:8" ht="15.6">
      <c r="B279" s="593"/>
      <c r="C279" s="584"/>
      <c r="D279" s="584"/>
      <c r="E279" s="584"/>
      <c r="F279" s="584"/>
      <c r="G279" s="584"/>
      <c r="H279" s="584"/>
    </row>
    <row r="280" spans="2:8" ht="15.6">
      <c r="B280" s="593"/>
      <c r="C280" s="584"/>
      <c r="D280" s="584"/>
      <c r="E280" s="584"/>
      <c r="F280" s="584"/>
      <c r="G280" s="584"/>
      <c r="H280" s="584"/>
    </row>
    <row r="281" spans="2:8" ht="15.6">
      <c r="B281" s="593"/>
      <c r="C281" s="584"/>
      <c r="D281" s="584"/>
      <c r="E281" s="584"/>
      <c r="F281" s="584"/>
      <c r="G281" s="584"/>
      <c r="H281" s="584"/>
    </row>
    <row r="282" spans="2:8" ht="15.6">
      <c r="B282" s="593"/>
      <c r="C282" s="584"/>
      <c r="D282" s="584"/>
      <c r="E282" s="584"/>
      <c r="F282" s="584"/>
      <c r="G282" s="584"/>
      <c r="H282" s="584"/>
    </row>
    <row r="283" spans="2:8" ht="15.6">
      <c r="B283" s="593"/>
      <c r="C283" s="584"/>
      <c r="D283" s="584"/>
      <c r="E283" s="584"/>
      <c r="F283" s="584"/>
      <c r="G283" s="584"/>
      <c r="H283" s="584"/>
    </row>
    <row r="284" spans="2:8" ht="15.6">
      <c r="B284" s="593"/>
      <c r="C284" s="584"/>
      <c r="D284" s="584"/>
      <c r="E284" s="584"/>
      <c r="F284" s="584"/>
      <c r="G284" s="584"/>
      <c r="H284" s="584"/>
    </row>
    <row r="285" spans="2:8" ht="15.6">
      <c r="B285" s="593"/>
      <c r="C285" s="584"/>
      <c r="D285" s="584"/>
      <c r="E285" s="584"/>
      <c r="F285" s="584"/>
      <c r="G285" s="584"/>
      <c r="H285" s="584"/>
    </row>
    <row r="286" spans="2:8" ht="15.6">
      <c r="B286" s="593"/>
      <c r="C286" s="584"/>
      <c r="D286" s="584"/>
      <c r="E286" s="584"/>
      <c r="F286" s="584"/>
      <c r="G286" s="584"/>
      <c r="H286" s="584"/>
    </row>
    <row r="287" spans="2:8" ht="15.6">
      <c r="B287" s="593"/>
      <c r="C287" s="584"/>
      <c r="D287" s="584"/>
      <c r="E287" s="584"/>
      <c r="F287" s="584"/>
      <c r="G287" s="584"/>
      <c r="H287" s="584"/>
    </row>
    <row r="288" spans="2:8" ht="15.6">
      <c r="B288" s="593"/>
      <c r="C288" s="584"/>
      <c r="D288" s="584"/>
      <c r="E288" s="584"/>
      <c r="F288" s="584"/>
      <c r="G288" s="584"/>
      <c r="H288" s="584"/>
    </row>
    <row r="289" spans="2:8" ht="15.6">
      <c r="B289" s="593"/>
      <c r="C289" s="584"/>
      <c r="D289" s="584"/>
      <c r="E289" s="584"/>
      <c r="F289" s="584"/>
      <c r="G289" s="584"/>
      <c r="H289" s="584"/>
    </row>
    <row r="290" spans="2:8" ht="15.6">
      <c r="B290" s="593"/>
      <c r="C290" s="584"/>
      <c r="D290" s="584"/>
      <c r="E290" s="584"/>
      <c r="F290" s="584"/>
      <c r="G290" s="584"/>
      <c r="H290" s="584"/>
    </row>
    <row r="291" spans="2:8" ht="15.6">
      <c r="B291" s="593"/>
      <c r="C291" s="584"/>
      <c r="D291" s="584"/>
      <c r="E291" s="584"/>
      <c r="F291" s="584"/>
      <c r="G291" s="584"/>
      <c r="H291" s="584"/>
    </row>
    <row r="292" spans="2:8" ht="15.6">
      <c r="B292" s="593"/>
      <c r="C292" s="584"/>
      <c r="D292" s="584"/>
      <c r="E292" s="584"/>
      <c r="F292" s="584"/>
      <c r="G292" s="584"/>
      <c r="H292" s="584"/>
    </row>
    <row r="293" spans="2:8" ht="15.6">
      <c r="B293" s="593"/>
      <c r="C293" s="584"/>
      <c r="D293" s="584"/>
      <c r="E293" s="584"/>
      <c r="F293" s="584"/>
      <c r="G293" s="584"/>
      <c r="H293" s="584"/>
    </row>
    <row r="294" spans="2:8" ht="15.6">
      <c r="B294" s="593"/>
      <c r="C294" s="584"/>
      <c r="D294" s="584"/>
      <c r="E294" s="584"/>
      <c r="F294" s="584"/>
      <c r="G294" s="584"/>
      <c r="H294" s="584"/>
    </row>
    <row r="295" spans="2:8" ht="15.6">
      <c r="B295" s="593"/>
      <c r="C295" s="584"/>
      <c r="D295" s="584"/>
      <c r="E295" s="584"/>
      <c r="F295" s="584"/>
      <c r="G295" s="584"/>
      <c r="H295" s="584"/>
    </row>
    <row r="296" spans="2:8" ht="15.6">
      <c r="B296" s="593"/>
      <c r="C296" s="584"/>
      <c r="D296" s="584"/>
      <c r="E296" s="584"/>
      <c r="F296" s="584"/>
      <c r="G296" s="584"/>
      <c r="H296" s="584"/>
    </row>
    <row r="297" spans="2:8" ht="15.6">
      <c r="B297" s="593"/>
      <c r="C297" s="584"/>
      <c r="D297" s="584"/>
      <c r="E297" s="584"/>
      <c r="F297" s="584"/>
      <c r="G297" s="584"/>
      <c r="H297" s="584"/>
    </row>
    <row r="298" spans="2:8" ht="15.6">
      <c r="B298" s="593"/>
      <c r="C298" s="584"/>
      <c r="D298" s="584"/>
      <c r="E298" s="584"/>
      <c r="F298" s="584"/>
      <c r="G298" s="584"/>
      <c r="H298" s="584"/>
    </row>
    <row r="299" spans="2:8" ht="15.6">
      <c r="B299" s="593"/>
      <c r="C299" s="584"/>
      <c r="D299" s="584"/>
      <c r="E299" s="584"/>
      <c r="F299" s="584"/>
      <c r="G299" s="584"/>
      <c r="H299" s="584"/>
    </row>
    <row r="300" spans="2:8" ht="15.6">
      <c r="B300" s="593"/>
      <c r="C300" s="584"/>
      <c r="D300" s="584"/>
      <c r="E300" s="584"/>
      <c r="F300" s="584"/>
      <c r="G300" s="584"/>
      <c r="H300" s="584"/>
    </row>
    <row r="301" spans="2:8" ht="15.6">
      <c r="B301" s="593"/>
      <c r="C301" s="584"/>
      <c r="D301" s="584"/>
      <c r="E301" s="584"/>
      <c r="F301" s="584"/>
      <c r="G301" s="584"/>
      <c r="H301" s="584"/>
    </row>
    <row r="302" spans="2:8" ht="15.6">
      <c r="B302" s="593"/>
      <c r="C302" s="584"/>
      <c r="D302" s="584"/>
      <c r="E302" s="584"/>
      <c r="F302" s="584"/>
      <c r="G302" s="584"/>
      <c r="H302" s="584"/>
    </row>
    <row r="303" spans="2:8" ht="15.6">
      <c r="B303" s="593"/>
      <c r="C303" s="584"/>
      <c r="D303" s="584"/>
      <c r="E303" s="584"/>
      <c r="F303" s="584"/>
      <c r="G303" s="584"/>
      <c r="H303" s="584"/>
    </row>
    <row r="304" spans="2:8">
      <c r="B304" s="557"/>
      <c r="C304" s="555"/>
      <c r="D304" s="555"/>
      <c r="E304" s="555"/>
      <c r="F304" s="555"/>
      <c r="G304" s="555"/>
      <c r="H304" s="555"/>
    </row>
    <row r="305" spans="2:8">
      <c r="B305" s="557"/>
      <c r="C305" s="555"/>
      <c r="D305" s="555"/>
      <c r="E305" s="555"/>
      <c r="F305" s="555"/>
      <c r="G305" s="555"/>
      <c r="H305" s="555"/>
    </row>
    <row r="306" spans="2:8">
      <c r="B306" s="557"/>
      <c r="C306" s="555"/>
      <c r="D306" s="555"/>
      <c r="E306" s="555"/>
      <c r="F306" s="555"/>
      <c r="G306" s="555"/>
      <c r="H306" s="555"/>
    </row>
    <row r="307" spans="2:8">
      <c r="B307" s="557"/>
      <c r="C307" s="555"/>
      <c r="D307" s="555"/>
      <c r="E307" s="555"/>
      <c r="F307" s="555"/>
      <c r="G307" s="555"/>
      <c r="H307" s="555"/>
    </row>
    <row r="308" spans="2:8">
      <c r="B308" s="557"/>
      <c r="C308" s="555"/>
      <c r="D308" s="555"/>
      <c r="E308" s="555"/>
      <c r="F308" s="555"/>
      <c r="G308" s="555"/>
      <c r="H308" s="555"/>
    </row>
    <row r="309" spans="2:8">
      <c r="B309" s="557"/>
      <c r="C309" s="555"/>
      <c r="D309" s="555"/>
      <c r="E309" s="555"/>
      <c r="F309" s="555"/>
      <c r="G309" s="555"/>
      <c r="H309" s="555"/>
    </row>
    <row r="310" spans="2:8">
      <c r="B310" s="557"/>
      <c r="C310" s="555"/>
      <c r="D310" s="555"/>
      <c r="E310" s="555"/>
      <c r="F310" s="555"/>
      <c r="G310" s="555"/>
      <c r="H310" s="555"/>
    </row>
    <row r="311" spans="2:8">
      <c r="B311" s="557"/>
      <c r="C311" s="555"/>
      <c r="D311" s="555"/>
      <c r="E311" s="555"/>
      <c r="F311" s="555"/>
      <c r="G311" s="555"/>
      <c r="H311" s="555"/>
    </row>
    <row r="312" spans="2:8">
      <c r="B312" s="557"/>
      <c r="C312" s="555"/>
      <c r="D312" s="555"/>
      <c r="E312" s="555"/>
      <c r="F312" s="555"/>
      <c r="G312" s="555"/>
      <c r="H312" s="555"/>
    </row>
    <row r="313" spans="2:8">
      <c r="B313" s="557"/>
      <c r="C313" s="555"/>
      <c r="D313" s="555"/>
      <c r="E313" s="555"/>
      <c r="F313" s="555"/>
      <c r="G313" s="555"/>
      <c r="H313" s="555"/>
    </row>
    <row r="314" spans="2:8">
      <c r="B314" s="557"/>
      <c r="C314" s="555"/>
      <c r="D314" s="555"/>
      <c r="E314" s="555"/>
      <c r="F314" s="555"/>
      <c r="G314" s="555"/>
      <c r="H314" s="555"/>
    </row>
    <row r="315" spans="2:8">
      <c r="B315" s="557"/>
      <c r="C315" s="555"/>
      <c r="D315" s="555"/>
      <c r="E315" s="555"/>
      <c r="F315" s="555"/>
      <c r="G315" s="555"/>
      <c r="H315" s="555"/>
    </row>
    <row r="316" spans="2:8">
      <c r="B316" s="557"/>
      <c r="C316" s="555"/>
      <c r="D316" s="555"/>
      <c r="E316" s="555"/>
      <c r="F316" s="555"/>
      <c r="G316" s="555"/>
      <c r="H316" s="555"/>
    </row>
    <row r="317" spans="2:8">
      <c r="B317" s="557"/>
      <c r="C317" s="555"/>
      <c r="D317" s="555"/>
      <c r="E317" s="555"/>
      <c r="F317" s="555"/>
      <c r="G317" s="555"/>
      <c r="H317" s="555"/>
    </row>
    <row r="318" spans="2:8">
      <c r="B318" s="557"/>
      <c r="C318" s="555"/>
      <c r="D318" s="555"/>
      <c r="E318" s="555"/>
      <c r="F318" s="555"/>
      <c r="G318" s="555"/>
      <c r="H318" s="555"/>
    </row>
    <row r="319" spans="2:8">
      <c r="B319" s="557"/>
      <c r="C319" s="555"/>
      <c r="D319" s="555"/>
      <c r="E319" s="555"/>
      <c r="F319" s="555"/>
      <c r="G319" s="555"/>
      <c r="H319" s="555"/>
    </row>
    <row r="320" spans="2:8">
      <c r="B320" s="557"/>
      <c r="C320" s="555"/>
      <c r="D320" s="555"/>
      <c r="E320" s="555"/>
      <c r="F320" s="555"/>
      <c r="G320" s="555"/>
      <c r="H320" s="555"/>
    </row>
    <row r="321" spans="2:8">
      <c r="B321" s="557"/>
      <c r="C321" s="555"/>
      <c r="D321" s="555"/>
      <c r="E321" s="555"/>
      <c r="F321" s="555"/>
      <c r="G321" s="555"/>
      <c r="H321" s="555"/>
    </row>
    <row r="322" spans="2:8">
      <c r="B322" s="557"/>
      <c r="C322" s="555"/>
      <c r="D322" s="555"/>
      <c r="E322" s="555"/>
      <c r="F322" s="555"/>
      <c r="G322" s="555"/>
      <c r="H322" s="555"/>
    </row>
    <row r="323" spans="2:8">
      <c r="B323" s="557"/>
      <c r="C323" s="555"/>
      <c r="D323" s="555"/>
      <c r="E323" s="555"/>
      <c r="F323" s="555"/>
      <c r="G323" s="555"/>
      <c r="H323" s="555"/>
    </row>
    <row r="324" spans="2:8">
      <c r="B324" s="557"/>
      <c r="C324" s="555"/>
      <c r="D324" s="555"/>
      <c r="E324" s="555"/>
      <c r="F324" s="555"/>
      <c r="G324" s="555"/>
      <c r="H324" s="555"/>
    </row>
    <row r="325" spans="2:8">
      <c r="B325" s="557"/>
      <c r="C325" s="555"/>
      <c r="D325" s="555"/>
      <c r="E325" s="555"/>
      <c r="F325" s="555"/>
      <c r="G325" s="555"/>
      <c r="H325" s="555"/>
    </row>
    <row r="326" spans="2:8">
      <c r="B326" s="557"/>
      <c r="C326" s="555"/>
      <c r="D326" s="555"/>
      <c r="E326" s="555"/>
      <c r="F326" s="555"/>
      <c r="G326" s="555"/>
      <c r="H326" s="555"/>
    </row>
    <row r="327" spans="2:8">
      <c r="B327" s="557"/>
      <c r="C327" s="555"/>
      <c r="D327" s="555"/>
      <c r="E327" s="555"/>
      <c r="F327" s="555"/>
      <c r="G327" s="555"/>
      <c r="H327" s="555"/>
    </row>
    <row r="328" spans="2:8">
      <c r="B328" s="557"/>
      <c r="C328" s="555"/>
      <c r="D328" s="555"/>
      <c r="E328" s="555"/>
      <c r="F328" s="555"/>
      <c r="G328" s="555"/>
      <c r="H328" s="555"/>
    </row>
    <row r="329" spans="2:8">
      <c r="B329" s="557"/>
      <c r="C329" s="555"/>
      <c r="D329" s="555"/>
      <c r="E329" s="555"/>
      <c r="F329" s="555"/>
      <c r="G329" s="555"/>
      <c r="H329" s="555"/>
    </row>
    <row r="330" spans="2:8">
      <c r="B330" s="557"/>
      <c r="C330" s="555"/>
      <c r="D330" s="555"/>
      <c r="E330" s="555"/>
      <c r="F330" s="555"/>
      <c r="G330" s="555"/>
      <c r="H330" s="555"/>
    </row>
    <row r="331" spans="2:8">
      <c r="B331" s="557"/>
      <c r="C331" s="555"/>
      <c r="D331" s="555"/>
      <c r="E331" s="555"/>
      <c r="F331" s="555"/>
      <c r="G331" s="555"/>
      <c r="H331" s="555"/>
    </row>
    <row r="332" spans="2:8">
      <c r="B332" s="557"/>
      <c r="C332" s="555"/>
      <c r="D332" s="555"/>
      <c r="E332" s="555"/>
      <c r="F332" s="555"/>
      <c r="G332" s="555"/>
      <c r="H332" s="555"/>
    </row>
    <row r="333" spans="2:8">
      <c r="B333" s="557"/>
      <c r="C333" s="555"/>
      <c r="D333" s="555"/>
      <c r="E333" s="555"/>
      <c r="F333" s="555"/>
      <c r="G333" s="555"/>
      <c r="H333" s="555"/>
    </row>
    <row r="334" spans="2:8">
      <c r="B334" s="557"/>
      <c r="C334" s="555"/>
      <c r="D334" s="555"/>
      <c r="E334" s="555"/>
      <c r="F334" s="555"/>
      <c r="G334" s="555"/>
      <c r="H334" s="555"/>
    </row>
    <row r="335" spans="2:8">
      <c r="B335" s="557"/>
      <c r="C335" s="555"/>
      <c r="D335" s="555"/>
      <c r="E335" s="555"/>
      <c r="F335" s="555"/>
      <c r="G335" s="555"/>
      <c r="H335" s="555"/>
    </row>
    <row r="336" spans="2:8">
      <c r="B336" s="557"/>
      <c r="C336" s="555"/>
      <c r="D336" s="555"/>
      <c r="E336" s="555"/>
      <c r="F336" s="555"/>
      <c r="G336" s="555"/>
      <c r="H336" s="555"/>
    </row>
    <row r="337" spans="2:8">
      <c r="B337" s="557"/>
      <c r="C337" s="555"/>
      <c r="D337" s="555"/>
      <c r="E337" s="555"/>
      <c r="F337" s="555"/>
      <c r="G337" s="555"/>
      <c r="H337" s="555"/>
    </row>
    <row r="338" spans="2:8">
      <c r="B338" s="557"/>
      <c r="C338" s="555"/>
      <c r="D338" s="555"/>
      <c r="E338" s="555"/>
      <c r="F338" s="555"/>
      <c r="G338" s="555"/>
      <c r="H338" s="555"/>
    </row>
    <row r="339" spans="2:8">
      <c r="B339" s="557"/>
      <c r="C339" s="555"/>
      <c r="D339" s="555"/>
      <c r="E339" s="555"/>
      <c r="F339" s="555"/>
      <c r="G339" s="555"/>
      <c r="H339" s="555"/>
    </row>
    <row r="340" spans="2:8">
      <c r="B340" s="557"/>
      <c r="C340" s="555"/>
      <c r="D340" s="555"/>
      <c r="E340" s="555"/>
      <c r="F340" s="555"/>
      <c r="G340" s="555"/>
      <c r="H340" s="555"/>
    </row>
    <row r="341" spans="2:8">
      <c r="B341" s="557"/>
      <c r="C341" s="555"/>
      <c r="D341" s="555"/>
      <c r="E341" s="555"/>
      <c r="F341" s="555"/>
      <c r="G341" s="555"/>
      <c r="H341" s="555"/>
    </row>
    <row r="342" spans="2:8">
      <c r="B342" s="557"/>
      <c r="C342" s="555"/>
      <c r="D342" s="555"/>
      <c r="E342" s="555"/>
      <c r="F342" s="555"/>
      <c r="G342" s="555"/>
      <c r="H342" s="555"/>
    </row>
    <row r="343" spans="2:8">
      <c r="B343" s="557"/>
      <c r="C343" s="555"/>
      <c r="D343" s="555"/>
      <c r="E343" s="555"/>
      <c r="F343" s="555"/>
      <c r="G343" s="555"/>
      <c r="H343" s="555"/>
    </row>
    <row r="344" spans="2:8">
      <c r="B344" s="557"/>
      <c r="C344" s="555"/>
      <c r="D344" s="555"/>
      <c r="E344" s="555"/>
      <c r="F344" s="555"/>
      <c r="G344" s="555"/>
      <c r="H344" s="555"/>
    </row>
    <row r="345" spans="2:8">
      <c r="B345" s="557"/>
      <c r="C345" s="555"/>
      <c r="D345" s="555"/>
      <c r="E345" s="555"/>
      <c r="F345" s="555"/>
      <c r="G345" s="555"/>
      <c r="H345" s="555"/>
    </row>
    <row r="346" spans="2:8">
      <c r="B346" s="557"/>
      <c r="C346" s="555"/>
      <c r="D346" s="555"/>
      <c r="E346" s="555"/>
      <c r="F346" s="555"/>
      <c r="G346" s="555"/>
      <c r="H346" s="555"/>
    </row>
    <row r="347" spans="2:8">
      <c r="B347" s="557"/>
      <c r="C347" s="555"/>
      <c r="D347" s="555"/>
      <c r="E347" s="555"/>
      <c r="F347" s="555"/>
      <c r="G347" s="555"/>
      <c r="H347" s="555"/>
    </row>
    <row r="348" spans="2:8">
      <c r="B348" s="557"/>
      <c r="C348" s="555"/>
      <c r="D348" s="555"/>
      <c r="E348" s="555"/>
      <c r="F348" s="555"/>
      <c r="G348" s="555"/>
      <c r="H348" s="555"/>
    </row>
    <row r="349" spans="2:8">
      <c r="B349" s="557"/>
      <c r="C349" s="555"/>
      <c r="D349" s="555"/>
      <c r="E349" s="555"/>
      <c r="F349" s="555"/>
      <c r="G349" s="555"/>
      <c r="H349" s="555"/>
    </row>
    <row r="350" spans="2:8">
      <c r="B350" s="557"/>
      <c r="C350" s="555"/>
      <c r="D350" s="555"/>
      <c r="E350" s="555"/>
      <c r="F350" s="555"/>
      <c r="G350" s="555"/>
      <c r="H350" s="555"/>
    </row>
    <row r="351" spans="2:8">
      <c r="B351" s="557"/>
      <c r="C351" s="555"/>
      <c r="D351" s="555"/>
      <c r="E351" s="555"/>
      <c r="F351" s="555"/>
      <c r="G351" s="555"/>
      <c r="H351" s="555"/>
    </row>
    <row r="352" spans="2:8">
      <c r="B352" s="557"/>
      <c r="C352" s="555"/>
      <c r="D352" s="555"/>
      <c r="E352" s="555"/>
      <c r="F352" s="555"/>
      <c r="G352" s="555"/>
      <c r="H352" s="555"/>
    </row>
    <row r="353" spans="2:8">
      <c r="B353" s="557"/>
      <c r="C353" s="555"/>
      <c r="D353" s="555"/>
      <c r="E353" s="555"/>
      <c r="F353" s="555"/>
      <c r="G353" s="555"/>
      <c r="H353" s="555"/>
    </row>
    <row r="354" spans="2:8">
      <c r="B354" s="557"/>
      <c r="C354" s="555"/>
      <c r="D354" s="555"/>
      <c r="E354" s="555"/>
      <c r="F354" s="555"/>
      <c r="G354" s="555"/>
      <c r="H354" s="555"/>
    </row>
    <row r="355" spans="2:8">
      <c r="B355" s="557"/>
      <c r="C355" s="555"/>
      <c r="D355" s="555"/>
      <c r="E355" s="555"/>
      <c r="F355" s="555"/>
      <c r="G355" s="555"/>
      <c r="H355" s="555"/>
    </row>
    <row r="356" spans="2:8">
      <c r="B356" s="557"/>
      <c r="C356" s="555"/>
      <c r="D356" s="555"/>
      <c r="E356" s="555"/>
      <c r="F356" s="555"/>
      <c r="G356" s="555"/>
      <c r="H356" s="555"/>
    </row>
    <row r="357" spans="2:8">
      <c r="B357" s="557"/>
      <c r="C357" s="555"/>
      <c r="D357" s="555"/>
      <c r="E357" s="555"/>
      <c r="F357" s="555"/>
      <c r="G357" s="555"/>
      <c r="H357" s="555"/>
    </row>
    <row r="358" spans="2:8">
      <c r="B358" s="557"/>
      <c r="C358" s="555"/>
      <c r="D358" s="555"/>
      <c r="E358" s="555"/>
      <c r="F358" s="555"/>
      <c r="G358" s="555"/>
      <c r="H358" s="555"/>
    </row>
    <row r="359" spans="2:8">
      <c r="B359" s="557"/>
      <c r="C359" s="555"/>
      <c r="D359" s="555"/>
      <c r="E359" s="555"/>
      <c r="F359" s="555"/>
      <c r="G359" s="555"/>
      <c r="H359" s="555"/>
    </row>
    <row r="360" spans="2:8">
      <c r="B360" s="557"/>
      <c r="C360" s="555"/>
      <c r="D360" s="555"/>
      <c r="E360" s="555"/>
      <c r="F360" s="555"/>
      <c r="G360" s="555"/>
      <c r="H360" s="555"/>
    </row>
    <row r="361" spans="2:8">
      <c r="B361" s="557"/>
      <c r="C361" s="555"/>
      <c r="D361" s="555"/>
      <c r="E361" s="555"/>
      <c r="F361" s="555"/>
      <c r="G361" s="555"/>
      <c r="H361" s="555"/>
    </row>
    <row r="362" spans="2:8">
      <c r="B362" s="557"/>
      <c r="C362" s="555"/>
      <c r="D362" s="555"/>
      <c r="E362" s="555"/>
      <c r="F362" s="555"/>
      <c r="G362" s="555"/>
      <c r="H362" s="555"/>
    </row>
    <row r="363" spans="2:8">
      <c r="B363" s="557"/>
      <c r="C363" s="555"/>
      <c r="D363" s="555"/>
      <c r="E363" s="555"/>
      <c r="F363" s="555"/>
      <c r="G363" s="555"/>
      <c r="H363" s="555"/>
    </row>
    <row r="364" spans="2:8">
      <c r="B364" s="557"/>
      <c r="C364" s="555"/>
      <c r="D364" s="555"/>
      <c r="E364" s="555"/>
      <c r="F364" s="555"/>
      <c r="G364" s="555"/>
      <c r="H364" s="555"/>
    </row>
    <row r="365" spans="2:8">
      <c r="B365" s="557"/>
      <c r="C365" s="555"/>
      <c r="D365" s="555"/>
      <c r="E365" s="555"/>
      <c r="F365" s="555"/>
      <c r="G365" s="555"/>
      <c r="H365" s="555"/>
    </row>
    <row r="366" spans="2:8">
      <c r="B366" s="557"/>
      <c r="C366" s="555"/>
      <c r="D366" s="555"/>
      <c r="E366" s="555"/>
      <c r="F366" s="555"/>
      <c r="G366" s="555"/>
      <c r="H366" s="555"/>
    </row>
    <row r="367" spans="2:8">
      <c r="B367" s="557"/>
      <c r="C367" s="555"/>
      <c r="D367" s="555"/>
      <c r="E367" s="555"/>
      <c r="F367" s="555"/>
      <c r="G367" s="555"/>
      <c r="H367" s="555"/>
    </row>
    <row r="368" spans="2:8">
      <c r="B368" s="557"/>
      <c r="C368" s="555"/>
      <c r="D368" s="555"/>
      <c r="E368" s="555"/>
      <c r="F368" s="555"/>
      <c r="G368" s="555"/>
      <c r="H368" s="555"/>
    </row>
    <row r="369" spans="2:8">
      <c r="B369" s="557"/>
      <c r="C369" s="555"/>
      <c r="D369" s="555"/>
      <c r="E369" s="555"/>
      <c r="F369" s="555"/>
      <c r="G369" s="555"/>
      <c r="H369" s="555"/>
    </row>
    <row r="370" spans="2:8">
      <c r="B370" s="557"/>
      <c r="C370" s="555"/>
      <c r="D370" s="555"/>
      <c r="E370" s="555"/>
      <c r="F370" s="555"/>
      <c r="G370" s="555"/>
      <c r="H370" s="555"/>
    </row>
    <row r="371" spans="2:8">
      <c r="B371" s="557"/>
      <c r="C371" s="555"/>
      <c r="D371" s="555"/>
      <c r="E371" s="555"/>
      <c r="F371" s="555"/>
      <c r="G371" s="555"/>
      <c r="H371" s="555"/>
    </row>
    <row r="372" spans="2:8">
      <c r="B372" s="557"/>
      <c r="C372" s="555"/>
      <c r="D372" s="555"/>
      <c r="E372" s="555"/>
      <c r="F372" s="555"/>
      <c r="G372" s="555"/>
      <c r="H372" s="555"/>
    </row>
    <row r="373" spans="2:8">
      <c r="B373" s="557"/>
      <c r="C373" s="555"/>
      <c r="D373" s="555"/>
      <c r="E373" s="555"/>
      <c r="F373" s="555"/>
      <c r="G373" s="555"/>
      <c r="H373" s="555"/>
    </row>
    <row r="374" spans="2:8">
      <c r="B374" s="557"/>
      <c r="C374" s="555"/>
      <c r="D374" s="555"/>
      <c r="E374" s="555"/>
      <c r="F374" s="555"/>
      <c r="G374" s="555"/>
      <c r="H374" s="555"/>
    </row>
    <row r="375" spans="2:8">
      <c r="B375" s="557"/>
      <c r="C375" s="555"/>
      <c r="D375" s="555"/>
      <c r="E375" s="555"/>
      <c r="F375" s="555"/>
      <c r="G375" s="555"/>
      <c r="H375" s="555"/>
    </row>
    <row r="376" spans="2:8">
      <c r="B376" s="557"/>
      <c r="C376" s="555"/>
      <c r="D376" s="555"/>
      <c r="E376" s="555"/>
      <c r="F376" s="555"/>
      <c r="G376" s="555"/>
      <c r="H376" s="555"/>
    </row>
    <row r="377" spans="2:8">
      <c r="B377" s="557"/>
      <c r="C377" s="555"/>
      <c r="D377" s="555"/>
      <c r="E377" s="555"/>
      <c r="F377" s="555"/>
      <c r="G377" s="555"/>
      <c r="H377" s="555"/>
    </row>
    <row r="378" spans="2:8">
      <c r="B378" s="557"/>
      <c r="C378" s="555"/>
      <c r="D378" s="555"/>
      <c r="E378" s="555"/>
      <c r="F378" s="555"/>
      <c r="G378" s="555"/>
      <c r="H378" s="555"/>
    </row>
    <row r="379" spans="2:8">
      <c r="B379" s="557"/>
      <c r="C379" s="555"/>
      <c r="D379" s="555"/>
      <c r="E379" s="555"/>
      <c r="F379" s="555"/>
      <c r="G379" s="555"/>
      <c r="H379" s="555"/>
    </row>
    <row r="380" spans="2:8">
      <c r="B380" s="557"/>
      <c r="C380" s="555"/>
      <c r="D380" s="555"/>
      <c r="E380" s="555"/>
      <c r="F380" s="555"/>
      <c r="G380" s="555"/>
      <c r="H380" s="555"/>
    </row>
    <row r="381" spans="2:8">
      <c r="B381" s="557"/>
      <c r="C381" s="555"/>
      <c r="D381" s="555"/>
      <c r="E381" s="555"/>
      <c r="F381" s="555"/>
      <c r="G381" s="555"/>
      <c r="H381" s="555"/>
    </row>
    <row r="382" spans="2:8">
      <c r="B382" s="557"/>
      <c r="C382" s="555"/>
      <c r="D382" s="555"/>
      <c r="E382" s="555"/>
      <c r="F382" s="555"/>
      <c r="G382" s="555"/>
      <c r="H382" s="555"/>
    </row>
    <row r="383" spans="2:8">
      <c r="B383" s="557"/>
      <c r="C383" s="555"/>
      <c r="D383" s="555"/>
      <c r="E383" s="555"/>
      <c r="F383" s="555"/>
      <c r="G383" s="555"/>
      <c r="H383" s="555"/>
    </row>
    <row r="384" spans="2:8">
      <c r="B384" s="557"/>
      <c r="C384" s="555"/>
      <c r="D384" s="555"/>
      <c r="E384" s="555"/>
      <c r="F384" s="555"/>
      <c r="G384" s="555"/>
      <c r="H384" s="555"/>
    </row>
    <row r="385" spans="2:8">
      <c r="B385" s="557"/>
      <c r="C385" s="555"/>
      <c r="D385" s="555"/>
      <c r="E385" s="555"/>
      <c r="F385" s="555"/>
      <c r="G385" s="555"/>
      <c r="H385" s="555"/>
    </row>
    <row r="386" spans="2:8">
      <c r="B386" s="557"/>
      <c r="C386" s="555"/>
      <c r="D386" s="555"/>
      <c r="E386" s="555"/>
      <c r="F386" s="555"/>
      <c r="G386" s="555"/>
      <c r="H386" s="555"/>
    </row>
    <row r="387" spans="2:8">
      <c r="B387" s="557"/>
      <c r="C387" s="555"/>
      <c r="D387" s="555"/>
      <c r="E387" s="555"/>
      <c r="F387" s="555"/>
      <c r="G387" s="555"/>
      <c r="H387" s="555"/>
    </row>
    <row r="388" spans="2:8">
      <c r="B388" s="557"/>
      <c r="C388" s="555"/>
      <c r="D388" s="555"/>
      <c r="E388" s="555"/>
      <c r="F388" s="555"/>
      <c r="G388" s="555"/>
      <c r="H388" s="555"/>
    </row>
    <row r="389" spans="2:8">
      <c r="B389" s="557"/>
      <c r="C389" s="555"/>
      <c r="D389" s="555"/>
      <c r="E389" s="555"/>
      <c r="F389" s="555"/>
      <c r="G389" s="555"/>
      <c r="H389" s="555"/>
    </row>
    <row r="390" spans="2:8">
      <c r="B390" s="557"/>
      <c r="C390" s="555"/>
      <c r="D390" s="555"/>
      <c r="E390" s="555"/>
      <c r="F390" s="555"/>
      <c r="G390" s="555"/>
      <c r="H390" s="555"/>
    </row>
    <row r="391" spans="2:8">
      <c r="B391" s="557"/>
      <c r="C391" s="555"/>
      <c r="D391" s="555"/>
      <c r="E391" s="555"/>
      <c r="F391" s="555"/>
      <c r="G391" s="555"/>
      <c r="H391" s="555"/>
    </row>
    <row r="392" spans="2:8">
      <c r="B392" s="557"/>
      <c r="C392" s="555"/>
      <c r="D392" s="555"/>
      <c r="E392" s="555"/>
      <c r="F392" s="555"/>
      <c r="G392" s="555"/>
      <c r="H392" s="555"/>
    </row>
    <row r="393" spans="2:8">
      <c r="B393" s="557"/>
      <c r="C393" s="555"/>
      <c r="D393" s="555"/>
      <c r="E393" s="555"/>
      <c r="F393" s="555"/>
      <c r="G393" s="555"/>
      <c r="H393" s="555"/>
    </row>
    <row r="394" spans="2:8">
      <c r="B394" s="557"/>
      <c r="C394" s="555"/>
      <c r="D394" s="555"/>
      <c r="E394" s="555"/>
      <c r="F394" s="555"/>
      <c r="G394" s="555"/>
      <c r="H394" s="555"/>
    </row>
    <row r="395" spans="2:8">
      <c r="B395" s="557"/>
      <c r="C395" s="555"/>
      <c r="D395" s="555"/>
      <c r="E395" s="555"/>
      <c r="F395" s="555"/>
      <c r="G395" s="555"/>
      <c r="H395" s="555"/>
    </row>
    <row r="396" spans="2:8">
      <c r="B396" s="557"/>
      <c r="C396" s="555"/>
      <c r="D396" s="555"/>
      <c r="E396" s="555"/>
      <c r="F396" s="555"/>
      <c r="G396" s="555"/>
      <c r="H396" s="555"/>
    </row>
    <row r="397" spans="2:8">
      <c r="B397" s="557"/>
      <c r="C397" s="555"/>
      <c r="D397" s="555"/>
      <c r="E397" s="555"/>
      <c r="F397" s="555"/>
      <c r="G397" s="555"/>
      <c r="H397" s="555"/>
    </row>
    <row r="398" spans="2:8">
      <c r="B398" s="557"/>
      <c r="C398" s="555"/>
      <c r="D398" s="555"/>
      <c r="E398" s="555"/>
      <c r="F398" s="555"/>
      <c r="G398" s="555"/>
      <c r="H398" s="555"/>
    </row>
    <row r="399" spans="2:8">
      <c r="B399" s="557"/>
      <c r="C399" s="555"/>
      <c r="D399" s="555"/>
      <c r="E399" s="555"/>
      <c r="F399" s="555"/>
      <c r="G399" s="555"/>
      <c r="H399" s="555"/>
    </row>
    <row r="400" spans="2:8">
      <c r="B400" s="557"/>
      <c r="C400" s="555"/>
      <c r="D400" s="555"/>
      <c r="E400" s="555"/>
      <c r="F400" s="555"/>
      <c r="G400" s="555"/>
      <c r="H400" s="555"/>
    </row>
    <row r="401" spans="2:8">
      <c r="B401" s="557"/>
      <c r="C401" s="555"/>
      <c r="D401" s="555"/>
      <c r="E401" s="555"/>
      <c r="F401" s="555"/>
      <c r="G401" s="555"/>
      <c r="H401" s="555"/>
    </row>
    <row r="402" spans="2:8">
      <c r="B402" s="557"/>
      <c r="C402" s="555"/>
      <c r="D402" s="555"/>
      <c r="E402" s="555"/>
      <c r="F402" s="555"/>
      <c r="G402" s="555"/>
      <c r="H402" s="555"/>
    </row>
    <row r="403" spans="2:8">
      <c r="B403" s="557"/>
      <c r="C403" s="555"/>
      <c r="D403" s="555"/>
      <c r="E403" s="555"/>
      <c r="F403" s="555"/>
      <c r="G403" s="555"/>
      <c r="H403" s="555"/>
    </row>
    <row r="404" spans="2:8">
      <c r="B404" s="557"/>
      <c r="C404" s="555"/>
      <c r="D404" s="555"/>
      <c r="E404" s="555"/>
      <c r="F404" s="555"/>
      <c r="G404" s="555"/>
      <c r="H404" s="555"/>
    </row>
    <row r="405" spans="2:8">
      <c r="B405" s="557"/>
      <c r="C405" s="555"/>
      <c r="D405" s="555"/>
      <c r="E405" s="555"/>
      <c r="F405" s="555"/>
      <c r="G405" s="555"/>
      <c r="H405" s="555"/>
    </row>
    <row r="406" spans="2:8">
      <c r="B406" s="557"/>
      <c r="C406" s="555"/>
      <c r="D406" s="555"/>
      <c r="E406" s="555"/>
      <c r="F406" s="555"/>
      <c r="G406" s="555"/>
      <c r="H406" s="555"/>
    </row>
    <row r="407" spans="2:8">
      <c r="B407" s="557"/>
      <c r="C407" s="555"/>
      <c r="D407" s="555"/>
      <c r="E407" s="555"/>
      <c r="F407" s="555"/>
      <c r="G407" s="555"/>
      <c r="H407" s="555"/>
    </row>
    <row r="408" spans="2:8">
      <c r="B408" s="557"/>
      <c r="C408" s="555"/>
      <c r="D408" s="555"/>
      <c r="E408" s="555"/>
      <c r="F408" s="555"/>
      <c r="G408" s="555"/>
      <c r="H408" s="555"/>
    </row>
    <row r="409" spans="2:8">
      <c r="B409" s="557"/>
      <c r="C409" s="555"/>
      <c r="D409" s="555"/>
      <c r="E409" s="555"/>
      <c r="F409" s="555"/>
      <c r="G409" s="555"/>
      <c r="H409" s="555"/>
    </row>
    <row r="410" spans="2:8">
      <c r="B410" s="557"/>
      <c r="C410" s="555"/>
      <c r="D410" s="555"/>
      <c r="E410" s="555"/>
      <c r="F410" s="555"/>
      <c r="G410" s="555"/>
      <c r="H410" s="555"/>
    </row>
    <row r="411" spans="2:8">
      <c r="B411" s="557"/>
      <c r="C411" s="555"/>
      <c r="D411" s="555"/>
      <c r="E411" s="555"/>
      <c r="F411" s="555"/>
      <c r="G411" s="555"/>
      <c r="H411" s="555"/>
    </row>
    <row r="412" spans="2:8">
      <c r="B412" s="557"/>
      <c r="C412" s="555"/>
      <c r="D412" s="555"/>
      <c r="E412" s="555"/>
      <c r="F412" s="555"/>
      <c r="G412" s="555"/>
      <c r="H412" s="555"/>
    </row>
    <row r="413" spans="2:8">
      <c r="B413" s="557"/>
      <c r="C413" s="555"/>
      <c r="D413" s="555"/>
      <c r="E413" s="555"/>
      <c r="F413" s="555"/>
      <c r="G413" s="555"/>
      <c r="H413" s="555"/>
    </row>
    <row r="414" spans="2:8">
      <c r="B414" s="557"/>
      <c r="C414" s="555"/>
      <c r="D414" s="555"/>
      <c r="E414" s="555"/>
      <c r="F414" s="555"/>
      <c r="G414" s="555"/>
      <c r="H414" s="555"/>
    </row>
    <row r="415" spans="2:8">
      <c r="B415" s="557"/>
      <c r="C415" s="555"/>
      <c r="D415" s="555"/>
      <c r="E415" s="555"/>
      <c r="F415" s="555"/>
      <c r="G415" s="555"/>
      <c r="H415" s="555"/>
    </row>
    <row r="416" spans="2:8">
      <c r="B416" s="557"/>
      <c r="C416" s="555"/>
      <c r="D416" s="555"/>
      <c r="E416" s="555"/>
      <c r="F416" s="555"/>
      <c r="G416" s="555"/>
      <c r="H416" s="555"/>
    </row>
    <row r="417" spans="2:8">
      <c r="B417" s="557"/>
      <c r="C417" s="555"/>
      <c r="D417" s="555"/>
      <c r="E417" s="555"/>
      <c r="F417" s="555"/>
      <c r="G417" s="555"/>
      <c r="H417" s="555"/>
    </row>
    <row r="418" spans="2:8">
      <c r="B418" s="557"/>
      <c r="C418" s="555"/>
      <c r="D418" s="555"/>
      <c r="E418" s="555"/>
      <c r="F418" s="555"/>
      <c r="G418" s="555"/>
      <c r="H418" s="555"/>
    </row>
    <row r="419" spans="2:8">
      <c r="B419" s="557"/>
      <c r="C419" s="555"/>
      <c r="D419" s="555"/>
      <c r="E419" s="555"/>
      <c r="F419" s="555"/>
      <c r="G419" s="555"/>
      <c r="H419" s="555"/>
    </row>
    <row r="420" spans="2:8">
      <c r="B420" s="557"/>
      <c r="C420" s="555"/>
      <c r="D420" s="555"/>
      <c r="E420" s="555"/>
      <c r="F420" s="555"/>
      <c r="G420" s="555"/>
      <c r="H420" s="555"/>
    </row>
    <row r="421" spans="2:8">
      <c r="B421" s="557"/>
      <c r="C421" s="555"/>
      <c r="D421" s="555"/>
      <c r="E421" s="555"/>
      <c r="F421" s="555"/>
      <c r="G421" s="555"/>
      <c r="H421" s="555"/>
    </row>
    <row r="422" spans="2:8">
      <c r="B422" s="557"/>
      <c r="C422" s="555"/>
      <c r="D422" s="555"/>
      <c r="E422" s="555"/>
      <c r="F422" s="555"/>
      <c r="G422" s="555"/>
      <c r="H422" s="555"/>
    </row>
    <row r="423" spans="2:8">
      <c r="B423" s="557"/>
      <c r="C423" s="555"/>
      <c r="D423" s="555"/>
      <c r="E423" s="555"/>
      <c r="F423" s="555"/>
      <c r="G423" s="555"/>
      <c r="H423" s="555"/>
    </row>
    <row r="424" spans="2:8">
      <c r="B424" s="557"/>
      <c r="C424" s="555"/>
      <c r="D424" s="555"/>
      <c r="E424" s="555"/>
      <c r="F424" s="555"/>
      <c r="G424" s="555"/>
      <c r="H424" s="555"/>
    </row>
    <row r="425" spans="2:8">
      <c r="B425" s="557"/>
      <c r="C425" s="555"/>
      <c r="D425" s="555"/>
      <c r="E425" s="555"/>
      <c r="F425" s="555"/>
      <c r="G425" s="555"/>
      <c r="H425" s="555"/>
    </row>
    <row r="426" spans="2:8">
      <c r="B426" s="557"/>
      <c r="C426" s="555"/>
      <c r="D426" s="555"/>
      <c r="E426" s="555"/>
      <c r="F426" s="555"/>
      <c r="G426" s="555"/>
      <c r="H426" s="555"/>
    </row>
    <row r="427" spans="2:8">
      <c r="B427" s="557"/>
      <c r="C427" s="555"/>
      <c r="D427" s="555"/>
      <c r="E427" s="555"/>
      <c r="F427" s="555"/>
      <c r="G427" s="555"/>
      <c r="H427" s="555"/>
    </row>
    <row r="428" spans="2:8">
      <c r="B428" s="557"/>
      <c r="C428" s="555"/>
      <c r="D428" s="555"/>
      <c r="E428" s="555"/>
      <c r="F428" s="555"/>
      <c r="G428" s="555"/>
      <c r="H428" s="555"/>
    </row>
    <row r="429" spans="2:8">
      <c r="B429" s="557"/>
      <c r="C429" s="555"/>
      <c r="D429" s="555"/>
      <c r="E429" s="555"/>
      <c r="F429" s="555"/>
      <c r="G429" s="555"/>
      <c r="H429" s="555"/>
    </row>
    <row r="430" spans="2:8">
      <c r="B430" s="557"/>
      <c r="C430" s="555"/>
      <c r="D430" s="555"/>
      <c r="E430" s="555"/>
      <c r="F430" s="555"/>
      <c r="G430" s="555"/>
      <c r="H430" s="555"/>
    </row>
    <row r="431" spans="2:8">
      <c r="B431" s="557"/>
      <c r="C431" s="555"/>
      <c r="D431" s="555"/>
      <c r="E431" s="555"/>
      <c r="F431" s="555"/>
      <c r="G431" s="555"/>
      <c r="H431" s="555"/>
    </row>
    <row r="432" spans="2:8">
      <c r="B432" s="557"/>
      <c r="C432" s="555"/>
      <c r="D432" s="555"/>
      <c r="E432" s="555"/>
      <c r="F432" s="555"/>
      <c r="G432" s="555"/>
      <c r="H432" s="555"/>
    </row>
    <row r="433" spans="2:8">
      <c r="B433" s="557"/>
      <c r="C433" s="555"/>
      <c r="D433" s="555"/>
      <c r="E433" s="555"/>
      <c r="F433" s="555"/>
      <c r="G433" s="555"/>
      <c r="H433" s="555"/>
    </row>
    <row r="434" spans="2:8">
      <c r="B434" s="557"/>
      <c r="C434" s="555"/>
      <c r="D434" s="555"/>
      <c r="E434" s="555"/>
      <c r="F434" s="555"/>
      <c r="G434" s="555"/>
      <c r="H434" s="555"/>
    </row>
    <row r="435" spans="2:8">
      <c r="B435" s="557"/>
      <c r="C435" s="555"/>
      <c r="D435" s="555"/>
      <c r="E435" s="555"/>
      <c r="F435" s="555"/>
      <c r="G435" s="555"/>
      <c r="H435" s="555"/>
    </row>
    <row r="436" spans="2:8">
      <c r="B436" s="557"/>
      <c r="C436" s="555"/>
      <c r="D436" s="555"/>
      <c r="E436" s="555"/>
      <c r="F436" s="555"/>
      <c r="G436" s="555"/>
      <c r="H436" s="555"/>
    </row>
    <row r="437" spans="2:8">
      <c r="B437" s="557"/>
      <c r="C437" s="555"/>
      <c r="D437" s="555"/>
      <c r="E437" s="555"/>
      <c r="F437" s="555"/>
      <c r="G437" s="555"/>
      <c r="H437" s="555"/>
    </row>
    <row r="438" spans="2:8">
      <c r="B438" s="557"/>
      <c r="C438" s="555"/>
      <c r="D438" s="555"/>
      <c r="E438" s="555"/>
      <c r="F438" s="555"/>
      <c r="G438" s="555"/>
      <c r="H438" s="555"/>
    </row>
    <row r="439" spans="2:8">
      <c r="B439" s="557"/>
      <c r="C439" s="555"/>
      <c r="D439" s="555"/>
      <c r="E439" s="555"/>
      <c r="F439" s="555"/>
      <c r="G439" s="555"/>
      <c r="H439" s="555"/>
    </row>
    <row r="440" spans="2:8">
      <c r="B440" s="557"/>
      <c r="C440" s="555"/>
      <c r="D440" s="555"/>
      <c r="E440" s="555"/>
      <c r="F440" s="555"/>
      <c r="G440" s="555"/>
      <c r="H440" s="555"/>
    </row>
    <row r="441" spans="2:8">
      <c r="B441" s="557"/>
      <c r="C441" s="555"/>
      <c r="D441" s="555"/>
      <c r="E441" s="555"/>
      <c r="F441" s="555"/>
      <c r="G441" s="555"/>
      <c r="H441" s="555"/>
    </row>
    <row r="442" spans="2:8">
      <c r="B442" s="557"/>
      <c r="C442" s="555"/>
      <c r="D442" s="555"/>
      <c r="E442" s="555"/>
      <c r="F442" s="555"/>
      <c r="G442" s="555"/>
      <c r="H442" s="555"/>
    </row>
    <row r="443" spans="2:8">
      <c r="B443" s="557"/>
      <c r="C443" s="555"/>
      <c r="D443" s="555"/>
      <c r="E443" s="555"/>
      <c r="F443" s="555"/>
      <c r="G443" s="555"/>
      <c r="H443" s="555"/>
    </row>
    <row r="444" spans="2:8">
      <c r="B444" s="557"/>
      <c r="C444" s="555"/>
      <c r="D444" s="555"/>
      <c r="E444" s="555"/>
      <c r="F444" s="555"/>
      <c r="G444" s="555"/>
      <c r="H444" s="555"/>
    </row>
    <row r="445" spans="2:8">
      <c r="B445" s="557"/>
      <c r="C445" s="555"/>
      <c r="D445" s="555"/>
      <c r="E445" s="555"/>
      <c r="F445" s="555"/>
      <c r="G445" s="555"/>
      <c r="H445" s="555"/>
    </row>
    <row r="446" spans="2:8">
      <c r="B446" s="557"/>
      <c r="C446" s="555"/>
      <c r="D446" s="555"/>
      <c r="E446" s="555"/>
      <c r="F446" s="555"/>
      <c r="G446" s="555"/>
      <c r="H446" s="555"/>
    </row>
    <row r="447" spans="2:8">
      <c r="B447" s="557"/>
      <c r="C447" s="555"/>
      <c r="D447" s="555"/>
      <c r="E447" s="555"/>
      <c r="F447" s="555"/>
      <c r="G447" s="555"/>
      <c r="H447" s="555"/>
    </row>
    <row r="448" spans="2:8">
      <c r="B448" s="557"/>
      <c r="C448" s="555"/>
      <c r="D448" s="555"/>
      <c r="E448" s="555"/>
      <c r="F448" s="555"/>
      <c r="G448" s="555"/>
      <c r="H448" s="555"/>
    </row>
    <row r="449" spans="2:8">
      <c r="B449" s="557"/>
      <c r="C449" s="555"/>
      <c r="D449" s="555"/>
      <c r="E449" s="555"/>
      <c r="F449" s="555"/>
      <c r="G449" s="555"/>
      <c r="H449" s="555"/>
    </row>
    <row r="450" spans="2:8">
      <c r="B450" s="557"/>
      <c r="C450" s="555"/>
      <c r="D450" s="555"/>
      <c r="E450" s="555"/>
      <c r="F450" s="555"/>
      <c r="G450" s="555"/>
      <c r="H450" s="555"/>
    </row>
    <row r="451" spans="2:8">
      <c r="B451" s="557"/>
      <c r="C451" s="555"/>
      <c r="D451" s="555"/>
      <c r="E451" s="555"/>
      <c r="F451" s="555"/>
      <c r="G451" s="555"/>
      <c r="H451" s="555"/>
    </row>
    <row r="452" spans="2:8">
      <c r="B452" s="557"/>
      <c r="C452" s="555"/>
      <c r="D452" s="555"/>
      <c r="E452" s="555"/>
      <c r="F452" s="555"/>
      <c r="G452" s="555"/>
      <c r="H452" s="555"/>
    </row>
    <row r="453" spans="2:8">
      <c r="B453" s="557"/>
      <c r="C453" s="555"/>
      <c r="D453" s="555"/>
      <c r="E453" s="555"/>
      <c r="F453" s="555"/>
      <c r="G453" s="555"/>
      <c r="H453" s="555"/>
    </row>
    <row r="454" spans="2:8">
      <c r="B454" s="557"/>
      <c r="C454" s="555"/>
      <c r="D454" s="555"/>
      <c r="E454" s="555"/>
      <c r="F454" s="555"/>
      <c r="G454" s="555"/>
      <c r="H454" s="555"/>
    </row>
    <row r="455" spans="2:8">
      <c r="B455" s="557"/>
      <c r="C455" s="555"/>
      <c r="D455" s="555"/>
      <c r="E455" s="555"/>
      <c r="F455" s="555"/>
      <c r="G455" s="555"/>
      <c r="H455" s="555"/>
    </row>
    <row r="456" spans="2:8">
      <c r="B456" s="557"/>
      <c r="C456" s="555"/>
      <c r="D456" s="555"/>
      <c r="E456" s="555"/>
      <c r="F456" s="555"/>
      <c r="G456" s="555"/>
      <c r="H456" s="555"/>
    </row>
    <row r="457" spans="2:8">
      <c r="B457" s="557"/>
      <c r="C457" s="555"/>
      <c r="D457" s="555"/>
      <c r="E457" s="555"/>
      <c r="F457" s="555"/>
      <c r="G457" s="555"/>
      <c r="H457" s="555"/>
    </row>
    <row r="458" spans="2:8">
      <c r="B458" s="557"/>
      <c r="C458" s="555"/>
      <c r="D458" s="555"/>
      <c r="E458" s="555"/>
      <c r="F458" s="555"/>
      <c r="G458" s="555"/>
      <c r="H458" s="555"/>
    </row>
    <row r="459" spans="2:8">
      <c r="B459" s="557"/>
      <c r="C459" s="555"/>
      <c r="D459" s="555"/>
      <c r="E459" s="555"/>
      <c r="F459" s="555"/>
      <c r="G459" s="555"/>
      <c r="H459" s="555"/>
    </row>
    <row r="460" spans="2:8">
      <c r="B460" s="557"/>
      <c r="C460" s="555"/>
      <c r="D460" s="555"/>
      <c r="E460" s="555"/>
      <c r="F460" s="555"/>
      <c r="G460" s="555"/>
      <c r="H460" s="555"/>
    </row>
    <row r="461" spans="2:8">
      <c r="B461" s="557"/>
      <c r="C461" s="555"/>
      <c r="D461" s="555"/>
      <c r="E461" s="555"/>
      <c r="F461" s="555"/>
      <c r="G461" s="555"/>
      <c r="H461" s="555"/>
    </row>
    <row r="462" spans="2:8">
      <c r="B462" s="557"/>
      <c r="C462" s="555"/>
      <c r="D462" s="555"/>
      <c r="E462" s="555"/>
      <c r="F462" s="555"/>
      <c r="G462" s="555"/>
      <c r="H462" s="555"/>
    </row>
    <row r="463" spans="2:8">
      <c r="B463" s="557"/>
      <c r="C463" s="555"/>
      <c r="D463" s="555"/>
      <c r="E463" s="555"/>
      <c r="F463" s="555"/>
      <c r="G463" s="555"/>
      <c r="H463" s="555"/>
    </row>
    <row r="464" spans="2:8">
      <c r="B464" s="557"/>
      <c r="C464" s="555"/>
      <c r="D464" s="555"/>
      <c r="E464" s="555"/>
      <c r="F464" s="555"/>
      <c r="G464" s="555"/>
      <c r="H464" s="555"/>
    </row>
    <row r="465" spans="2:8">
      <c r="B465" s="557"/>
      <c r="C465" s="555"/>
      <c r="D465" s="555"/>
      <c r="E465" s="555"/>
      <c r="F465" s="555"/>
      <c r="G465" s="555"/>
      <c r="H465" s="555"/>
    </row>
    <row r="466" spans="2:8">
      <c r="B466" s="557"/>
      <c r="C466" s="555"/>
      <c r="D466" s="555"/>
      <c r="E466" s="555"/>
      <c r="F466" s="555"/>
      <c r="G466" s="555"/>
      <c r="H466" s="555"/>
    </row>
    <row r="467" spans="2:8">
      <c r="B467" s="557"/>
      <c r="C467" s="555"/>
      <c r="D467" s="555"/>
      <c r="E467" s="555"/>
      <c r="F467" s="555"/>
      <c r="G467" s="555"/>
      <c r="H467" s="555"/>
    </row>
    <row r="468" spans="2:8">
      <c r="B468" s="557"/>
      <c r="C468" s="555"/>
      <c r="D468" s="555"/>
      <c r="E468" s="555"/>
      <c r="F468" s="555"/>
      <c r="G468" s="555"/>
      <c r="H468" s="555"/>
    </row>
    <row r="469" spans="2:8">
      <c r="B469" s="557"/>
      <c r="C469" s="555"/>
      <c r="D469" s="555"/>
      <c r="E469" s="555"/>
      <c r="F469" s="555"/>
      <c r="G469" s="555"/>
      <c r="H469" s="555"/>
    </row>
    <row r="470" spans="2:8">
      <c r="B470" s="557"/>
      <c r="C470" s="555"/>
      <c r="D470" s="555"/>
      <c r="E470" s="555"/>
      <c r="F470" s="555"/>
      <c r="G470" s="555"/>
      <c r="H470" s="555"/>
    </row>
    <row r="471" spans="2:8">
      <c r="B471" s="557"/>
      <c r="C471" s="555"/>
      <c r="D471" s="555"/>
      <c r="E471" s="555"/>
      <c r="F471" s="555"/>
      <c r="G471" s="555"/>
      <c r="H471" s="555"/>
    </row>
    <row r="472" spans="2:8">
      <c r="B472" s="557"/>
      <c r="C472" s="555"/>
      <c r="D472" s="555"/>
      <c r="E472" s="555"/>
      <c r="F472" s="555"/>
      <c r="G472" s="555"/>
      <c r="H472" s="555"/>
    </row>
    <row r="473" spans="2:8">
      <c r="B473" s="557"/>
      <c r="C473" s="555"/>
      <c r="D473" s="555"/>
      <c r="E473" s="555"/>
      <c r="F473" s="555"/>
      <c r="G473" s="555"/>
      <c r="H473" s="555"/>
    </row>
    <row r="474" spans="2:8">
      <c r="B474" s="557"/>
      <c r="C474" s="555"/>
      <c r="D474" s="555"/>
      <c r="E474" s="555"/>
      <c r="F474" s="555"/>
      <c r="G474" s="555"/>
      <c r="H474" s="555"/>
    </row>
    <row r="475" spans="2:8">
      <c r="B475" s="557"/>
      <c r="C475" s="555"/>
      <c r="D475" s="555"/>
      <c r="E475" s="555"/>
      <c r="F475" s="555"/>
      <c r="G475" s="555"/>
      <c r="H475" s="555"/>
    </row>
    <row r="476" spans="2:8">
      <c r="B476" s="557"/>
      <c r="C476" s="555"/>
      <c r="D476" s="555"/>
      <c r="E476" s="555"/>
      <c r="F476" s="555"/>
      <c r="G476" s="555"/>
      <c r="H476" s="555"/>
    </row>
    <row r="477" spans="2:8">
      <c r="B477" s="557"/>
      <c r="C477" s="555"/>
      <c r="D477" s="555"/>
      <c r="E477" s="555"/>
      <c r="F477" s="555"/>
      <c r="G477" s="555"/>
      <c r="H477" s="555"/>
    </row>
    <row r="478" spans="2:8">
      <c r="B478" s="557"/>
      <c r="C478" s="555"/>
      <c r="D478" s="555"/>
      <c r="E478" s="555"/>
      <c r="F478" s="555"/>
      <c r="G478" s="555"/>
      <c r="H478" s="555"/>
    </row>
    <row r="479" spans="2:8">
      <c r="B479" s="557"/>
      <c r="C479" s="555"/>
      <c r="D479" s="555"/>
      <c r="E479" s="555"/>
      <c r="F479" s="555"/>
      <c r="G479" s="555"/>
      <c r="H479" s="555"/>
    </row>
    <row r="480" spans="2:8">
      <c r="B480" s="557"/>
      <c r="C480" s="555"/>
      <c r="D480" s="555"/>
      <c r="E480" s="555"/>
      <c r="F480" s="555"/>
      <c r="G480" s="555"/>
      <c r="H480" s="555"/>
    </row>
    <row r="481" spans="2:8">
      <c r="B481" s="557"/>
      <c r="C481" s="555"/>
      <c r="D481" s="555"/>
      <c r="E481" s="555"/>
      <c r="F481" s="555"/>
      <c r="G481" s="555"/>
      <c r="H481" s="555"/>
    </row>
    <row r="482" spans="2:8">
      <c r="B482" s="557"/>
      <c r="C482" s="555"/>
      <c r="D482" s="555"/>
      <c r="E482" s="555"/>
      <c r="F482" s="555"/>
      <c r="G482" s="555"/>
      <c r="H482" s="555"/>
    </row>
    <row r="483" spans="2:8">
      <c r="B483" s="557"/>
      <c r="C483" s="555"/>
      <c r="D483" s="555"/>
      <c r="E483" s="555"/>
      <c r="F483" s="555"/>
      <c r="G483" s="555"/>
      <c r="H483" s="555"/>
    </row>
    <row r="484" spans="2:8">
      <c r="B484" s="557"/>
      <c r="C484" s="555"/>
      <c r="D484" s="555"/>
      <c r="E484" s="555"/>
      <c r="F484" s="555"/>
      <c r="G484" s="555"/>
      <c r="H484" s="555"/>
    </row>
    <row r="485" spans="2:8">
      <c r="B485" s="557"/>
      <c r="C485" s="555"/>
      <c r="D485" s="555"/>
      <c r="E485" s="555"/>
      <c r="F485" s="555"/>
      <c r="G485" s="555"/>
      <c r="H485" s="555"/>
    </row>
    <row r="486" spans="2:8">
      <c r="B486" s="557"/>
      <c r="C486" s="555"/>
      <c r="D486" s="555"/>
      <c r="E486" s="555"/>
      <c r="F486" s="555"/>
      <c r="G486" s="555"/>
      <c r="H486" s="555"/>
    </row>
    <row r="487" spans="2:8">
      <c r="B487" s="557"/>
      <c r="C487" s="555"/>
      <c r="D487" s="555"/>
      <c r="E487" s="555"/>
      <c r="F487" s="555"/>
      <c r="G487" s="555"/>
      <c r="H487" s="555"/>
    </row>
    <row r="488" spans="2:8">
      <c r="B488" s="557"/>
      <c r="C488" s="555"/>
      <c r="D488" s="555"/>
      <c r="E488" s="555"/>
      <c r="F488" s="555"/>
      <c r="G488" s="555"/>
      <c r="H488" s="555"/>
    </row>
    <row r="489" spans="2:8">
      <c r="B489" s="557"/>
      <c r="C489" s="555"/>
      <c r="D489" s="555"/>
      <c r="E489" s="555"/>
      <c r="F489" s="555"/>
      <c r="G489" s="555"/>
      <c r="H489" s="555"/>
    </row>
    <row r="490" spans="2:8">
      <c r="B490" s="557"/>
      <c r="C490" s="555"/>
      <c r="D490" s="555"/>
      <c r="E490" s="555"/>
      <c r="F490" s="555"/>
      <c r="G490" s="555"/>
      <c r="H490" s="555"/>
    </row>
    <row r="491" spans="2:8">
      <c r="B491" s="557"/>
      <c r="C491" s="555"/>
      <c r="D491" s="555"/>
      <c r="E491" s="555"/>
      <c r="F491" s="555"/>
      <c r="G491" s="555"/>
      <c r="H491" s="555"/>
    </row>
    <row r="492" spans="2:8">
      <c r="B492" s="557"/>
      <c r="C492" s="555"/>
      <c r="D492" s="555"/>
      <c r="E492" s="555"/>
      <c r="F492" s="555"/>
      <c r="G492" s="555"/>
      <c r="H492" s="555"/>
    </row>
    <row r="493" spans="2:8">
      <c r="B493" s="557"/>
      <c r="C493" s="555"/>
      <c r="D493" s="555"/>
      <c r="E493" s="555"/>
      <c r="F493" s="555"/>
      <c r="G493" s="555"/>
      <c r="H493" s="555"/>
    </row>
    <row r="494" spans="2:8">
      <c r="B494" s="557"/>
      <c r="C494" s="555"/>
      <c r="D494" s="555"/>
      <c r="E494" s="555"/>
      <c r="F494" s="555"/>
      <c r="G494" s="555"/>
      <c r="H494" s="555"/>
    </row>
    <row r="495" spans="2:8">
      <c r="B495" s="557"/>
      <c r="C495" s="555"/>
      <c r="D495" s="555"/>
      <c r="E495" s="555"/>
      <c r="F495" s="555"/>
      <c r="G495" s="555"/>
      <c r="H495" s="555"/>
    </row>
    <row r="496" spans="2:8">
      <c r="B496" s="557"/>
      <c r="C496" s="555"/>
      <c r="D496" s="555"/>
      <c r="E496" s="555"/>
      <c r="F496" s="555"/>
      <c r="G496" s="555"/>
      <c r="H496" s="555"/>
    </row>
    <row r="497" spans="2:8">
      <c r="B497" s="557"/>
      <c r="C497" s="555"/>
      <c r="D497" s="555"/>
      <c r="E497" s="555"/>
      <c r="F497" s="555"/>
      <c r="G497" s="555"/>
      <c r="H497" s="555"/>
    </row>
    <row r="498" spans="2:8">
      <c r="B498" s="557"/>
      <c r="C498" s="555"/>
      <c r="D498" s="555"/>
      <c r="E498" s="555"/>
      <c r="F498" s="555"/>
      <c r="G498" s="555"/>
      <c r="H498" s="555"/>
    </row>
    <row r="499" spans="2:8">
      <c r="B499" s="557"/>
      <c r="C499" s="555"/>
      <c r="D499" s="555"/>
      <c r="E499" s="555"/>
      <c r="F499" s="555"/>
      <c r="G499" s="555"/>
      <c r="H499" s="555"/>
    </row>
    <row r="500" spans="2:8">
      <c r="B500" s="557"/>
      <c r="C500" s="555"/>
      <c r="D500" s="555"/>
      <c r="E500" s="555"/>
      <c r="F500" s="555"/>
      <c r="G500" s="555"/>
      <c r="H500" s="555"/>
    </row>
    <row r="501" spans="2:8">
      <c r="B501" s="557"/>
      <c r="C501" s="555"/>
      <c r="D501" s="555"/>
      <c r="E501" s="555"/>
      <c r="F501" s="555"/>
      <c r="G501" s="555"/>
      <c r="H501" s="555"/>
    </row>
    <row r="502" spans="2:8">
      <c r="B502" s="557"/>
      <c r="C502" s="555"/>
      <c r="D502" s="555"/>
      <c r="E502" s="555"/>
      <c r="F502" s="555"/>
      <c r="G502" s="555"/>
      <c r="H502" s="555"/>
    </row>
    <row r="503" spans="2:8">
      <c r="B503" s="557"/>
      <c r="C503" s="555"/>
      <c r="D503" s="555"/>
      <c r="E503" s="555"/>
      <c r="F503" s="555"/>
      <c r="G503" s="555"/>
      <c r="H503" s="555"/>
    </row>
    <row r="504" spans="2:8">
      <c r="B504" s="557"/>
      <c r="C504" s="555"/>
      <c r="D504" s="555"/>
      <c r="E504" s="555"/>
      <c r="F504" s="555"/>
      <c r="G504" s="555"/>
      <c r="H504" s="555"/>
    </row>
    <row r="505" spans="2:8">
      <c r="B505" s="557"/>
      <c r="C505" s="555"/>
      <c r="D505" s="555"/>
      <c r="E505" s="555"/>
      <c r="F505" s="555"/>
      <c r="G505" s="555"/>
      <c r="H505" s="555"/>
    </row>
    <row r="506" spans="2:8">
      <c r="B506" s="557"/>
      <c r="C506" s="555"/>
      <c r="D506" s="555"/>
      <c r="E506" s="555"/>
      <c r="F506" s="555"/>
      <c r="G506" s="555"/>
      <c r="H506" s="555"/>
    </row>
    <row r="507" spans="2:8">
      <c r="B507" s="557"/>
      <c r="C507" s="555"/>
      <c r="D507" s="555"/>
      <c r="E507" s="555"/>
      <c r="F507" s="555"/>
      <c r="G507" s="555"/>
      <c r="H507" s="555"/>
    </row>
    <row r="508" spans="2:8">
      <c r="B508" s="557"/>
      <c r="C508" s="555"/>
      <c r="D508" s="555"/>
      <c r="E508" s="555"/>
      <c r="F508" s="555"/>
      <c r="G508" s="555"/>
      <c r="H508" s="555"/>
    </row>
    <row r="509" spans="2:8">
      <c r="B509" s="557"/>
      <c r="C509" s="555"/>
      <c r="D509" s="555"/>
      <c r="E509" s="555"/>
      <c r="F509" s="555"/>
      <c r="G509" s="555"/>
      <c r="H509" s="555"/>
    </row>
    <row r="510" spans="2:8">
      <c r="B510" s="557"/>
      <c r="C510" s="555"/>
      <c r="D510" s="555"/>
      <c r="E510" s="555"/>
      <c r="F510" s="555"/>
      <c r="G510" s="555"/>
      <c r="H510" s="555"/>
    </row>
    <row r="511" spans="2:8">
      <c r="B511" s="557"/>
      <c r="C511" s="555"/>
      <c r="D511" s="555"/>
      <c r="E511" s="555"/>
      <c r="F511" s="555"/>
      <c r="G511" s="555"/>
      <c r="H511" s="555"/>
    </row>
    <row r="512" spans="2:8">
      <c r="B512" s="557"/>
      <c r="C512" s="555"/>
      <c r="D512" s="555"/>
      <c r="E512" s="555"/>
      <c r="F512" s="555"/>
      <c r="G512" s="555"/>
      <c r="H512" s="555"/>
    </row>
    <row r="513" spans="2:8">
      <c r="B513" s="557"/>
      <c r="C513" s="555"/>
      <c r="D513" s="555"/>
      <c r="E513" s="555"/>
      <c r="F513" s="555"/>
      <c r="G513" s="555"/>
      <c r="H513" s="555"/>
    </row>
    <row r="514" spans="2:8">
      <c r="B514" s="557"/>
      <c r="C514" s="555"/>
      <c r="D514" s="555"/>
      <c r="E514" s="555"/>
      <c r="F514" s="555"/>
      <c r="G514" s="555"/>
      <c r="H514" s="555"/>
    </row>
    <row r="515" spans="2:8">
      <c r="B515" s="557"/>
      <c r="C515" s="555"/>
      <c r="D515" s="555"/>
      <c r="E515" s="555"/>
      <c r="F515" s="555"/>
      <c r="G515" s="555"/>
      <c r="H515" s="555"/>
    </row>
    <row r="516" spans="2:8">
      <c r="B516" s="557"/>
      <c r="C516" s="555"/>
      <c r="D516" s="555"/>
      <c r="E516" s="555"/>
      <c r="F516" s="555"/>
      <c r="G516" s="555"/>
      <c r="H516" s="555"/>
    </row>
    <row r="517" spans="2:8">
      <c r="B517" s="557"/>
      <c r="C517" s="555"/>
      <c r="D517" s="555"/>
      <c r="E517" s="555"/>
      <c r="F517" s="555"/>
      <c r="G517" s="555"/>
      <c r="H517" s="555"/>
    </row>
    <row r="518" spans="2:8">
      <c r="B518" s="557"/>
      <c r="C518" s="555"/>
      <c r="D518" s="555"/>
      <c r="E518" s="555"/>
      <c r="F518" s="555"/>
      <c r="G518" s="555"/>
      <c r="H518" s="555"/>
    </row>
    <row r="519" spans="2:8">
      <c r="B519" s="557"/>
      <c r="C519" s="555"/>
      <c r="D519" s="555"/>
      <c r="E519" s="555"/>
      <c r="F519" s="555"/>
      <c r="G519" s="555"/>
      <c r="H519" s="555"/>
    </row>
    <row r="520" spans="2:8">
      <c r="B520" s="557"/>
      <c r="C520" s="555"/>
      <c r="D520" s="555"/>
      <c r="E520" s="555"/>
      <c r="F520" s="555"/>
      <c r="G520" s="555"/>
      <c r="H520" s="555"/>
    </row>
    <row r="521" spans="2:8">
      <c r="B521" s="557"/>
      <c r="C521" s="555"/>
      <c r="D521" s="555"/>
      <c r="E521" s="555"/>
      <c r="F521" s="555"/>
      <c r="G521" s="555"/>
      <c r="H521" s="555"/>
    </row>
  </sheetData>
  <mergeCells count="13">
    <mergeCell ref="B1:H1"/>
    <mergeCell ref="B2:H2"/>
    <mergeCell ref="B41:G41"/>
    <mergeCell ref="B47:H47"/>
    <mergeCell ref="B98:G98"/>
    <mergeCell ref="B102:G102"/>
    <mergeCell ref="B105:H105"/>
    <mergeCell ref="B3:H3"/>
    <mergeCell ref="B75:H75"/>
    <mergeCell ref="B48:H48"/>
    <mergeCell ref="B49:H49"/>
    <mergeCell ref="B76:H76"/>
    <mergeCell ref="B77:H77"/>
  </mergeCells>
  <phoneticPr fontId="64" type="noConversion"/>
  <printOptions horizontalCentered="1"/>
  <pageMargins left="0.25" right="0.25" top="0.75" bottom="0.75" header="0.3" footer="0.3"/>
  <pageSetup scale="40"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1"/>
  <sheetViews>
    <sheetView view="pageBreakPreview" zoomScale="60" zoomScaleNormal="70" workbookViewId="0">
      <selection sqref="A1:K1"/>
    </sheetView>
  </sheetViews>
  <sheetFormatPr defaultColWidth="8.90625" defaultRowHeight="15"/>
  <cols>
    <col min="1" max="1" width="21.81640625" style="335" customWidth="1"/>
    <col min="2" max="2" width="26.36328125" style="335" customWidth="1"/>
    <col min="3" max="3" width="2.36328125" style="335" customWidth="1"/>
    <col min="4" max="4" width="20.08984375" style="335" customWidth="1"/>
    <col min="5" max="5" width="1.81640625" style="335" customWidth="1"/>
    <col min="6" max="6" width="18.6328125" style="335" customWidth="1"/>
    <col min="7" max="7" width="12.81640625" style="335" customWidth="1"/>
    <col min="8" max="8" width="15" style="335" customWidth="1"/>
    <col min="9" max="9" width="15.81640625" style="335" customWidth="1"/>
    <col min="10" max="10" width="1.453125" style="335" customWidth="1"/>
    <col min="11" max="11" width="13.453125" style="335" customWidth="1"/>
    <col min="12" max="12" width="8.90625" style="335"/>
    <col min="13" max="13" width="8.453125" style="335" bestFit="1" customWidth="1"/>
    <col min="14" max="16384" width="8.90625" style="335"/>
  </cols>
  <sheetData>
    <row r="1" spans="1:12" s="334" customFormat="1" ht="15.6">
      <c r="A1" s="1545"/>
      <c r="B1" s="1545"/>
      <c r="C1" s="1545"/>
      <c r="D1" s="1545"/>
      <c r="E1" s="1545"/>
      <c r="F1" s="1545"/>
      <c r="G1" s="1545"/>
      <c r="H1" s="1545"/>
      <c r="I1" s="1545"/>
      <c r="J1" s="1545"/>
      <c r="K1" s="1545"/>
    </row>
    <row r="2" spans="1:12" s="334" customFormat="1" ht="17.399999999999999">
      <c r="A2" s="1546" t="s">
        <v>930</v>
      </c>
      <c r="B2" s="1546"/>
      <c r="C2" s="1546"/>
      <c r="D2" s="1546"/>
      <c r="E2" s="1546"/>
      <c r="F2" s="1546"/>
      <c r="G2" s="1546"/>
      <c r="H2" s="1546"/>
      <c r="I2" s="1546"/>
      <c r="J2" s="1546"/>
      <c r="K2" s="1546"/>
    </row>
    <row r="3" spans="1:12" s="334" customFormat="1" ht="17.399999999999999">
      <c r="A3" s="1546" t="str">
        <f>'Appendix A'!$E$9</f>
        <v>New York Transco LLC</v>
      </c>
      <c r="B3" s="1546"/>
      <c r="C3" s="1546"/>
      <c r="D3" s="1546"/>
      <c r="E3" s="1546"/>
      <c r="F3" s="1546"/>
      <c r="G3" s="1546"/>
      <c r="H3" s="1546"/>
      <c r="I3" s="1546"/>
      <c r="J3" s="1546"/>
      <c r="K3" s="1546"/>
    </row>
    <row r="4" spans="1:12">
      <c r="A4" s="417"/>
      <c r="B4" s="417"/>
      <c r="C4" s="417"/>
      <c r="D4" s="417"/>
      <c r="E4" s="417"/>
      <c r="F4" s="417"/>
      <c r="G4" s="417"/>
      <c r="H4" s="417"/>
      <c r="I4" s="417"/>
      <c r="J4" s="417"/>
      <c r="K4" s="417"/>
    </row>
    <row r="5" spans="1:12">
      <c r="A5" s="417"/>
      <c r="B5" s="417"/>
      <c r="C5" s="417"/>
      <c r="D5" s="417"/>
      <c r="E5" s="417"/>
      <c r="F5" s="417"/>
      <c r="G5" s="417"/>
      <c r="H5" s="417"/>
      <c r="I5" s="417"/>
      <c r="J5" s="417"/>
      <c r="K5" s="417"/>
    </row>
    <row r="6" spans="1:12" ht="16.2" thickBot="1">
      <c r="A6" s="531">
        <v>2014</v>
      </c>
      <c r="B6" s="532"/>
      <c r="C6" s="532"/>
      <c r="D6" s="531">
        <v>2014</v>
      </c>
      <c r="E6" s="418"/>
      <c r="F6" s="418"/>
      <c r="G6" s="418"/>
      <c r="H6" s="418"/>
      <c r="J6" s="418"/>
      <c r="K6" s="418"/>
      <c r="L6" s="334"/>
    </row>
    <row r="7" spans="1:12" ht="31.2">
      <c r="A7" s="419" t="s">
        <v>931</v>
      </c>
      <c r="B7" s="418"/>
      <c r="C7" s="418"/>
      <c r="D7" s="419" t="s">
        <v>929</v>
      </c>
      <c r="E7" s="418"/>
      <c r="F7" s="418"/>
      <c r="G7" s="419" t="s">
        <v>268</v>
      </c>
      <c r="J7" s="346"/>
      <c r="K7" s="346"/>
      <c r="L7" s="334"/>
    </row>
    <row r="8" spans="1:12" ht="15.6">
      <c r="A8" s="420"/>
      <c r="B8" s="418"/>
      <c r="C8" s="418"/>
      <c r="D8" s="420"/>
      <c r="E8" s="418"/>
      <c r="F8" s="418"/>
      <c r="G8" s="421"/>
      <c r="J8" s="346"/>
      <c r="K8" s="346"/>
      <c r="L8" s="334"/>
    </row>
    <row r="9" spans="1:12" ht="16.2" thickBot="1">
      <c r="A9" s="533">
        <v>0</v>
      </c>
      <c r="B9" s="352" t="s">
        <v>321</v>
      </c>
      <c r="C9" s="350"/>
      <c r="D9" s="533">
        <v>0</v>
      </c>
      <c r="E9" s="351"/>
      <c r="F9" s="352" t="s">
        <v>322</v>
      </c>
      <c r="G9" s="422">
        <f>IF(D9=0,0,A9-D9)</f>
        <v>0</v>
      </c>
      <c r="J9" s="346"/>
      <c r="K9" s="346"/>
      <c r="L9" s="334"/>
    </row>
    <row r="10" spans="1:12" ht="15.6">
      <c r="A10" s="351"/>
      <c r="B10" s="350"/>
      <c r="C10" s="350"/>
      <c r="D10" s="351"/>
      <c r="E10" s="351"/>
      <c r="F10" s="350"/>
      <c r="G10" s="351"/>
      <c r="H10" s="346"/>
      <c r="I10" s="346"/>
      <c r="J10" s="346"/>
      <c r="K10" s="346"/>
      <c r="L10" s="334"/>
    </row>
    <row r="11" spans="1:12" ht="16.2" thickBot="1">
      <c r="A11" s="353"/>
      <c r="B11" s="354"/>
      <c r="C11" s="354"/>
      <c r="D11" s="353"/>
      <c r="E11" s="353"/>
      <c r="F11" s="354"/>
      <c r="G11" s="353"/>
      <c r="H11" s="355"/>
      <c r="I11" s="355"/>
      <c r="J11" s="355"/>
      <c r="K11" s="355"/>
      <c r="L11" s="334"/>
    </row>
    <row r="12" spans="1:12" ht="8.25" customHeight="1">
      <c r="A12" s="423"/>
      <c r="B12" s="350"/>
      <c r="C12" s="350"/>
      <c r="D12" s="351"/>
      <c r="E12" s="351"/>
      <c r="F12" s="350"/>
      <c r="G12" s="351"/>
      <c r="H12" s="346"/>
      <c r="I12" s="346"/>
      <c r="J12" s="346"/>
      <c r="K12" s="346"/>
      <c r="L12" s="334"/>
    </row>
    <row r="13" spans="1:12" ht="53.25" customHeight="1">
      <c r="A13" s="356" t="s">
        <v>269</v>
      </c>
      <c r="B13" s="350"/>
      <c r="C13" s="350"/>
      <c r="D13" s="357" t="s">
        <v>270</v>
      </c>
      <c r="E13" s="351"/>
      <c r="F13" s="357" t="s">
        <v>464</v>
      </c>
      <c r="G13" s="352" t="s">
        <v>271</v>
      </c>
      <c r="H13" s="358" t="s">
        <v>272</v>
      </c>
      <c r="I13" s="357" t="s">
        <v>273</v>
      </c>
      <c r="J13" s="359"/>
      <c r="K13" s="357" t="s">
        <v>274</v>
      </c>
      <c r="L13" s="334"/>
    </row>
    <row r="14" spans="1:12" ht="15.6">
      <c r="A14" s="356"/>
      <c r="B14" s="350"/>
      <c r="C14" s="350"/>
      <c r="D14" s="416"/>
      <c r="E14" s="360"/>
      <c r="F14" s="535">
        <f>'7a-Interest Rate'!H13</f>
        <v>2.7083333333333334E-3</v>
      </c>
      <c r="G14" s="351"/>
      <c r="H14" s="416"/>
      <c r="I14" s="416"/>
      <c r="J14" s="416"/>
      <c r="K14" s="416"/>
      <c r="L14" s="334"/>
    </row>
    <row r="15" spans="1:12" ht="15.6">
      <c r="A15" s="356"/>
      <c r="B15" s="350"/>
      <c r="C15" s="350"/>
      <c r="D15" s="416"/>
      <c r="E15" s="360"/>
      <c r="F15" s="360"/>
      <c r="G15" s="351"/>
      <c r="H15" s="416"/>
      <c r="I15" s="416"/>
      <c r="J15" s="416"/>
      <c r="K15" s="416"/>
      <c r="L15" s="334"/>
    </row>
    <row r="16" spans="1:12" ht="15.6">
      <c r="A16" s="356" t="s">
        <v>548</v>
      </c>
      <c r="B16" s="350"/>
      <c r="C16" s="350"/>
      <c r="D16" s="416"/>
      <c r="E16" s="360"/>
      <c r="F16" s="360"/>
      <c r="G16" s="351"/>
      <c r="H16" s="416"/>
      <c r="I16" s="416"/>
      <c r="J16" s="416"/>
      <c r="K16" s="416"/>
      <c r="L16" s="334"/>
    </row>
    <row r="17" spans="1:12" ht="15.6">
      <c r="A17" s="980" t="s">
        <v>547</v>
      </c>
      <c r="B17" s="350"/>
      <c r="C17" s="350"/>
      <c r="D17" s="350"/>
      <c r="E17" s="350"/>
      <c r="F17" s="350"/>
      <c r="G17" s="416"/>
      <c r="H17" s="416"/>
      <c r="I17" s="416"/>
      <c r="J17" s="416"/>
      <c r="K17" s="416"/>
      <c r="L17" s="334"/>
    </row>
    <row r="18" spans="1:12" ht="15.6">
      <c r="A18" s="980" t="s">
        <v>549</v>
      </c>
      <c r="B18" s="350"/>
      <c r="C18" s="350"/>
      <c r="D18" s="350"/>
      <c r="E18" s="350"/>
      <c r="F18" s="350"/>
      <c r="G18" s="416"/>
      <c r="H18" s="416"/>
      <c r="I18" s="416"/>
      <c r="J18" s="416"/>
      <c r="K18" s="416"/>
      <c r="L18" s="334"/>
    </row>
    <row r="19" spans="1:12" ht="15.6">
      <c r="A19" s="424"/>
      <c r="B19" s="350"/>
      <c r="C19" s="350"/>
      <c r="D19" s="350"/>
      <c r="E19" s="350"/>
      <c r="F19" s="416"/>
      <c r="G19" s="416"/>
      <c r="H19" s="352"/>
      <c r="I19" s="350"/>
      <c r="J19" s="350"/>
      <c r="K19" s="350"/>
      <c r="L19" s="334"/>
    </row>
    <row r="20" spans="1:12" ht="15.6">
      <c r="A20" s="424" t="s">
        <v>275</v>
      </c>
      <c r="B20" s="350"/>
      <c r="C20" s="350"/>
      <c r="D20" s="350"/>
      <c r="E20" s="350"/>
      <c r="F20" s="416"/>
      <c r="G20" s="416"/>
      <c r="H20" s="352" t="s">
        <v>276</v>
      </c>
      <c r="I20" s="350"/>
      <c r="J20" s="350"/>
      <c r="K20" s="350"/>
      <c r="L20" s="334"/>
    </row>
    <row r="21" spans="1:12" ht="15.6">
      <c r="A21" s="418" t="s">
        <v>174</v>
      </c>
      <c r="B21" s="530" t="s">
        <v>406</v>
      </c>
      <c r="C21" s="418"/>
      <c r="D21" s="425">
        <f>+G9/12</f>
        <v>0</v>
      </c>
      <c r="E21" s="425"/>
      <c r="F21" s="426">
        <f>+F14</f>
        <v>2.7083333333333334E-3</v>
      </c>
      <c r="G21" s="425">
        <v>12</v>
      </c>
      <c r="H21" s="425">
        <f>F21*D21*G21*-1</f>
        <v>0</v>
      </c>
      <c r="I21" s="425"/>
      <c r="J21" s="425"/>
      <c r="K21" s="425">
        <f>(-H21+D21)*-1</f>
        <v>0</v>
      </c>
      <c r="L21" s="334"/>
    </row>
    <row r="22" spans="1:12" ht="15.6">
      <c r="A22" s="418" t="s">
        <v>173</v>
      </c>
      <c r="B22" s="530" t="str">
        <f>+B21</f>
        <v>Year 2014</v>
      </c>
      <c r="C22" s="418"/>
      <c r="D22" s="425">
        <f>+D21</f>
        <v>0</v>
      </c>
      <c r="E22" s="425"/>
      <c r="F22" s="426">
        <f>+F21</f>
        <v>2.7083333333333334E-3</v>
      </c>
      <c r="G22" s="534">
        <f t="shared" ref="G22:G32" si="0">+G21-1</f>
        <v>11</v>
      </c>
      <c r="H22" s="425">
        <f t="shared" ref="H22:H32" si="1">F22*D22*G22*-1</f>
        <v>0</v>
      </c>
      <c r="I22" s="425"/>
      <c r="J22" s="425"/>
      <c r="K22" s="425">
        <f t="shared" ref="K22:K32" si="2">(-H22+D22)*-1</f>
        <v>0</v>
      </c>
      <c r="L22" s="334"/>
    </row>
    <row r="23" spans="1:12" ht="15.6">
      <c r="A23" s="418" t="s">
        <v>172</v>
      </c>
      <c r="B23" s="530" t="str">
        <f t="shared" ref="B23:B32" si="3">+B22</f>
        <v>Year 2014</v>
      </c>
      <c r="C23" s="418"/>
      <c r="D23" s="425">
        <f t="shared" ref="D23:D32" si="4">+D22</f>
        <v>0</v>
      </c>
      <c r="E23" s="425"/>
      <c r="F23" s="426">
        <f t="shared" ref="F23:F32" si="5">+F22</f>
        <v>2.7083333333333334E-3</v>
      </c>
      <c r="G23" s="534">
        <f t="shared" si="0"/>
        <v>10</v>
      </c>
      <c r="H23" s="425">
        <f t="shared" si="1"/>
        <v>0</v>
      </c>
      <c r="I23" s="425"/>
      <c r="J23" s="425"/>
      <c r="K23" s="425">
        <f t="shared" si="2"/>
        <v>0</v>
      </c>
      <c r="L23" s="334"/>
    </row>
    <row r="24" spans="1:12" ht="15.6">
      <c r="A24" s="418" t="s">
        <v>155</v>
      </c>
      <c r="B24" s="530" t="str">
        <f t="shared" si="3"/>
        <v>Year 2014</v>
      </c>
      <c r="C24" s="418"/>
      <c r="D24" s="425">
        <f t="shared" si="4"/>
        <v>0</v>
      </c>
      <c r="E24" s="425"/>
      <c r="F24" s="426">
        <f t="shared" si="5"/>
        <v>2.7083333333333334E-3</v>
      </c>
      <c r="G24" s="534">
        <f t="shared" si="0"/>
        <v>9</v>
      </c>
      <c r="H24" s="425">
        <f t="shared" si="1"/>
        <v>0</v>
      </c>
      <c r="I24" s="425"/>
      <c r="J24" s="425"/>
      <c r="K24" s="425">
        <f t="shared" si="2"/>
        <v>0</v>
      </c>
      <c r="L24" s="334"/>
    </row>
    <row r="25" spans="1:12" ht="15.6">
      <c r="A25" s="418" t="s">
        <v>152</v>
      </c>
      <c r="B25" s="530" t="str">
        <f t="shared" si="3"/>
        <v>Year 2014</v>
      </c>
      <c r="C25" s="418"/>
      <c r="D25" s="425">
        <f t="shared" si="4"/>
        <v>0</v>
      </c>
      <c r="E25" s="425"/>
      <c r="F25" s="426">
        <f t="shared" si="5"/>
        <v>2.7083333333333334E-3</v>
      </c>
      <c r="G25" s="534">
        <f t="shared" si="0"/>
        <v>8</v>
      </c>
      <c r="H25" s="425">
        <f t="shared" si="1"/>
        <v>0</v>
      </c>
      <c r="I25" s="425"/>
      <c r="J25" s="425"/>
      <c r="K25" s="425">
        <f t="shared" si="2"/>
        <v>0</v>
      </c>
      <c r="L25" s="334"/>
    </row>
    <row r="26" spans="1:12" ht="15.6">
      <c r="A26" s="418" t="s">
        <v>277</v>
      </c>
      <c r="B26" s="530" t="str">
        <f t="shared" si="3"/>
        <v>Year 2014</v>
      </c>
      <c r="C26" s="418"/>
      <c r="D26" s="425">
        <f t="shared" si="4"/>
        <v>0</v>
      </c>
      <c r="E26" s="425"/>
      <c r="F26" s="426">
        <f t="shared" si="5"/>
        <v>2.7083333333333334E-3</v>
      </c>
      <c r="G26" s="534">
        <f t="shared" si="0"/>
        <v>7</v>
      </c>
      <c r="H26" s="425">
        <f t="shared" si="1"/>
        <v>0</v>
      </c>
      <c r="I26" s="425"/>
      <c r="J26" s="425"/>
      <c r="K26" s="425">
        <f t="shared" si="2"/>
        <v>0</v>
      </c>
      <c r="L26" s="334"/>
    </row>
    <row r="27" spans="1:12" ht="15.6">
      <c r="A27" s="418" t="s">
        <v>170</v>
      </c>
      <c r="B27" s="530" t="str">
        <f t="shared" si="3"/>
        <v>Year 2014</v>
      </c>
      <c r="C27" s="418"/>
      <c r="D27" s="425">
        <f t="shared" si="4"/>
        <v>0</v>
      </c>
      <c r="E27" s="425"/>
      <c r="F27" s="426">
        <f t="shared" si="5"/>
        <v>2.7083333333333334E-3</v>
      </c>
      <c r="G27" s="534">
        <f t="shared" si="0"/>
        <v>6</v>
      </c>
      <c r="H27" s="425">
        <f t="shared" si="1"/>
        <v>0</v>
      </c>
      <c r="I27" s="425"/>
      <c r="J27" s="425"/>
      <c r="K27" s="425">
        <f t="shared" si="2"/>
        <v>0</v>
      </c>
      <c r="L27" s="334"/>
    </row>
    <row r="28" spans="1:12" ht="15.6">
      <c r="A28" s="418" t="s">
        <v>169</v>
      </c>
      <c r="B28" s="530" t="str">
        <f t="shared" si="3"/>
        <v>Year 2014</v>
      </c>
      <c r="C28" s="418"/>
      <c r="D28" s="425">
        <f t="shared" si="4"/>
        <v>0</v>
      </c>
      <c r="E28" s="425"/>
      <c r="F28" s="426">
        <f t="shared" si="5"/>
        <v>2.7083333333333334E-3</v>
      </c>
      <c r="G28" s="534">
        <f t="shared" si="0"/>
        <v>5</v>
      </c>
      <c r="H28" s="425">
        <f t="shared" si="1"/>
        <v>0</v>
      </c>
      <c r="I28" s="425"/>
      <c r="J28" s="425"/>
      <c r="K28" s="425">
        <f t="shared" si="2"/>
        <v>0</v>
      </c>
      <c r="L28" s="334"/>
    </row>
    <row r="29" spans="1:12" ht="15.6">
      <c r="A29" s="418" t="s">
        <v>168</v>
      </c>
      <c r="B29" s="530" t="str">
        <f t="shared" si="3"/>
        <v>Year 2014</v>
      </c>
      <c r="C29" s="418"/>
      <c r="D29" s="425">
        <f t="shared" si="4"/>
        <v>0</v>
      </c>
      <c r="E29" s="425"/>
      <c r="F29" s="426">
        <f t="shared" si="5"/>
        <v>2.7083333333333334E-3</v>
      </c>
      <c r="G29" s="534">
        <f t="shared" si="0"/>
        <v>4</v>
      </c>
      <c r="H29" s="425">
        <f t="shared" si="1"/>
        <v>0</v>
      </c>
      <c r="I29" s="425"/>
      <c r="J29" s="425"/>
      <c r="K29" s="425">
        <f t="shared" si="2"/>
        <v>0</v>
      </c>
      <c r="L29" s="334"/>
    </row>
    <row r="30" spans="1:12" ht="15.6">
      <c r="A30" s="418" t="s">
        <v>181</v>
      </c>
      <c r="B30" s="530" t="str">
        <f t="shared" si="3"/>
        <v>Year 2014</v>
      </c>
      <c r="C30" s="418"/>
      <c r="D30" s="425">
        <f t="shared" si="4"/>
        <v>0</v>
      </c>
      <c r="E30" s="425"/>
      <c r="F30" s="426">
        <f t="shared" si="5"/>
        <v>2.7083333333333334E-3</v>
      </c>
      <c r="G30" s="534">
        <f t="shared" si="0"/>
        <v>3</v>
      </c>
      <c r="H30" s="425">
        <f t="shared" si="1"/>
        <v>0</v>
      </c>
      <c r="I30" s="425"/>
      <c r="J30" s="425"/>
      <c r="K30" s="425">
        <f t="shared" si="2"/>
        <v>0</v>
      </c>
      <c r="L30" s="334"/>
    </row>
    <row r="31" spans="1:12" ht="15.6">
      <c r="A31" s="418" t="s">
        <v>166</v>
      </c>
      <c r="B31" s="530" t="str">
        <f t="shared" si="3"/>
        <v>Year 2014</v>
      </c>
      <c r="C31" s="418"/>
      <c r="D31" s="425">
        <f t="shared" si="4"/>
        <v>0</v>
      </c>
      <c r="E31" s="425"/>
      <c r="F31" s="426">
        <f t="shared" si="5"/>
        <v>2.7083333333333334E-3</v>
      </c>
      <c r="G31" s="534">
        <f t="shared" si="0"/>
        <v>2</v>
      </c>
      <c r="H31" s="425">
        <f t="shared" si="1"/>
        <v>0</v>
      </c>
      <c r="I31" s="425"/>
      <c r="J31" s="425"/>
      <c r="K31" s="425">
        <f t="shared" si="2"/>
        <v>0</v>
      </c>
      <c r="L31" s="334"/>
    </row>
    <row r="32" spans="1:12" ht="15.6">
      <c r="A32" s="418" t="s">
        <v>164</v>
      </c>
      <c r="B32" s="530" t="str">
        <f t="shared" si="3"/>
        <v>Year 2014</v>
      </c>
      <c r="C32" s="418"/>
      <c r="D32" s="425">
        <f t="shared" si="4"/>
        <v>0</v>
      </c>
      <c r="E32" s="425"/>
      <c r="F32" s="426">
        <f t="shared" si="5"/>
        <v>2.7083333333333334E-3</v>
      </c>
      <c r="G32" s="534">
        <f t="shared" si="0"/>
        <v>1</v>
      </c>
      <c r="H32" s="362">
        <f t="shared" si="1"/>
        <v>0</v>
      </c>
      <c r="I32" s="425"/>
      <c r="J32" s="425"/>
      <c r="K32" s="425">
        <f t="shared" si="2"/>
        <v>0</v>
      </c>
      <c r="L32" s="334"/>
    </row>
    <row r="33" spans="1:13" ht="15.6">
      <c r="A33" s="418"/>
      <c r="B33" s="418"/>
      <c r="C33" s="418"/>
      <c r="D33" s="425"/>
      <c r="E33" s="425"/>
      <c r="F33" s="426"/>
      <c r="G33" s="534"/>
      <c r="H33" s="425">
        <f>SUM(H21:H32)</f>
        <v>0</v>
      </c>
      <c r="I33" s="425"/>
      <c r="J33" s="425"/>
      <c r="K33" s="427">
        <f>SUM(K21:K32)</f>
        <v>0</v>
      </c>
      <c r="L33" s="334"/>
    </row>
    <row r="34" spans="1:13" ht="15.6">
      <c r="A34" s="418"/>
      <c r="B34" s="418"/>
      <c r="C34" s="418"/>
      <c r="D34" s="425"/>
      <c r="E34" s="425"/>
      <c r="F34" s="426"/>
      <c r="G34" s="425"/>
      <c r="H34" s="425"/>
      <c r="I34" s="425" t="s">
        <v>29</v>
      </c>
      <c r="J34" s="425"/>
      <c r="K34" s="428"/>
      <c r="L34" s="334"/>
    </row>
    <row r="35" spans="1:13" ht="15.6">
      <c r="A35" s="418"/>
      <c r="B35" s="418"/>
      <c r="C35" s="418"/>
      <c r="D35" s="351"/>
      <c r="E35" s="351"/>
      <c r="F35" s="426"/>
      <c r="G35" s="425"/>
      <c r="H35" s="429" t="s">
        <v>278</v>
      </c>
      <c r="I35" s="425"/>
      <c r="J35" s="425"/>
      <c r="K35" s="425"/>
      <c r="L35" s="334"/>
    </row>
    <row r="36" spans="1:13" ht="15.6">
      <c r="A36" s="418" t="s">
        <v>279</v>
      </c>
      <c r="B36" s="530" t="s">
        <v>406</v>
      </c>
      <c r="C36" s="418"/>
      <c r="D36" s="351">
        <f>K33</f>
        <v>0</v>
      </c>
      <c r="E36" s="351"/>
      <c r="F36" s="426">
        <f>+F32</f>
        <v>2.7083333333333334E-3</v>
      </c>
      <c r="G36" s="425">
        <v>12</v>
      </c>
      <c r="H36" s="425">
        <f>+G36*F36*D36</f>
        <v>0</v>
      </c>
      <c r="I36" s="425"/>
      <c r="J36" s="425"/>
      <c r="K36" s="427">
        <f>+D36+H36</f>
        <v>0</v>
      </c>
      <c r="L36" s="334"/>
    </row>
    <row r="37" spans="1:13" ht="15.6">
      <c r="A37" s="418"/>
      <c r="B37" s="418"/>
      <c r="C37" s="418"/>
      <c r="D37" s="351"/>
      <c r="E37" s="351"/>
      <c r="F37" s="426"/>
      <c r="G37" s="418"/>
      <c r="H37" s="425"/>
      <c r="I37" s="425"/>
      <c r="J37" s="425"/>
      <c r="K37" s="425"/>
      <c r="L37" s="334"/>
    </row>
    <row r="38" spans="1:13" ht="15.6">
      <c r="A38" s="430" t="s">
        <v>280</v>
      </c>
      <c r="B38" s="418"/>
      <c r="C38" s="418"/>
      <c r="D38" s="425"/>
      <c r="E38" s="425"/>
      <c r="F38" s="426"/>
      <c r="G38" s="418"/>
      <c r="H38" s="429" t="s">
        <v>276</v>
      </c>
      <c r="I38" s="425"/>
      <c r="J38" s="425"/>
      <c r="K38" s="425"/>
      <c r="L38" s="334"/>
    </row>
    <row r="39" spans="1:13" ht="15.6">
      <c r="A39" s="418" t="s">
        <v>174</v>
      </c>
      <c r="B39" s="530" t="s">
        <v>408</v>
      </c>
      <c r="C39" s="418"/>
      <c r="D39" s="431">
        <f>-K36</f>
        <v>0</v>
      </c>
      <c r="E39" s="351"/>
      <c r="F39" s="426">
        <f>+F32</f>
        <v>2.7083333333333334E-3</v>
      </c>
      <c r="G39" s="418"/>
      <c r="H39" s="425">
        <f xml:space="preserve"> -F39*D39</f>
        <v>0</v>
      </c>
      <c r="I39" s="425">
        <f>PMT(F39,12,K$36)</f>
        <v>0</v>
      </c>
      <c r="J39" s="425"/>
      <c r="K39" s="425">
        <f>(+D39+D39*F39-I39)*-1</f>
        <v>0</v>
      </c>
      <c r="L39" s="336"/>
      <c r="M39" s="337"/>
    </row>
    <row r="40" spans="1:13" ht="15.6">
      <c r="A40" s="418" t="s">
        <v>173</v>
      </c>
      <c r="B40" s="530" t="str">
        <f>+B39</f>
        <v>Year 2016</v>
      </c>
      <c r="C40" s="418"/>
      <c r="D40" s="351">
        <f>-K39</f>
        <v>0</v>
      </c>
      <c r="E40" s="351"/>
      <c r="F40" s="426">
        <f>+F39</f>
        <v>2.7083333333333334E-3</v>
      </c>
      <c r="G40" s="418"/>
      <c r="H40" s="425">
        <f t="shared" ref="H40:H50" si="6" xml:space="preserve"> -F40*D40</f>
        <v>0</v>
      </c>
      <c r="I40" s="425">
        <f>I39</f>
        <v>0</v>
      </c>
      <c r="J40" s="425"/>
      <c r="K40" s="425">
        <f t="shared" ref="K40:K50" si="7">(+D40+D40*F40-I40)*-1</f>
        <v>0</v>
      </c>
      <c r="L40" s="336"/>
      <c r="M40" s="337"/>
    </row>
    <row r="41" spans="1:13" ht="15.6">
      <c r="A41" s="418" t="s">
        <v>172</v>
      </c>
      <c r="B41" s="530" t="str">
        <f>+B40</f>
        <v>Year 2016</v>
      </c>
      <c r="C41" s="418"/>
      <c r="D41" s="351">
        <f t="shared" ref="D41:D50" si="8">-K40</f>
        <v>0</v>
      </c>
      <c r="E41" s="351"/>
      <c r="F41" s="426">
        <f t="shared" ref="F41:F50" si="9">+F40</f>
        <v>2.7083333333333334E-3</v>
      </c>
      <c r="G41" s="418"/>
      <c r="H41" s="425">
        <f t="shared" si="6"/>
        <v>0</v>
      </c>
      <c r="I41" s="425">
        <f t="shared" ref="I41:I50" si="10">I40</f>
        <v>0</v>
      </c>
      <c r="J41" s="425"/>
      <c r="K41" s="425">
        <f t="shared" si="7"/>
        <v>0</v>
      </c>
      <c r="L41" s="336"/>
      <c r="M41" s="337"/>
    </row>
    <row r="42" spans="1:13" ht="15.6">
      <c r="A42" s="418" t="s">
        <v>155</v>
      </c>
      <c r="B42" s="530" t="str">
        <f>+B41</f>
        <v>Year 2016</v>
      </c>
      <c r="C42" s="418"/>
      <c r="D42" s="351">
        <f t="shared" si="8"/>
        <v>0</v>
      </c>
      <c r="E42" s="351"/>
      <c r="F42" s="426">
        <f t="shared" si="9"/>
        <v>2.7083333333333334E-3</v>
      </c>
      <c r="G42" s="418"/>
      <c r="H42" s="425">
        <f t="shared" si="6"/>
        <v>0</v>
      </c>
      <c r="I42" s="425">
        <f t="shared" si="10"/>
        <v>0</v>
      </c>
      <c r="J42" s="425"/>
      <c r="K42" s="425">
        <f t="shared" si="7"/>
        <v>0</v>
      </c>
      <c r="L42" s="336"/>
      <c r="M42" s="337"/>
    </row>
    <row r="43" spans="1:13" ht="15.6">
      <c r="A43" s="418" t="s">
        <v>152</v>
      </c>
      <c r="B43" s="530" t="str">
        <f>+B42</f>
        <v>Year 2016</v>
      </c>
      <c r="C43" s="418"/>
      <c r="D43" s="351">
        <f t="shared" si="8"/>
        <v>0</v>
      </c>
      <c r="E43" s="351"/>
      <c r="F43" s="426">
        <f t="shared" si="9"/>
        <v>2.7083333333333334E-3</v>
      </c>
      <c r="G43" s="418"/>
      <c r="H43" s="425">
        <f t="shared" si="6"/>
        <v>0</v>
      </c>
      <c r="I43" s="425">
        <f t="shared" si="10"/>
        <v>0</v>
      </c>
      <c r="J43" s="425"/>
      <c r="K43" s="425">
        <f t="shared" si="7"/>
        <v>0</v>
      </c>
      <c r="L43" s="336"/>
      <c r="M43" s="337"/>
    </row>
    <row r="44" spans="1:13" ht="15.6">
      <c r="A44" s="418" t="s">
        <v>277</v>
      </c>
      <c r="B44" s="530" t="str">
        <f>B43</f>
        <v>Year 2016</v>
      </c>
      <c r="C44" s="416"/>
      <c r="D44" s="351">
        <f t="shared" si="8"/>
        <v>0</v>
      </c>
      <c r="E44" s="351"/>
      <c r="F44" s="426">
        <f t="shared" si="9"/>
        <v>2.7083333333333334E-3</v>
      </c>
      <c r="G44" s="418"/>
      <c r="H44" s="425">
        <f t="shared" si="6"/>
        <v>0</v>
      </c>
      <c r="I44" s="425">
        <f t="shared" si="10"/>
        <v>0</v>
      </c>
      <c r="J44" s="425"/>
      <c r="K44" s="425">
        <f t="shared" si="7"/>
        <v>0</v>
      </c>
      <c r="L44" s="336"/>
      <c r="M44" s="337"/>
    </row>
    <row r="45" spans="1:13" ht="15.6">
      <c r="A45" s="418" t="s">
        <v>170</v>
      </c>
      <c r="B45" s="530" t="str">
        <f t="shared" ref="B45:B50" si="11">+B44</f>
        <v>Year 2016</v>
      </c>
      <c r="C45" s="418"/>
      <c r="D45" s="351">
        <f t="shared" si="8"/>
        <v>0</v>
      </c>
      <c r="E45" s="351"/>
      <c r="F45" s="426">
        <f t="shared" si="9"/>
        <v>2.7083333333333334E-3</v>
      </c>
      <c r="G45" s="418"/>
      <c r="H45" s="425">
        <f t="shared" si="6"/>
        <v>0</v>
      </c>
      <c r="I45" s="425">
        <f t="shared" si="10"/>
        <v>0</v>
      </c>
      <c r="J45" s="425"/>
      <c r="K45" s="425">
        <f t="shared" si="7"/>
        <v>0</v>
      </c>
      <c r="L45" s="336"/>
      <c r="M45" s="337"/>
    </row>
    <row r="46" spans="1:13" ht="15.6">
      <c r="A46" s="418" t="s">
        <v>169</v>
      </c>
      <c r="B46" s="530" t="str">
        <f t="shared" si="11"/>
        <v>Year 2016</v>
      </c>
      <c r="C46" s="418"/>
      <c r="D46" s="351">
        <f t="shared" si="8"/>
        <v>0</v>
      </c>
      <c r="E46" s="351"/>
      <c r="F46" s="426">
        <f t="shared" si="9"/>
        <v>2.7083333333333334E-3</v>
      </c>
      <c r="G46" s="418"/>
      <c r="H46" s="425">
        <f t="shared" si="6"/>
        <v>0</v>
      </c>
      <c r="I46" s="425">
        <f t="shared" si="10"/>
        <v>0</v>
      </c>
      <c r="J46" s="425"/>
      <c r="K46" s="425">
        <f t="shared" si="7"/>
        <v>0</v>
      </c>
      <c r="L46" s="336"/>
      <c r="M46" s="337"/>
    </row>
    <row r="47" spans="1:13" ht="15.6">
      <c r="A47" s="418" t="s">
        <v>168</v>
      </c>
      <c r="B47" s="530" t="str">
        <f t="shared" si="11"/>
        <v>Year 2016</v>
      </c>
      <c r="C47" s="418"/>
      <c r="D47" s="351">
        <f t="shared" si="8"/>
        <v>0</v>
      </c>
      <c r="E47" s="351"/>
      <c r="F47" s="426">
        <f t="shared" si="9"/>
        <v>2.7083333333333334E-3</v>
      </c>
      <c r="G47" s="418"/>
      <c r="H47" s="425">
        <f t="shared" si="6"/>
        <v>0</v>
      </c>
      <c r="I47" s="425">
        <f t="shared" si="10"/>
        <v>0</v>
      </c>
      <c r="J47" s="425"/>
      <c r="K47" s="425">
        <f t="shared" si="7"/>
        <v>0</v>
      </c>
      <c r="L47" s="336"/>
      <c r="M47" s="337"/>
    </row>
    <row r="48" spans="1:13" ht="15.6">
      <c r="A48" s="418" t="s">
        <v>181</v>
      </c>
      <c r="B48" s="530" t="str">
        <f t="shared" si="11"/>
        <v>Year 2016</v>
      </c>
      <c r="C48" s="418"/>
      <c r="D48" s="351">
        <f t="shared" si="8"/>
        <v>0</v>
      </c>
      <c r="E48" s="351"/>
      <c r="F48" s="426">
        <f t="shared" si="9"/>
        <v>2.7083333333333334E-3</v>
      </c>
      <c r="G48" s="418"/>
      <c r="H48" s="425">
        <f t="shared" si="6"/>
        <v>0</v>
      </c>
      <c r="I48" s="425">
        <f t="shared" si="10"/>
        <v>0</v>
      </c>
      <c r="J48" s="425"/>
      <c r="K48" s="425">
        <f t="shared" si="7"/>
        <v>0</v>
      </c>
      <c r="L48" s="336"/>
      <c r="M48" s="337"/>
    </row>
    <row r="49" spans="1:13" ht="15.6">
      <c r="A49" s="418" t="s">
        <v>166</v>
      </c>
      <c r="B49" s="530" t="str">
        <f t="shared" si="11"/>
        <v>Year 2016</v>
      </c>
      <c r="C49" s="418"/>
      <c r="D49" s="351">
        <f t="shared" si="8"/>
        <v>0</v>
      </c>
      <c r="E49" s="351"/>
      <c r="F49" s="426">
        <f t="shared" si="9"/>
        <v>2.7083333333333334E-3</v>
      </c>
      <c r="G49" s="418"/>
      <c r="H49" s="425">
        <f t="shared" si="6"/>
        <v>0</v>
      </c>
      <c r="I49" s="425">
        <f t="shared" si="10"/>
        <v>0</v>
      </c>
      <c r="J49" s="425"/>
      <c r="K49" s="425">
        <f t="shared" si="7"/>
        <v>0</v>
      </c>
      <c r="L49" s="336"/>
      <c r="M49" s="337"/>
    </row>
    <row r="50" spans="1:13" ht="15.6">
      <c r="A50" s="418" t="s">
        <v>164</v>
      </c>
      <c r="B50" s="530" t="str">
        <f t="shared" si="11"/>
        <v>Year 2016</v>
      </c>
      <c r="C50" s="418"/>
      <c r="D50" s="351">
        <f t="shared" si="8"/>
        <v>0</v>
      </c>
      <c r="E50" s="351"/>
      <c r="F50" s="426">
        <f t="shared" si="9"/>
        <v>2.7083333333333334E-3</v>
      </c>
      <c r="G50" s="418"/>
      <c r="H50" s="362">
        <f t="shared" si="6"/>
        <v>0</v>
      </c>
      <c r="I50" s="425">
        <f t="shared" si="10"/>
        <v>0</v>
      </c>
      <c r="J50" s="425"/>
      <c r="K50" s="425">
        <f t="shared" si="7"/>
        <v>0</v>
      </c>
      <c r="L50" s="336"/>
      <c r="M50" s="337"/>
    </row>
    <row r="51" spans="1:13" ht="15.6">
      <c r="A51" s="418"/>
      <c r="B51" s="418"/>
      <c r="C51" s="418"/>
      <c r="D51" s="351"/>
      <c r="E51" s="351"/>
      <c r="F51" s="426"/>
      <c r="G51" s="418"/>
      <c r="H51" s="425">
        <f>SUM(H39:H50)</f>
        <v>0</v>
      </c>
      <c r="I51" s="425"/>
      <c r="J51" s="425"/>
      <c r="K51" s="425"/>
      <c r="L51" s="336"/>
      <c r="M51" s="337"/>
    </row>
    <row r="52" spans="1:13">
      <c r="A52" s="428"/>
      <c r="B52" s="428"/>
      <c r="C52" s="428"/>
      <c r="D52" s="428"/>
      <c r="E52" s="428"/>
      <c r="F52" s="428"/>
      <c r="G52" s="428"/>
      <c r="H52" s="428"/>
      <c r="I52" s="428"/>
      <c r="J52" s="428"/>
      <c r="K52" s="428"/>
      <c r="L52" s="334"/>
    </row>
    <row r="53" spans="1:13" ht="15.6">
      <c r="A53" s="418" t="s">
        <v>281</v>
      </c>
      <c r="B53" s="428"/>
      <c r="C53" s="428"/>
      <c r="D53" s="428"/>
      <c r="E53" s="428"/>
      <c r="F53" s="428"/>
      <c r="G53" s="428"/>
      <c r="H53" s="428"/>
      <c r="I53" s="432">
        <f>SUM(I39:I50)*-1</f>
        <v>0</v>
      </c>
      <c r="J53" s="428"/>
      <c r="K53" s="428"/>
      <c r="L53" s="334"/>
    </row>
    <row r="54" spans="1:13" ht="15.6">
      <c r="A54" s="418" t="s">
        <v>282</v>
      </c>
      <c r="B54" s="428"/>
      <c r="C54" s="428"/>
      <c r="D54" s="428"/>
      <c r="E54" s="428"/>
      <c r="F54" s="428"/>
      <c r="G54" s="428"/>
      <c r="H54" s="428"/>
      <c r="I54" s="432">
        <f>+G9</f>
        <v>0</v>
      </c>
      <c r="J54" s="428"/>
      <c r="K54" s="428"/>
      <c r="L54" s="334"/>
    </row>
    <row r="55" spans="1:13" ht="15.6">
      <c r="A55" s="418" t="s">
        <v>283</v>
      </c>
      <c r="B55" s="428"/>
      <c r="C55" s="428"/>
      <c r="D55" s="428"/>
      <c r="E55" s="428"/>
      <c r="F55" s="428"/>
      <c r="G55" s="428"/>
      <c r="H55" s="428"/>
      <c r="I55" s="432">
        <f>(I53+I54)</f>
        <v>0</v>
      </c>
      <c r="J55" s="428"/>
      <c r="K55" s="428"/>
      <c r="L55" s="334"/>
    </row>
    <row r="57" spans="1:13" ht="15.6">
      <c r="A57" s="418" t="s">
        <v>926</v>
      </c>
      <c r="B57" s="364"/>
      <c r="C57" s="364"/>
      <c r="D57" s="364"/>
      <c r="E57" s="364"/>
      <c r="F57" s="697"/>
      <c r="G57" s="364"/>
      <c r="H57" s="364"/>
      <c r="I57" s="698"/>
      <c r="J57" s="364"/>
      <c r="K57" s="364"/>
    </row>
    <row r="58" spans="1:13" ht="15.6">
      <c r="A58" s="418" t="s">
        <v>927</v>
      </c>
      <c r="B58" s="364"/>
      <c r="C58" s="364"/>
      <c r="D58" s="364"/>
      <c r="E58" s="364"/>
      <c r="F58" s="364"/>
      <c r="G58" s="364"/>
      <c r="H58" s="364"/>
      <c r="I58" s="364"/>
      <c r="J58" s="364"/>
      <c r="K58" s="364"/>
    </row>
    <row r="59" spans="1:13" ht="15.6">
      <c r="A59" s="1371" t="s">
        <v>928</v>
      </c>
      <c r="F59" s="339"/>
      <c r="I59" s="340"/>
    </row>
    <row r="60" spans="1:13">
      <c r="D60" s="341"/>
      <c r="F60" s="339"/>
      <c r="I60" s="340"/>
    </row>
    <row r="61" spans="1:13">
      <c r="I61" s="341"/>
    </row>
  </sheetData>
  <mergeCells count="3">
    <mergeCell ref="A1:K1"/>
    <mergeCell ref="A2:K2"/>
    <mergeCell ref="A3:K3"/>
  </mergeCells>
  <phoneticPr fontId="64"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2"/>
  <sheetViews>
    <sheetView view="pageBreakPreview" zoomScale="60" zoomScaleNormal="100" workbookViewId="0"/>
  </sheetViews>
  <sheetFormatPr defaultRowHeight="15"/>
  <cols>
    <col min="5" max="5" width="27.81640625" customWidth="1"/>
    <col min="6" max="6" width="12.90625" customWidth="1"/>
    <col min="8" max="8" width="13.90625" customWidth="1"/>
    <col min="10" max="10" width="2.54296875" customWidth="1"/>
  </cols>
  <sheetData>
    <row r="1" spans="1:12">
      <c r="K1" t="s">
        <v>517</v>
      </c>
    </row>
    <row r="2" spans="1:12">
      <c r="A2" s="879" t="s">
        <v>463</v>
      </c>
      <c r="B2" s="879"/>
      <c r="C2" s="878"/>
      <c r="D2" s="880"/>
      <c r="E2" s="878"/>
      <c r="F2" s="881"/>
      <c r="G2" s="881"/>
      <c r="H2" s="881"/>
      <c r="I2" s="881"/>
      <c r="J2" s="881"/>
      <c r="K2" s="881" t="s">
        <v>465</v>
      </c>
      <c r="L2" s="881"/>
    </row>
    <row r="3" spans="1:12">
      <c r="A3" s="878"/>
      <c r="B3" s="878"/>
      <c r="C3" s="878"/>
      <c r="D3" s="880"/>
      <c r="E3" s="878"/>
      <c r="F3" s="896"/>
      <c r="G3" s="883"/>
      <c r="H3" s="1373" t="s">
        <v>933</v>
      </c>
      <c r="I3" s="896"/>
      <c r="J3" s="881"/>
      <c r="K3" s="881"/>
      <c r="L3" s="881"/>
    </row>
    <row r="4" spans="1:12">
      <c r="A4" s="878"/>
      <c r="B4" s="878"/>
      <c r="C4" s="878"/>
      <c r="D4" s="896"/>
      <c r="E4" s="896"/>
      <c r="F4" s="896"/>
      <c r="G4" s="883"/>
      <c r="H4" s="1373" t="s">
        <v>934</v>
      </c>
      <c r="I4" s="896"/>
      <c r="J4" s="881"/>
      <c r="K4" s="881"/>
      <c r="L4" s="881"/>
    </row>
    <row r="5" spans="1:12">
      <c r="A5" s="878"/>
      <c r="B5" s="878"/>
      <c r="C5" s="878"/>
      <c r="D5" s="894" t="s">
        <v>456</v>
      </c>
      <c r="E5" s="884"/>
      <c r="F5" s="895"/>
      <c r="G5" s="883"/>
      <c r="H5" s="1372" t="s">
        <v>932</v>
      </c>
      <c r="I5" s="883"/>
      <c r="J5" s="885"/>
      <c r="K5" s="885"/>
      <c r="L5" s="885"/>
    </row>
    <row r="6" spans="1:12">
      <c r="A6" s="878">
        <v>1</v>
      </c>
      <c r="B6" s="878"/>
      <c r="C6" s="878"/>
      <c r="D6" s="880" t="s">
        <v>457</v>
      </c>
      <c r="E6" s="883"/>
      <c r="F6" s="896"/>
      <c r="G6" s="883"/>
      <c r="H6" s="1451">
        <v>3.2500000000000001E-2</v>
      </c>
      <c r="I6" s="883"/>
      <c r="J6" s="885"/>
      <c r="K6" s="885"/>
      <c r="L6" s="885"/>
    </row>
    <row r="7" spans="1:12">
      <c r="A7" s="878">
        <f>A6+1</f>
        <v>2</v>
      </c>
      <c r="B7" s="878"/>
      <c r="C7" s="878"/>
      <c r="D7" s="880" t="s">
        <v>458</v>
      </c>
      <c r="E7" s="896"/>
      <c r="F7" s="896"/>
      <c r="G7" s="883"/>
      <c r="H7" s="1452">
        <v>3.2500000000000001E-2</v>
      </c>
      <c r="I7" s="883"/>
      <c r="J7" s="886"/>
      <c r="K7" s="886"/>
      <c r="L7" s="886"/>
    </row>
    <row r="8" spans="1:12">
      <c r="A8" s="878">
        <f>A7+1</f>
        <v>3</v>
      </c>
      <c r="B8" s="878"/>
      <c r="C8" s="878"/>
      <c r="D8" s="880" t="s">
        <v>459</v>
      </c>
      <c r="E8" s="896"/>
      <c r="F8" s="896"/>
      <c r="G8" s="883"/>
      <c r="H8" s="1452">
        <v>3.2500000000000001E-2</v>
      </c>
      <c r="I8" s="883"/>
      <c r="J8" s="886"/>
      <c r="K8" s="886"/>
      <c r="L8" s="886"/>
    </row>
    <row r="9" spans="1:12">
      <c r="A9" s="878">
        <f>A8+1</f>
        <v>4</v>
      </c>
      <c r="B9" s="878"/>
      <c r="C9" s="878"/>
      <c r="D9" s="880" t="s">
        <v>460</v>
      </c>
      <c r="E9" s="896"/>
      <c r="F9" s="896"/>
      <c r="G9" s="883"/>
      <c r="H9" s="1452">
        <v>3.2500000000000001E-2</v>
      </c>
      <c r="I9" s="883"/>
      <c r="J9" s="886"/>
      <c r="K9" s="886"/>
      <c r="L9" s="886"/>
    </row>
    <row r="10" spans="1:12">
      <c r="A10" s="878">
        <f>A9+1</f>
        <v>5</v>
      </c>
      <c r="B10" s="878"/>
      <c r="C10" s="878"/>
      <c r="D10" s="880" t="s">
        <v>461</v>
      </c>
      <c r="E10" s="896"/>
      <c r="F10" s="897" t="s">
        <v>483</v>
      </c>
      <c r="G10" s="883"/>
      <c r="H10" s="1453">
        <f>IF(SUM(H6:H9)=0,0,AVERAGE(H6:H9))</f>
        <v>3.2500000000000001E-2</v>
      </c>
      <c r="I10" s="883"/>
      <c r="J10" s="888"/>
      <c r="K10" s="888"/>
      <c r="L10" s="888"/>
    </row>
    <row r="11" spans="1:12">
      <c r="A11" s="878"/>
      <c r="B11" s="878"/>
      <c r="C11" s="878"/>
      <c r="D11" s="880"/>
      <c r="E11" s="881"/>
      <c r="F11" s="881"/>
      <c r="G11" s="883"/>
      <c r="H11" s="887"/>
      <c r="I11" s="883"/>
      <c r="J11" s="888"/>
      <c r="K11" s="888"/>
      <c r="L11" s="888"/>
    </row>
    <row r="12" spans="1:12">
      <c r="A12" s="878">
        <f>A10+1</f>
        <v>6</v>
      </c>
      <c r="B12" s="878"/>
      <c r="C12" s="878"/>
      <c r="D12" s="880" t="s">
        <v>462</v>
      </c>
      <c r="E12" s="881"/>
      <c r="F12" s="881"/>
      <c r="H12" s="1450">
        <f>+H10</f>
        <v>3.2500000000000001E-2</v>
      </c>
      <c r="I12" s="892"/>
      <c r="J12" s="892"/>
      <c r="K12" s="892"/>
      <c r="L12" s="889"/>
    </row>
    <row r="13" spans="1:12">
      <c r="A13" s="878">
        <f>+A12+1</f>
        <v>7</v>
      </c>
      <c r="B13" s="878"/>
      <c r="C13" s="878"/>
      <c r="D13" s="880" t="s">
        <v>518</v>
      </c>
      <c r="E13" s="881"/>
      <c r="F13" s="881" t="s">
        <v>484</v>
      </c>
      <c r="G13" s="883"/>
      <c r="H13" s="1450">
        <f>+H12/12</f>
        <v>2.7083333333333334E-3</v>
      </c>
      <c r="I13" s="881"/>
      <c r="J13" s="882"/>
      <c r="K13" s="882"/>
      <c r="L13" s="882"/>
    </row>
    <row r="14" spans="1:12">
      <c r="A14" s="878"/>
      <c r="B14" s="878"/>
      <c r="C14" s="883"/>
      <c r="D14" s="883"/>
      <c r="E14" s="883"/>
      <c r="F14" s="883"/>
      <c r="G14" s="883"/>
      <c r="H14" s="883"/>
      <c r="I14" s="883"/>
      <c r="J14" s="883"/>
      <c r="K14" s="883"/>
      <c r="L14" s="883"/>
    </row>
    <row r="15" spans="1:12">
      <c r="A15" s="878"/>
      <c r="B15" s="878"/>
      <c r="C15" s="890"/>
      <c r="D15" s="883"/>
      <c r="E15" s="883"/>
      <c r="F15" s="883"/>
      <c r="G15" s="883"/>
      <c r="H15" s="883"/>
      <c r="I15" s="883"/>
      <c r="J15" s="883"/>
      <c r="K15" s="883"/>
      <c r="L15" s="883"/>
    </row>
    <row r="16" spans="1:12" ht="30.75" customHeight="1">
      <c r="A16" s="891"/>
      <c r="B16" s="878"/>
      <c r="C16" s="893"/>
      <c r="D16" s="1547"/>
      <c r="E16" s="1548"/>
      <c r="F16" s="1548"/>
      <c r="G16" s="1548"/>
      <c r="H16" s="1548"/>
      <c r="I16" s="1548"/>
      <c r="J16" s="1548"/>
      <c r="K16" s="1548"/>
      <c r="L16" s="1548"/>
    </row>
    <row r="17" spans="1:12" ht="30" customHeight="1">
      <c r="A17" s="878"/>
      <c r="B17" s="878"/>
      <c r="C17" s="893"/>
      <c r="D17" s="1549"/>
      <c r="E17" s="1549"/>
      <c r="F17" s="1549"/>
      <c r="G17" s="1549"/>
      <c r="H17" s="1549"/>
      <c r="I17" s="1549"/>
      <c r="J17" s="1549"/>
      <c r="K17" s="1549"/>
      <c r="L17" s="1549"/>
    </row>
    <row r="18" spans="1:12">
      <c r="A18" s="878"/>
      <c r="B18" s="878"/>
      <c r="C18" s="878"/>
      <c r="D18" s="883"/>
      <c r="E18" s="883"/>
      <c r="F18" s="883"/>
      <c r="G18" s="883"/>
      <c r="H18" s="883"/>
      <c r="I18" s="883"/>
      <c r="J18" s="883"/>
      <c r="K18" s="883"/>
      <c r="L18" s="883"/>
    </row>
    <row r="19" spans="1:12">
      <c r="A19" s="878"/>
      <c r="B19" s="878"/>
      <c r="C19" s="878"/>
      <c r="E19" s="883"/>
      <c r="F19" s="883"/>
      <c r="G19" s="883"/>
      <c r="H19" s="883"/>
      <c r="I19" s="883"/>
      <c r="J19" s="883"/>
      <c r="K19" s="883"/>
      <c r="L19" s="883"/>
    </row>
    <row r="20" spans="1:12">
      <c r="A20" s="878"/>
      <c r="B20" s="878"/>
      <c r="C20" s="878"/>
      <c r="D20" s="883"/>
      <c r="E20" s="883"/>
      <c r="F20" s="883"/>
      <c r="G20" s="883"/>
      <c r="H20" s="883"/>
      <c r="I20" s="883"/>
      <c r="J20" s="883"/>
      <c r="K20" s="883"/>
      <c r="L20" s="883"/>
    </row>
    <row r="21" spans="1:12">
      <c r="A21" s="878"/>
      <c r="B21" s="878"/>
      <c r="C21" s="878"/>
      <c r="E21" s="883"/>
      <c r="F21" s="883"/>
      <c r="G21" s="883"/>
      <c r="H21" s="883"/>
      <c r="I21" s="883"/>
      <c r="J21" s="883"/>
      <c r="K21" s="883"/>
      <c r="L21" s="883"/>
    </row>
    <row r="22" spans="1:12">
      <c r="A22" s="878"/>
      <c r="B22" s="878"/>
      <c r="C22" s="878"/>
      <c r="D22" s="883"/>
      <c r="E22" s="883"/>
      <c r="F22" s="883"/>
      <c r="G22" s="883"/>
      <c r="H22" s="883"/>
      <c r="I22" s="883"/>
      <c r="J22" s="883"/>
      <c r="K22" s="883"/>
      <c r="L22" s="883"/>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9"/>
  <sheetViews>
    <sheetView view="pageBreakPreview" zoomScale="75" zoomScaleNormal="75" zoomScaleSheetLayoutView="75" workbookViewId="0">
      <selection activeCell="A23" sqref="A23"/>
    </sheetView>
  </sheetViews>
  <sheetFormatPr defaultColWidth="8.90625" defaultRowHeight="15"/>
  <cols>
    <col min="1" max="1" width="21.81640625" style="335" customWidth="1"/>
    <col min="2" max="2" width="2.08984375" style="335" customWidth="1"/>
    <col min="3" max="3" width="26.36328125" style="335" customWidth="1"/>
    <col min="4" max="4" width="2.36328125" style="335" customWidth="1"/>
    <col min="5" max="5" width="26.1796875" style="335" customWidth="1"/>
    <col min="6" max="6" width="1.81640625" style="335" customWidth="1"/>
    <col min="7" max="7" width="16.36328125" style="335" customWidth="1"/>
    <col min="8" max="8" width="2.1796875" style="335" customWidth="1"/>
    <col min="9" max="9" width="15.453125" style="335" customWidth="1"/>
    <col min="10" max="10" width="2.453125" style="335" customWidth="1"/>
    <col min="11" max="11" width="15" style="335" customWidth="1"/>
    <col min="12" max="12" width="2.08984375" style="335" customWidth="1"/>
    <col min="13" max="13" width="15.81640625" style="335" customWidth="1"/>
    <col min="14" max="14" width="1.453125" style="335" customWidth="1"/>
    <col min="15" max="15" width="18.08984375" style="335" customWidth="1"/>
    <col min="16" max="16" width="10.81640625" style="364" bestFit="1" customWidth="1"/>
    <col min="17" max="17" width="10.81640625" style="335" bestFit="1" customWidth="1"/>
    <col min="18" max="16384" width="8.90625" style="335"/>
  </cols>
  <sheetData>
    <row r="1" spans="1:16" s="344" customFormat="1">
      <c r="N1" s="173"/>
      <c r="O1" s="173"/>
      <c r="P1" s="414"/>
    </row>
    <row r="2" spans="1:16" s="344" customFormat="1" ht="15.6">
      <c r="A2" s="1550" t="s">
        <v>935</v>
      </c>
      <c r="B2" s="1550"/>
      <c r="C2" s="1550"/>
      <c r="D2" s="1550"/>
      <c r="E2" s="1550"/>
      <c r="F2" s="1550"/>
      <c r="G2" s="1550"/>
      <c r="H2" s="1550"/>
      <c r="I2" s="1550"/>
      <c r="J2" s="1550"/>
      <c r="K2" s="1550"/>
      <c r="L2" s="1550"/>
      <c r="M2" s="1550"/>
      <c r="N2" s="173"/>
      <c r="O2" s="173"/>
      <c r="P2" s="414"/>
    </row>
    <row r="3" spans="1:16" s="344" customFormat="1" ht="15.6">
      <c r="A3" s="1551" t="str">
        <f>+'7 - True-Up'!A3:K3</f>
        <v>New York Transco LLC</v>
      </c>
      <c r="B3" s="1551"/>
      <c r="C3" s="1551"/>
      <c r="D3" s="1551"/>
      <c r="E3" s="1551"/>
      <c r="F3" s="1551"/>
      <c r="G3" s="1551"/>
      <c r="H3" s="1551"/>
      <c r="I3" s="1551"/>
      <c r="J3" s="1551"/>
      <c r="K3" s="1551"/>
      <c r="L3" s="1551"/>
      <c r="M3" s="1551"/>
      <c r="N3" s="173"/>
      <c r="O3" s="173"/>
      <c r="P3" s="414"/>
    </row>
    <row r="4" spans="1:16" s="344" customFormat="1" ht="15.6">
      <c r="A4" s="1550"/>
      <c r="B4" s="1550"/>
      <c r="C4" s="1550"/>
      <c r="D4" s="1550"/>
      <c r="E4" s="1550"/>
      <c r="F4" s="1550"/>
      <c r="G4" s="1550"/>
      <c r="H4" s="1550"/>
      <c r="I4" s="1550"/>
      <c r="J4" s="1550"/>
      <c r="K4" s="1550"/>
      <c r="L4" s="1550"/>
      <c r="M4" s="1550"/>
      <c r="N4" s="346"/>
      <c r="O4" s="346"/>
      <c r="P4" s="414"/>
    </row>
    <row r="5" spans="1:16" s="344" customFormat="1" ht="15.6">
      <c r="A5" s="345"/>
      <c r="B5" s="345"/>
      <c r="C5" s="345"/>
      <c r="D5" s="345"/>
      <c r="E5" s="345"/>
      <c r="F5" s="345"/>
      <c r="G5" s="345"/>
      <c r="H5" s="345"/>
      <c r="I5" s="345"/>
      <c r="J5" s="345"/>
      <c r="K5" s="345"/>
      <c r="L5" s="345"/>
      <c r="M5" s="345"/>
      <c r="N5" s="346"/>
      <c r="O5" s="346"/>
      <c r="P5" s="414"/>
    </row>
    <row r="6" spans="1:16" s="344" customFormat="1" ht="16.2" thickBot="1">
      <c r="A6" s="409"/>
      <c r="B6" s="345"/>
      <c r="C6" s="345"/>
      <c r="D6" s="345"/>
      <c r="E6" s="345"/>
      <c r="F6" s="345"/>
      <c r="G6" s="345"/>
      <c r="H6" s="345"/>
      <c r="I6" s="345"/>
      <c r="J6" s="345"/>
      <c r="K6" s="345"/>
      <c r="L6" s="345"/>
      <c r="M6" s="345"/>
      <c r="N6" s="346"/>
      <c r="O6" s="346"/>
      <c r="P6" s="414"/>
    </row>
    <row r="7" spans="1:16" ht="15.6">
      <c r="A7" s="1552" t="s">
        <v>303</v>
      </c>
      <c r="B7" s="1553"/>
      <c r="C7" s="1553"/>
      <c r="D7" s="1553"/>
      <c r="E7" s="1553"/>
      <c r="F7" s="1553"/>
      <c r="G7" s="1553"/>
      <c r="H7" s="1553"/>
      <c r="I7" s="1553"/>
      <c r="J7" s="1553"/>
      <c r="K7" s="1553"/>
      <c r="L7" s="1553"/>
      <c r="M7" s="1553"/>
      <c r="N7" s="1553"/>
      <c r="O7" s="1554"/>
    </row>
    <row r="8" spans="1:16" ht="15.6">
      <c r="A8" s="928"/>
      <c r="B8" s="929"/>
      <c r="C8" s="929"/>
      <c r="D8" s="929"/>
      <c r="E8" s="929"/>
      <c r="F8" s="348"/>
      <c r="G8" s="1556" t="s">
        <v>287</v>
      </c>
      <c r="H8" s="1557"/>
      <c r="I8" s="1557"/>
      <c r="J8" s="1557"/>
      <c r="K8" s="1558"/>
      <c r="L8" s="348"/>
      <c r="M8" s="347"/>
      <c r="N8" s="347"/>
      <c r="O8" s="397"/>
    </row>
    <row r="9" spans="1:16" ht="78">
      <c r="A9" s="930" t="s">
        <v>300</v>
      </c>
      <c r="B9" s="398"/>
      <c r="C9" s="931" t="s">
        <v>401</v>
      </c>
      <c r="D9" s="929"/>
      <c r="E9" s="931" t="s">
        <v>301</v>
      </c>
      <c r="F9" s="348"/>
      <c r="G9" s="931" t="s">
        <v>937</v>
      </c>
      <c r="H9" s="399"/>
      <c r="I9" s="931" t="s">
        <v>938</v>
      </c>
      <c r="J9" s="399"/>
      <c r="K9" s="932" t="s">
        <v>268</v>
      </c>
      <c r="L9" s="933"/>
      <c r="M9" s="931" t="s">
        <v>510</v>
      </c>
      <c r="N9" s="347"/>
      <c r="O9" s="934" t="s">
        <v>511</v>
      </c>
    </row>
    <row r="10" spans="1:16">
      <c r="A10" s="858">
        <v>2014</v>
      </c>
      <c r="B10" s="859"/>
      <c r="C10" s="860">
        <v>7.1775783387799455E-2</v>
      </c>
      <c r="D10" s="861"/>
      <c r="E10" s="860">
        <v>6.5000000000000002E-2</v>
      </c>
      <c r="F10" s="862"/>
      <c r="G10" s="863">
        <v>2500000</v>
      </c>
      <c r="H10" s="864"/>
      <c r="I10" s="863">
        <v>2400000</v>
      </c>
      <c r="J10" s="374"/>
      <c r="K10" s="816">
        <f t="shared" ref="K10:K15" si="0">G10-I10</f>
        <v>100000</v>
      </c>
      <c r="L10" s="815"/>
      <c r="M10" s="817">
        <v>5.4999999999999997E-3</v>
      </c>
      <c r="N10" s="374"/>
      <c r="O10" s="818">
        <f>M70</f>
        <v>-148288.32771968099</v>
      </c>
    </row>
    <row r="11" spans="1:16">
      <c r="A11" s="865">
        <f>+A10+1</f>
        <v>2015</v>
      </c>
      <c r="B11" s="866"/>
      <c r="C11" s="867">
        <v>6.8000000000000005E-2</v>
      </c>
      <c r="D11" s="862"/>
      <c r="E11" s="860">
        <v>6.5000000000000002E-2</v>
      </c>
      <c r="F11" s="862"/>
      <c r="G11" s="862">
        <v>5000000</v>
      </c>
      <c r="H11" s="862"/>
      <c r="I11" s="862">
        <v>5150000</v>
      </c>
      <c r="J11" s="374"/>
      <c r="K11" s="816">
        <f t="shared" si="0"/>
        <v>-150000</v>
      </c>
      <c r="L11" s="374"/>
      <c r="M11" s="817">
        <v>5.5999999999999999E-3</v>
      </c>
      <c r="N11" s="374"/>
      <c r="O11" s="818">
        <f>M119</f>
        <v>209670.43256430759</v>
      </c>
    </row>
    <row r="12" spans="1:16">
      <c r="A12" s="865">
        <f>+A11+1</f>
        <v>2016</v>
      </c>
      <c r="B12" s="866"/>
      <c r="C12" s="867">
        <v>7.1999999999999995E-2</v>
      </c>
      <c r="D12" s="862"/>
      <c r="E12" s="860">
        <v>6.5000000000000002E-2</v>
      </c>
      <c r="F12" s="862"/>
      <c r="G12" s="862">
        <f>8300000</f>
        <v>8300000</v>
      </c>
      <c r="H12" s="862"/>
      <c r="I12" s="862">
        <v>8200000</v>
      </c>
      <c r="J12" s="374"/>
      <c r="K12" s="816">
        <f t="shared" si="0"/>
        <v>100000</v>
      </c>
      <c r="L12" s="374"/>
      <c r="M12" s="817">
        <v>5.4000000000000003E-3</v>
      </c>
      <c r="N12" s="374"/>
      <c r="O12" s="818">
        <f>M163</f>
        <v>-131109.08724296052</v>
      </c>
    </row>
    <row r="13" spans="1:16">
      <c r="A13" s="865">
        <f>+A12+1</f>
        <v>2017</v>
      </c>
      <c r="B13" s="866"/>
      <c r="C13" s="867">
        <v>7.2999999999999995E-2</v>
      </c>
      <c r="D13" s="862"/>
      <c r="E13" s="860">
        <v>6.5000000000000002E-2</v>
      </c>
      <c r="F13" s="862"/>
      <c r="G13" s="862">
        <v>12300000</v>
      </c>
      <c r="H13" s="862"/>
      <c r="I13" s="862">
        <v>12000000</v>
      </c>
      <c r="J13" s="374"/>
      <c r="K13" s="816">
        <f t="shared" si="0"/>
        <v>300000</v>
      </c>
      <c r="L13" s="374"/>
      <c r="M13" s="817">
        <v>5.7999999999999996E-3</v>
      </c>
      <c r="N13" s="374"/>
      <c r="O13" s="818">
        <f>M210</f>
        <v>-368656.7265857521</v>
      </c>
    </row>
    <row r="14" spans="1:16">
      <c r="A14" s="865">
        <f>+A13+1</f>
        <v>2018</v>
      </c>
      <c r="B14" s="866" t="s">
        <v>402</v>
      </c>
      <c r="C14" s="867">
        <v>7.0999999999999994E-2</v>
      </c>
      <c r="D14" s="862"/>
      <c r="E14" s="860">
        <v>6.5000000000000002E-2</v>
      </c>
      <c r="F14" s="862"/>
      <c r="G14" s="862">
        <v>18000000</v>
      </c>
      <c r="H14" s="862"/>
      <c r="I14" s="862">
        <v>17900000</v>
      </c>
      <c r="J14" s="374"/>
      <c r="K14" s="816">
        <f t="shared" si="0"/>
        <v>100000</v>
      </c>
      <c r="L14" s="374"/>
      <c r="M14" s="817">
        <v>5.7000000000000002E-3</v>
      </c>
      <c r="N14" s="374"/>
      <c r="O14" s="818">
        <f>M252</f>
        <v>-114946.27650088673</v>
      </c>
    </row>
    <row r="15" spans="1:16">
      <c r="A15" s="865">
        <f>+A14</f>
        <v>2018</v>
      </c>
      <c r="B15" s="866" t="s">
        <v>403</v>
      </c>
      <c r="C15" s="868">
        <v>6.5000000000000002E-2</v>
      </c>
      <c r="D15" s="862"/>
      <c r="E15" s="860">
        <v>6.5000000000000002E-2</v>
      </c>
      <c r="F15" s="862"/>
      <c r="G15" s="862">
        <v>25000000</v>
      </c>
      <c r="H15" s="862"/>
      <c r="I15" s="862">
        <f>G15</f>
        <v>25000000</v>
      </c>
      <c r="J15" s="374"/>
      <c r="K15" s="816">
        <f t="shared" si="0"/>
        <v>0</v>
      </c>
      <c r="L15" s="374"/>
      <c r="M15" s="817"/>
      <c r="N15" s="374"/>
      <c r="O15" s="821"/>
    </row>
    <row r="16" spans="1:16">
      <c r="A16" s="819"/>
      <c r="B16" s="374"/>
      <c r="C16" s="820"/>
      <c r="D16" s="374"/>
      <c r="E16" s="814"/>
      <c r="F16" s="374"/>
      <c r="G16" s="374"/>
      <c r="H16" s="374"/>
      <c r="I16" s="374"/>
      <c r="J16" s="374"/>
      <c r="K16" s="816"/>
      <c r="L16" s="374"/>
      <c r="M16" s="817"/>
      <c r="N16" s="374"/>
      <c r="O16" s="818">
        <f>SUM(O10:O15)</f>
        <v>-553329.98548497283</v>
      </c>
    </row>
    <row r="17" spans="1:16">
      <c r="A17" s="822" t="s">
        <v>404</v>
      </c>
      <c r="B17" s="347"/>
      <c r="C17" s="347"/>
      <c r="D17" s="347"/>
      <c r="E17" s="347"/>
      <c r="F17" s="347"/>
      <c r="G17" s="347"/>
      <c r="H17" s="347"/>
      <c r="I17" s="347"/>
      <c r="J17" s="347"/>
      <c r="K17" s="347"/>
      <c r="L17" s="347"/>
      <c r="M17" s="401"/>
      <c r="N17" s="347"/>
      <c r="O17" s="397"/>
    </row>
    <row r="18" spans="1:16">
      <c r="A18" s="410" t="s">
        <v>519</v>
      </c>
      <c r="B18" s="347"/>
      <c r="C18" s="347"/>
      <c r="D18" s="347"/>
      <c r="E18" s="347"/>
      <c r="F18" s="347"/>
      <c r="G18" s="347"/>
      <c r="H18" s="347"/>
      <c r="I18" s="347"/>
      <c r="J18" s="347"/>
      <c r="K18" s="347"/>
      <c r="L18" s="347"/>
      <c r="M18" s="347"/>
      <c r="N18" s="347"/>
      <c r="O18" s="397"/>
    </row>
    <row r="19" spans="1:16">
      <c r="A19" s="410" t="s">
        <v>773</v>
      </c>
      <c r="B19" s="347"/>
      <c r="C19" s="347"/>
      <c r="D19" s="347"/>
      <c r="E19" s="347"/>
      <c r="F19" s="347"/>
      <c r="G19" s="347"/>
      <c r="H19" s="347"/>
      <c r="I19" s="347"/>
      <c r="J19" s="347"/>
      <c r="K19" s="347"/>
      <c r="L19" s="347"/>
      <c r="M19" s="347"/>
      <c r="N19" s="347"/>
      <c r="O19" s="397"/>
    </row>
    <row r="20" spans="1:16">
      <c r="A20" s="411"/>
      <c r="B20" s="347"/>
      <c r="C20" s="347"/>
      <c r="D20" s="347"/>
      <c r="E20" s="347"/>
      <c r="F20" s="347"/>
      <c r="G20" s="347"/>
      <c r="H20" s="347"/>
      <c r="I20" s="347"/>
      <c r="J20" s="347"/>
      <c r="K20" s="347"/>
      <c r="L20" s="347"/>
      <c r="M20" s="347"/>
      <c r="N20" s="347"/>
      <c r="O20" s="397"/>
    </row>
    <row r="21" spans="1:16" ht="15.6">
      <c r="A21" s="823"/>
      <c r="B21" s="347"/>
      <c r="C21" s="347"/>
      <c r="D21" s="347"/>
      <c r="E21" s="347"/>
      <c r="F21" s="347"/>
      <c r="G21" s="347"/>
      <c r="H21" s="347"/>
      <c r="I21" s="347"/>
      <c r="J21" s="347"/>
      <c r="K21" s="347"/>
      <c r="L21" s="347"/>
      <c r="M21" s="347"/>
      <c r="N21" s="347"/>
      <c r="O21" s="397"/>
    </row>
    <row r="22" spans="1:16" ht="15.6">
      <c r="A22" s="402"/>
      <c r="B22" s="403"/>
      <c r="C22" s="400"/>
      <c r="D22" s="349"/>
      <c r="E22" s="349"/>
      <c r="F22" s="349"/>
      <c r="G22" s="349"/>
      <c r="H22" s="349"/>
      <c r="I22" s="349"/>
      <c r="J22" s="349"/>
      <c r="K22" s="349"/>
      <c r="L22" s="349"/>
      <c r="M22" s="349"/>
      <c r="N22" s="349"/>
      <c r="O22" s="404"/>
      <c r="P22" s="414"/>
    </row>
    <row r="23" spans="1:16" ht="15.6">
      <c r="A23" s="405"/>
      <c r="B23" s="384"/>
      <c r="C23" s="373"/>
      <c r="D23" s="373"/>
      <c r="E23" s="384"/>
      <c r="F23" s="384"/>
      <c r="G23" s="373"/>
      <c r="H23" s="373"/>
      <c r="I23" s="384"/>
      <c r="J23" s="384"/>
      <c r="K23" s="374"/>
      <c r="L23" s="374"/>
      <c r="M23" s="374"/>
      <c r="N23" s="374"/>
      <c r="O23" s="406"/>
      <c r="P23" s="414"/>
    </row>
    <row r="24" spans="1:16" ht="16.2" thickBot="1">
      <c r="A24" s="407"/>
      <c r="B24" s="353"/>
      <c r="C24" s="354"/>
      <c r="D24" s="354"/>
      <c r="E24" s="353"/>
      <c r="F24" s="353"/>
      <c r="G24" s="354"/>
      <c r="H24" s="354"/>
      <c r="I24" s="353"/>
      <c r="J24" s="353"/>
      <c r="K24" s="355"/>
      <c r="L24" s="355"/>
      <c r="M24" s="355"/>
      <c r="N24" s="355"/>
      <c r="O24" s="408"/>
      <c r="P24" s="414"/>
    </row>
    <row r="25" spans="1:16" ht="35.25" customHeight="1">
      <c r="A25" s="1555" t="s">
        <v>304</v>
      </c>
      <c r="B25" s="1555"/>
      <c r="C25" s="1555"/>
      <c r="D25" s="1555"/>
      <c r="E25" s="1555"/>
      <c r="F25" s="1555"/>
      <c r="G25" s="1555"/>
      <c r="H25" s="1555"/>
      <c r="I25" s="1555"/>
      <c r="J25" s="1555"/>
      <c r="K25" s="1555"/>
      <c r="L25" s="1555"/>
      <c r="M25" s="1555"/>
      <c r="N25" s="1555"/>
      <c r="O25" s="1555"/>
      <c r="P25" s="414"/>
    </row>
    <row r="26" spans="1:16" ht="53.25" customHeight="1">
      <c r="A26" s="356" t="s">
        <v>305</v>
      </c>
      <c r="B26" s="356"/>
      <c r="C26" s="350"/>
      <c r="D26" s="350"/>
      <c r="E26" s="357" t="s">
        <v>270</v>
      </c>
      <c r="F26" s="351"/>
      <c r="G26" s="357" t="s">
        <v>405</v>
      </c>
      <c r="H26" s="357"/>
      <c r="I26" s="352" t="s">
        <v>271</v>
      </c>
      <c r="J26" s="352"/>
      <c r="K26" s="358" t="s">
        <v>272</v>
      </c>
      <c r="L26" s="358"/>
      <c r="M26" s="357" t="s">
        <v>273</v>
      </c>
      <c r="N26" s="359"/>
      <c r="O26" s="357" t="s">
        <v>274</v>
      </c>
      <c r="P26" s="414"/>
    </row>
    <row r="27" spans="1:16" ht="15.6">
      <c r="A27" s="356"/>
      <c r="B27" s="356"/>
      <c r="C27" s="350"/>
      <c r="D27" s="350"/>
      <c r="E27" s="346"/>
      <c r="F27" s="360"/>
      <c r="G27" s="360"/>
      <c r="H27" s="360"/>
      <c r="I27" s="351"/>
      <c r="J27" s="351"/>
      <c r="K27" s="346"/>
      <c r="L27" s="346"/>
      <c r="M27" s="346"/>
      <c r="N27" s="346"/>
      <c r="O27" s="346"/>
      <c r="P27" s="414"/>
    </row>
    <row r="28" spans="1:16" ht="15.6">
      <c r="A28" s="361" t="s">
        <v>29</v>
      </c>
      <c r="B28" s="361"/>
      <c r="C28" s="350"/>
      <c r="D28" s="350"/>
      <c r="E28" s="350"/>
      <c r="F28" s="350"/>
      <c r="G28" s="350" t="s">
        <v>29</v>
      </c>
      <c r="H28" s="350"/>
      <c r="I28" s="346"/>
      <c r="J28" s="346"/>
      <c r="K28" s="346"/>
      <c r="L28" s="346"/>
      <c r="M28" s="346"/>
      <c r="N28" s="346"/>
      <c r="O28" s="346"/>
      <c r="P28" s="414"/>
    </row>
    <row r="29" spans="1:16" ht="18">
      <c r="A29" s="365" t="s">
        <v>412</v>
      </c>
      <c r="B29" s="366"/>
      <c r="C29" s="367"/>
      <c r="D29" s="367"/>
      <c r="E29" s="367"/>
      <c r="F29" s="367"/>
      <c r="G29" s="368"/>
      <c r="H29" s="368"/>
      <c r="I29" s="368"/>
      <c r="J29" s="368"/>
      <c r="K29" s="369"/>
      <c r="L29" s="369"/>
      <c r="M29" s="367"/>
      <c r="N29" s="367"/>
      <c r="O29" s="370"/>
      <c r="P29" s="414"/>
    </row>
    <row r="30" spans="1:16" ht="15.6">
      <c r="A30" s="371" t="s">
        <v>527</v>
      </c>
      <c r="B30" s="372"/>
      <c r="C30" s="373"/>
      <c r="D30" s="373"/>
      <c r="E30" s="373"/>
      <c r="F30" s="373"/>
      <c r="G30" s="374"/>
      <c r="H30" s="374"/>
      <c r="I30" s="374"/>
      <c r="J30" s="374"/>
      <c r="K30" s="375" t="s">
        <v>276</v>
      </c>
      <c r="L30" s="375"/>
      <c r="M30" s="373"/>
      <c r="N30" s="373"/>
      <c r="O30" s="376"/>
      <c r="P30" s="414"/>
    </row>
    <row r="31" spans="1:16" ht="18">
      <c r="A31" s="377"/>
      <c r="B31" s="372"/>
      <c r="C31" s="373"/>
      <c r="D31" s="373"/>
      <c r="E31" s="373"/>
      <c r="F31" s="373"/>
      <c r="G31" s="374"/>
      <c r="H31" s="374"/>
      <c r="I31" s="374"/>
      <c r="J31" s="374"/>
      <c r="K31" s="375"/>
      <c r="L31" s="375"/>
      <c r="M31" s="373"/>
      <c r="N31" s="373"/>
      <c r="O31" s="376"/>
      <c r="P31" s="414"/>
    </row>
    <row r="32" spans="1:16" ht="15.6">
      <c r="A32" s="378" t="s">
        <v>174</v>
      </c>
      <c r="B32" s="349"/>
      <c r="C32" s="349" t="s">
        <v>406</v>
      </c>
      <c r="D32" s="349"/>
      <c r="E32" s="363">
        <v>0</v>
      </c>
      <c r="F32" s="363"/>
      <c r="G32" s="379">
        <f>M10</f>
        <v>5.4999999999999997E-3</v>
      </c>
      <c r="H32" s="379"/>
      <c r="I32" s="824">
        <v>12</v>
      </c>
      <c r="J32" s="349"/>
      <c r="K32" s="363">
        <f t="shared" ref="K32:K43" si="1">G32*E32*I32*-1</f>
        <v>0</v>
      </c>
      <c r="L32" s="363"/>
      <c r="M32" s="363"/>
      <c r="N32" s="363"/>
      <c r="O32" s="380">
        <f t="shared" ref="O32:O43" si="2">(-K32+E32)*-1</f>
        <v>0</v>
      </c>
      <c r="P32" s="414"/>
    </row>
    <row r="33" spans="1:16" ht="15.6">
      <c r="A33" s="378" t="s">
        <v>173</v>
      </c>
      <c r="B33" s="349"/>
      <c r="C33" s="349" t="str">
        <f t="shared" ref="C33:C43" si="3">C32</f>
        <v>Year 2014</v>
      </c>
      <c r="D33" s="349"/>
      <c r="E33" s="363">
        <v>0</v>
      </c>
      <c r="F33" s="363"/>
      <c r="G33" s="379">
        <f t="shared" ref="G33:G43" si="4">+G32</f>
        <v>5.4999999999999997E-3</v>
      </c>
      <c r="H33" s="379"/>
      <c r="I33" s="825">
        <f t="shared" ref="I33:I43" si="5">+I32-1</f>
        <v>11</v>
      </c>
      <c r="J33" s="381"/>
      <c r="K33" s="363">
        <f t="shared" si="1"/>
        <v>0</v>
      </c>
      <c r="L33" s="363"/>
      <c r="M33" s="363"/>
      <c r="N33" s="363"/>
      <c r="O33" s="380">
        <f t="shared" si="2"/>
        <v>0</v>
      </c>
      <c r="P33" s="414"/>
    </row>
    <row r="34" spans="1:16" ht="15.6">
      <c r="A34" s="378" t="s">
        <v>172</v>
      </c>
      <c r="B34" s="349"/>
      <c r="C34" s="349" t="str">
        <f t="shared" si="3"/>
        <v>Year 2014</v>
      </c>
      <c r="D34" s="349"/>
      <c r="E34" s="363">
        <f>K10/10</f>
        <v>10000</v>
      </c>
      <c r="F34" s="363"/>
      <c r="G34" s="379">
        <f t="shared" si="4"/>
        <v>5.4999999999999997E-3</v>
      </c>
      <c r="H34" s="379"/>
      <c r="I34" s="825">
        <f t="shared" si="5"/>
        <v>10</v>
      </c>
      <c r="J34" s="381"/>
      <c r="K34" s="363">
        <f t="shared" si="1"/>
        <v>-550</v>
      </c>
      <c r="L34" s="363"/>
      <c r="M34" s="363"/>
      <c r="N34" s="363"/>
      <c r="O34" s="380">
        <f t="shared" si="2"/>
        <v>-10550</v>
      </c>
      <c r="P34" s="414"/>
    </row>
    <row r="35" spans="1:16" ht="15.6">
      <c r="A35" s="378" t="s">
        <v>155</v>
      </c>
      <c r="B35" s="349"/>
      <c r="C35" s="349" t="str">
        <f t="shared" si="3"/>
        <v>Year 2014</v>
      </c>
      <c r="D35" s="349"/>
      <c r="E35" s="363">
        <f t="shared" ref="E35:E43" si="6">+E34</f>
        <v>10000</v>
      </c>
      <c r="F35" s="363"/>
      <c r="G35" s="379">
        <f t="shared" si="4"/>
        <v>5.4999999999999997E-3</v>
      </c>
      <c r="H35" s="379"/>
      <c r="I35" s="825">
        <f t="shared" si="5"/>
        <v>9</v>
      </c>
      <c r="J35" s="381"/>
      <c r="K35" s="363">
        <f t="shared" si="1"/>
        <v>-495</v>
      </c>
      <c r="L35" s="363"/>
      <c r="M35" s="363"/>
      <c r="N35" s="363"/>
      <c r="O35" s="380">
        <f t="shared" si="2"/>
        <v>-10495</v>
      </c>
      <c r="P35" s="414"/>
    </row>
    <row r="36" spans="1:16" ht="15.6">
      <c r="A36" s="378" t="s">
        <v>152</v>
      </c>
      <c r="B36" s="349"/>
      <c r="C36" s="349" t="str">
        <f t="shared" si="3"/>
        <v>Year 2014</v>
      </c>
      <c r="D36" s="349"/>
      <c r="E36" s="363">
        <f t="shared" si="6"/>
        <v>10000</v>
      </c>
      <c r="F36" s="363"/>
      <c r="G36" s="379">
        <f t="shared" si="4"/>
        <v>5.4999999999999997E-3</v>
      </c>
      <c r="H36" s="379"/>
      <c r="I36" s="825">
        <f t="shared" si="5"/>
        <v>8</v>
      </c>
      <c r="J36" s="381"/>
      <c r="K36" s="363">
        <f t="shared" si="1"/>
        <v>-440</v>
      </c>
      <c r="L36" s="363"/>
      <c r="M36" s="363"/>
      <c r="N36" s="363"/>
      <c r="O36" s="380">
        <f t="shared" si="2"/>
        <v>-10440</v>
      </c>
      <c r="P36" s="414"/>
    </row>
    <row r="37" spans="1:16" ht="15.6">
      <c r="A37" s="378" t="s">
        <v>277</v>
      </c>
      <c r="B37" s="349"/>
      <c r="C37" s="349" t="str">
        <f t="shared" si="3"/>
        <v>Year 2014</v>
      </c>
      <c r="D37" s="349"/>
      <c r="E37" s="363">
        <f t="shared" si="6"/>
        <v>10000</v>
      </c>
      <c r="F37" s="363"/>
      <c r="G37" s="379">
        <f t="shared" si="4"/>
        <v>5.4999999999999997E-3</v>
      </c>
      <c r="H37" s="379"/>
      <c r="I37" s="825">
        <f t="shared" si="5"/>
        <v>7</v>
      </c>
      <c r="J37" s="381"/>
      <c r="K37" s="363">
        <f t="shared" si="1"/>
        <v>-385</v>
      </c>
      <c r="L37" s="363"/>
      <c r="M37" s="363"/>
      <c r="N37" s="363"/>
      <c r="O37" s="380">
        <f t="shared" si="2"/>
        <v>-10385</v>
      </c>
      <c r="P37" s="414"/>
    </row>
    <row r="38" spans="1:16" ht="15.6">
      <c r="A38" s="378" t="s">
        <v>170</v>
      </c>
      <c r="B38" s="349"/>
      <c r="C38" s="349" t="str">
        <f t="shared" si="3"/>
        <v>Year 2014</v>
      </c>
      <c r="D38" s="349"/>
      <c r="E38" s="363">
        <f t="shared" si="6"/>
        <v>10000</v>
      </c>
      <c r="F38" s="363"/>
      <c r="G38" s="379">
        <f t="shared" si="4"/>
        <v>5.4999999999999997E-3</v>
      </c>
      <c r="H38" s="379"/>
      <c r="I38" s="825">
        <f t="shared" si="5"/>
        <v>6</v>
      </c>
      <c r="J38" s="381"/>
      <c r="K38" s="363">
        <f t="shared" si="1"/>
        <v>-330</v>
      </c>
      <c r="L38" s="363"/>
      <c r="M38" s="363"/>
      <c r="N38" s="363"/>
      <c r="O38" s="380">
        <f t="shared" si="2"/>
        <v>-10330</v>
      </c>
      <c r="P38" s="414"/>
    </row>
    <row r="39" spans="1:16" ht="15.6">
      <c r="A39" s="378" t="s">
        <v>169</v>
      </c>
      <c r="B39" s="349"/>
      <c r="C39" s="349" t="str">
        <f t="shared" si="3"/>
        <v>Year 2014</v>
      </c>
      <c r="D39" s="349"/>
      <c r="E39" s="363">
        <f t="shared" si="6"/>
        <v>10000</v>
      </c>
      <c r="F39" s="363"/>
      <c r="G39" s="379">
        <f t="shared" si="4"/>
        <v>5.4999999999999997E-3</v>
      </c>
      <c r="H39" s="379"/>
      <c r="I39" s="825">
        <f t="shared" si="5"/>
        <v>5</v>
      </c>
      <c r="J39" s="381"/>
      <c r="K39" s="363">
        <f t="shared" si="1"/>
        <v>-275</v>
      </c>
      <c r="L39" s="363"/>
      <c r="M39" s="363"/>
      <c r="N39" s="363"/>
      <c r="O39" s="380">
        <f t="shared" si="2"/>
        <v>-10275</v>
      </c>
      <c r="P39" s="414"/>
    </row>
    <row r="40" spans="1:16" ht="15.6">
      <c r="A40" s="378" t="s">
        <v>168</v>
      </c>
      <c r="B40" s="349"/>
      <c r="C40" s="349" t="str">
        <f t="shared" si="3"/>
        <v>Year 2014</v>
      </c>
      <c r="D40" s="349"/>
      <c r="E40" s="363">
        <f t="shared" si="6"/>
        <v>10000</v>
      </c>
      <c r="F40" s="363"/>
      <c r="G40" s="379">
        <f t="shared" si="4"/>
        <v>5.4999999999999997E-3</v>
      </c>
      <c r="H40" s="379"/>
      <c r="I40" s="825">
        <f t="shared" si="5"/>
        <v>4</v>
      </c>
      <c r="J40" s="381"/>
      <c r="K40" s="363">
        <f t="shared" si="1"/>
        <v>-220</v>
      </c>
      <c r="L40" s="363"/>
      <c r="M40" s="363"/>
      <c r="N40" s="363"/>
      <c r="O40" s="380">
        <f t="shared" si="2"/>
        <v>-10220</v>
      </c>
      <c r="P40" s="414"/>
    </row>
    <row r="41" spans="1:16" ht="15.6">
      <c r="A41" s="378" t="s">
        <v>181</v>
      </c>
      <c r="B41" s="349"/>
      <c r="C41" s="349" t="str">
        <f t="shared" si="3"/>
        <v>Year 2014</v>
      </c>
      <c r="D41" s="349"/>
      <c r="E41" s="363">
        <f t="shared" si="6"/>
        <v>10000</v>
      </c>
      <c r="F41" s="363"/>
      <c r="G41" s="379">
        <f t="shared" si="4"/>
        <v>5.4999999999999997E-3</v>
      </c>
      <c r="H41" s="379"/>
      <c r="I41" s="825">
        <f t="shared" si="5"/>
        <v>3</v>
      </c>
      <c r="J41" s="381"/>
      <c r="K41" s="363">
        <f t="shared" si="1"/>
        <v>-165</v>
      </c>
      <c r="L41" s="363"/>
      <c r="M41" s="363"/>
      <c r="N41" s="363"/>
      <c r="O41" s="380">
        <f t="shared" si="2"/>
        <v>-10165</v>
      </c>
      <c r="P41" s="414"/>
    </row>
    <row r="42" spans="1:16" ht="15.6">
      <c r="A42" s="378" t="s">
        <v>166</v>
      </c>
      <c r="B42" s="349"/>
      <c r="C42" s="349" t="str">
        <f t="shared" si="3"/>
        <v>Year 2014</v>
      </c>
      <c r="D42" s="349"/>
      <c r="E42" s="363">
        <f t="shared" si="6"/>
        <v>10000</v>
      </c>
      <c r="F42" s="363"/>
      <c r="G42" s="379">
        <f t="shared" si="4"/>
        <v>5.4999999999999997E-3</v>
      </c>
      <c r="H42" s="379"/>
      <c r="I42" s="825">
        <f t="shared" si="5"/>
        <v>2</v>
      </c>
      <c r="J42" s="381"/>
      <c r="K42" s="363">
        <f t="shared" si="1"/>
        <v>-110</v>
      </c>
      <c r="L42" s="363"/>
      <c r="M42" s="363"/>
      <c r="N42" s="363"/>
      <c r="O42" s="380">
        <f t="shared" si="2"/>
        <v>-10110</v>
      </c>
      <c r="P42" s="414"/>
    </row>
    <row r="43" spans="1:16" ht="15.6">
      <c r="A43" s="378" t="s">
        <v>164</v>
      </c>
      <c r="B43" s="349"/>
      <c r="C43" s="349" t="str">
        <f t="shared" si="3"/>
        <v>Year 2014</v>
      </c>
      <c r="D43" s="349"/>
      <c r="E43" s="363">
        <f t="shared" si="6"/>
        <v>10000</v>
      </c>
      <c r="F43" s="363"/>
      <c r="G43" s="379">
        <f t="shared" si="4"/>
        <v>5.4999999999999997E-3</v>
      </c>
      <c r="H43" s="379"/>
      <c r="I43" s="825">
        <f t="shared" si="5"/>
        <v>1</v>
      </c>
      <c r="J43" s="381"/>
      <c r="K43" s="362">
        <f t="shared" si="1"/>
        <v>-55</v>
      </c>
      <c r="L43" s="363"/>
      <c r="M43" s="363"/>
      <c r="N43" s="363"/>
      <c r="O43" s="380">
        <f t="shared" si="2"/>
        <v>-10055</v>
      </c>
      <c r="P43" s="414"/>
    </row>
    <row r="44" spans="1:16" ht="15.6">
      <c r="A44" s="378"/>
      <c r="B44" s="349"/>
      <c r="C44" s="349"/>
      <c r="D44" s="349"/>
      <c r="E44" s="363"/>
      <c r="F44" s="363"/>
      <c r="G44" s="379"/>
      <c r="H44" s="379"/>
      <c r="I44" s="381"/>
      <c r="J44" s="381"/>
      <c r="K44" s="363">
        <f>SUM(K32:K43)</f>
        <v>-3025</v>
      </c>
      <c r="L44" s="363"/>
      <c r="M44" s="363"/>
      <c r="N44" s="363"/>
      <c r="O44" s="382">
        <f>SUM(O32:O43)</f>
        <v>-103025</v>
      </c>
      <c r="P44" s="414"/>
    </row>
    <row r="45" spans="1:16" ht="15.6">
      <c r="A45" s="378"/>
      <c r="B45" s="349"/>
      <c r="C45" s="349"/>
      <c r="D45" s="349"/>
      <c r="E45" s="363"/>
      <c r="F45" s="363"/>
      <c r="G45" s="379"/>
      <c r="H45" s="379"/>
      <c r="I45" s="381"/>
      <c r="J45" s="381"/>
      <c r="K45" s="363"/>
      <c r="L45" s="363"/>
      <c r="M45" s="363"/>
      <c r="N45" s="363"/>
      <c r="O45" s="382"/>
      <c r="P45" s="414"/>
    </row>
    <row r="46" spans="1:16" ht="15.6">
      <c r="A46" s="378"/>
      <c r="B46" s="349"/>
      <c r="C46" s="349"/>
      <c r="D46" s="349"/>
      <c r="E46" s="363"/>
      <c r="F46" s="363"/>
      <c r="G46" s="379"/>
      <c r="H46" s="379"/>
      <c r="I46" s="381"/>
      <c r="J46" s="381"/>
      <c r="K46" s="383" t="s">
        <v>278</v>
      </c>
      <c r="L46" s="363"/>
      <c r="M46" s="363"/>
      <c r="N46" s="363"/>
      <c r="O46" s="382"/>
      <c r="P46" s="414"/>
    </row>
    <row r="47" spans="1:16" ht="15.6">
      <c r="A47" s="378"/>
      <c r="B47" s="349"/>
      <c r="C47" s="349"/>
      <c r="D47" s="349"/>
      <c r="E47" s="363"/>
      <c r="F47" s="363"/>
      <c r="G47" s="379"/>
      <c r="H47" s="379"/>
      <c r="I47" s="381"/>
      <c r="J47" s="381"/>
      <c r="K47" s="383"/>
      <c r="L47" s="363"/>
      <c r="M47" s="363"/>
      <c r="N47" s="363"/>
      <c r="O47" s="382"/>
      <c r="P47" s="414"/>
    </row>
    <row r="48" spans="1:16" ht="15.6">
      <c r="A48" s="378" t="s">
        <v>279</v>
      </c>
      <c r="B48" s="349"/>
      <c r="C48" s="349" t="s">
        <v>407</v>
      </c>
      <c r="D48" s="349"/>
      <c r="E48" s="363">
        <f>O44</f>
        <v>-103025</v>
      </c>
      <c r="F48" s="363"/>
      <c r="G48" s="379">
        <f>M11</f>
        <v>5.5999999999999999E-3</v>
      </c>
      <c r="H48" s="379"/>
      <c r="I48" s="824">
        <v>12</v>
      </c>
      <c r="J48" s="349"/>
      <c r="K48" s="363">
        <f>+I48*G48*E48</f>
        <v>-6923.28</v>
      </c>
      <c r="L48" s="363"/>
      <c r="M48" s="363" t="s">
        <v>29</v>
      </c>
      <c r="N48" s="363"/>
      <c r="O48" s="382">
        <f>+E48+K48</f>
        <v>-109948.28</v>
      </c>
      <c r="P48" s="414"/>
    </row>
    <row r="49" spans="1:17" ht="15.6">
      <c r="A49" s="378" t="s">
        <v>279</v>
      </c>
      <c r="B49" s="349"/>
      <c r="C49" s="349" t="s">
        <v>408</v>
      </c>
      <c r="D49" s="349"/>
      <c r="E49" s="384">
        <f>O48</f>
        <v>-109948.28</v>
      </c>
      <c r="F49" s="384"/>
      <c r="G49" s="379">
        <f>M12</f>
        <v>5.4000000000000003E-3</v>
      </c>
      <c r="H49" s="379"/>
      <c r="I49" s="824">
        <v>12</v>
      </c>
      <c r="J49" s="349"/>
      <c r="K49" s="363">
        <f>+I49*G49*E49</f>
        <v>-7124.6485439999997</v>
      </c>
      <c r="L49" s="363"/>
      <c r="M49" s="363"/>
      <c r="N49" s="363"/>
      <c r="O49" s="382">
        <f>+E49+K49</f>
        <v>-117072.92854399999</v>
      </c>
      <c r="P49" s="414"/>
    </row>
    <row r="50" spans="1:17" ht="15.6">
      <c r="A50" s="378" t="s">
        <v>279</v>
      </c>
      <c r="B50" s="349"/>
      <c r="C50" s="826" t="s">
        <v>409</v>
      </c>
      <c r="D50" s="349"/>
      <c r="E50" s="384">
        <f>O49</f>
        <v>-117072.92854399999</v>
      </c>
      <c r="F50" s="384"/>
      <c r="G50" s="379">
        <f>M13</f>
        <v>5.7999999999999996E-3</v>
      </c>
      <c r="H50" s="379"/>
      <c r="I50" s="824">
        <v>12</v>
      </c>
      <c r="J50" s="349"/>
      <c r="K50" s="363">
        <f>+I50*G50*E50</f>
        <v>-8148.2758266623987</v>
      </c>
      <c r="L50" s="363"/>
      <c r="M50" s="363"/>
      <c r="N50" s="363"/>
      <c r="O50" s="382">
        <f>+E50+K50</f>
        <v>-125221.2043706624</v>
      </c>
      <c r="P50" s="414"/>
    </row>
    <row r="51" spans="1:17" ht="15.6">
      <c r="A51" s="378" t="s">
        <v>279</v>
      </c>
      <c r="B51" s="349"/>
      <c r="C51" s="349" t="s">
        <v>410</v>
      </c>
      <c r="D51" s="349"/>
      <c r="E51" s="384">
        <f>O50</f>
        <v>-125221.2043706624</v>
      </c>
      <c r="F51" s="384"/>
      <c r="G51" s="379">
        <f>M14</f>
        <v>5.7000000000000002E-3</v>
      </c>
      <c r="H51" s="379"/>
      <c r="I51" s="824">
        <v>12</v>
      </c>
      <c r="J51" s="349"/>
      <c r="K51" s="363">
        <f>+I51*G51*E51</f>
        <v>-8565.1303789533085</v>
      </c>
      <c r="L51" s="363"/>
      <c r="M51" s="363"/>
      <c r="N51" s="363"/>
      <c r="O51" s="382">
        <f>+E51+K51</f>
        <v>-133786.33474961569</v>
      </c>
      <c r="P51" s="414"/>
    </row>
    <row r="52" spans="1:17" ht="15.6">
      <c r="A52" s="378" t="s">
        <v>279</v>
      </c>
      <c r="B52" s="349"/>
      <c r="C52" s="349" t="s">
        <v>528</v>
      </c>
      <c r="D52" s="349"/>
      <c r="E52" s="384">
        <f>O51</f>
        <v>-133786.33474961569</v>
      </c>
      <c r="F52" s="384"/>
      <c r="G52" s="379">
        <f>M14</f>
        <v>5.7000000000000002E-3</v>
      </c>
      <c r="H52" s="379"/>
      <c r="I52" s="824">
        <v>12</v>
      </c>
      <c r="J52" s="349"/>
      <c r="K52" s="363">
        <f>+I52*G52*E52</f>
        <v>-9150.9852968737141</v>
      </c>
      <c r="L52" s="363"/>
      <c r="M52" s="363"/>
      <c r="N52" s="363"/>
      <c r="O52" s="382">
        <f>+E52+K52</f>
        <v>-142937.32004648942</v>
      </c>
      <c r="P52" s="414"/>
    </row>
    <row r="53" spans="1:17" ht="15.6">
      <c r="A53" s="378"/>
      <c r="B53" s="349"/>
      <c r="C53" s="349"/>
      <c r="D53" s="349"/>
      <c r="E53" s="384"/>
      <c r="F53" s="384"/>
      <c r="G53" s="379"/>
      <c r="H53" s="379"/>
      <c r="I53" s="349"/>
      <c r="J53" s="349"/>
      <c r="K53" s="363"/>
      <c r="L53" s="363"/>
      <c r="M53" s="363"/>
      <c r="N53" s="363"/>
      <c r="O53" s="382"/>
      <c r="P53" s="414"/>
    </row>
    <row r="54" spans="1:17" ht="15.6">
      <c r="A54" s="378"/>
      <c r="B54" s="349"/>
      <c r="C54" s="349"/>
      <c r="D54" s="349"/>
      <c r="E54" s="384"/>
      <c r="F54" s="384"/>
      <c r="G54" s="379"/>
      <c r="H54" s="379"/>
      <c r="I54" s="349"/>
      <c r="J54" s="349"/>
      <c r="K54" s="363"/>
      <c r="L54" s="363"/>
      <c r="M54" s="363"/>
      <c r="N54" s="363"/>
      <c r="O54" s="380"/>
      <c r="P54" s="414"/>
    </row>
    <row r="55" spans="1:17" ht="15.6">
      <c r="A55" s="385" t="s">
        <v>280</v>
      </c>
      <c r="B55" s="386"/>
      <c r="C55" s="349"/>
      <c r="D55" s="349"/>
      <c r="E55" s="363"/>
      <c r="F55" s="363"/>
      <c r="G55" s="379"/>
      <c r="H55" s="379"/>
      <c r="I55" s="349"/>
      <c r="J55" s="349"/>
      <c r="K55" s="383" t="s">
        <v>276</v>
      </c>
      <c r="L55" s="383"/>
      <c r="M55" s="363"/>
      <c r="N55" s="363"/>
      <c r="O55" s="380"/>
      <c r="P55" s="414"/>
    </row>
    <row r="56" spans="1:17" ht="15.6">
      <c r="A56" s="378" t="s">
        <v>174</v>
      </c>
      <c r="B56" s="349"/>
      <c r="C56" s="349" t="s">
        <v>529</v>
      </c>
      <c r="D56" s="349"/>
      <c r="E56" s="387">
        <f>-O52</f>
        <v>142937.32004648942</v>
      </c>
      <c r="F56" s="384"/>
      <c r="G56" s="379">
        <f>G52</f>
        <v>5.7000000000000002E-3</v>
      </c>
      <c r="H56" s="379"/>
      <c r="I56" s="349"/>
      <c r="J56" s="349"/>
      <c r="K56" s="363">
        <f t="shared" ref="K56:K67" si="7" xml:space="preserve"> -G56*E56</f>
        <v>-814.74272426498976</v>
      </c>
      <c r="L56" s="363"/>
      <c r="M56" s="363">
        <f>-PMT(G56,12,O52)</f>
        <v>-12357.360643306749</v>
      </c>
      <c r="N56" s="363"/>
      <c r="O56" s="380">
        <f t="shared" ref="O56:O67" si="8">(+E56+E56*G56+M56)*-1</f>
        <v>-131394.70212744767</v>
      </c>
      <c r="P56" s="414"/>
    </row>
    <row r="57" spans="1:17" ht="15.6">
      <c r="A57" s="378" t="s">
        <v>173</v>
      </c>
      <c r="B57" s="349"/>
      <c r="C57" s="349" t="str">
        <f>+C56</f>
        <v>Year 2020</v>
      </c>
      <c r="D57" s="349"/>
      <c r="E57" s="384">
        <f t="shared" ref="E57:E67" si="9">-O56</f>
        <v>131394.70212744767</v>
      </c>
      <c r="F57" s="384"/>
      <c r="G57" s="379">
        <f t="shared" ref="G57:G67" si="10">+G56</f>
        <v>5.7000000000000002E-3</v>
      </c>
      <c r="H57" s="379"/>
      <c r="I57" s="349"/>
      <c r="J57" s="349"/>
      <c r="K57" s="363">
        <f t="shared" si="7"/>
        <v>-748.9498021264518</v>
      </c>
      <c r="L57" s="363"/>
      <c r="M57" s="363">
        <f t="shared" ref="M57:M67" si="11">M56</f>
        <v>-12357.360643306749</v>
      </c>
      <c r="N57" s="363"/>
      <c r="O57" s="380">
        <f t="shared" si="8"/>
        <v>-119786.29128626737</v>
      </c>
      <c r="P57" s="414"/>
    </row>
    <row r="58" spans="1:17" ht="15.6">
      <c r="A58" s="378" t="s">
        <v>172</v>
      </c>
      <c r="B58" s="349"/>
      <c r="C58" s="349" t="str">
        <f>+C57</f>
        <v>Year 2020</v>
      </c>
      <c r="D58" s="349"/>
      <c r="E58" s="384">
        <f t="shared" si="9"/>
        <v>119786.29128626737</v>
      </c>
      <c r="F58" s="384"/>
      <c r="G58" s="379">
        <f t="shared" si="10"/>
        <v>5.7000000000000002E-3</v>
      </c>
      <c r="H58" s="379"/>
      <c r="I58" s="349"/>
      <c r="J58" s="349"/>
      <c r="K58" s="363">
        <f t="shared" si="7"/>
        <v>-682.78186033172403</v>
      </c>
      <c r="L58" s="363"/>
      <c r="M58" s="363">
        <f t="shared" si="11"/>
        <v>-12357.360643306749</v>
      </c>
      <c r="N58" s="363"/>
      <c r="O58" s="380">
        <f t="shared" si="8"/>
        <v>-108111.71250329235</v>
      </c>
      <c r="P58" s="415"/>
      <c r="Q58" s="337"/>
    </row>
    <row r="59" spans="1:17" ht="15.6">
      <c r="A59" s="378" t="s">
        <v>155</v>
      </c>
      <c r="B59" s="349"/>
      <c r="C59" s="349" t="str">
        <f>+C58</f>
        <v>Year 2020</v>
      </c>
      <c r="D59" s="349"/>
      <c r="E59" s="384">
        <f t="shared" si="9"/>
        <v>108111.71250329235</v>
      </c>
      <c r="F59" s="384"/>
      <c r="G59" s="379">
        <f t="shared" si="10"/>
        <v>5.7000000000000002E-3</v>
      </c>
      <c r="H59" s="379"/>
      <c r="I59" s="349"/>
      <c r="J59" s="349"/>
      <c r="K59" s="363">
        <f t="shared" si="7"/>
        <v>-616.23676126876637</v>
      </c>
      <c r="L59" s="363"/>
      <c r="M59" s="363">
        <f t="shared" si="11"/>
        <v>-12357.360643306749</v>
      </c>
      <c r="N59" s="363"/>
      <c r="O59" s="380">
        <f t="shared" si="8"/>
        <v>-96370.58862125437</v>
      </c>
      <c r="P59" s="415"/>
      <c r="Q59" s="337"/>
    </row>
    <row r="60" spans="1:17" ht="15.6">
      <c r="A60" s="378" t="s">
        <v>152</v>
      </c>
      <c r="B60" s="349"/>
      <c r="C60" s="349" t="str">
        <f>+C59</f>
        <v>Year 2020</v>
      </c>
      <c r="D60" s="349"/>
      <c r="E60" s="384">
        <f t="shared" si="9"/>
        <v>96370.58862125437</v>
      </c>
      <c r="F60" s="384"/>
      <c r="G60" s="379">
        <f t="shared" si="10"/>
        <v>5.7000000000000002E-3</v>
      </c>
      <c r="H60" s="379"/>
      <c r="I60" s="349"/>
      <c r="J60" s="349"/>
      <c r="K60" s="363">
        <f t="shared" si="7"/>
        <v>-549.31235514114996</v>
      </c>
      <c r="L60" s="363"/>
      <c r="M60" s="363">
        <f t="shared" si="11"/>
        <v>-12357.360643306749</v>
      </c>
      <c r="N60" s="363"/>
      <c r="O60" s="380">
        <f t="shared" si="8"/>
        <v>-84562.540333088778</v>
      </c>
      <c r="P60" s="415"/>
      <c r="Q60" s="337"/>
    </row>
    <row r="61" spans="1:17" ht="15.6">
      <c r="A61" s="378" t="s">
        <v>277</v>
      </c>
      <c r="B61" s="349"/>
      <c r="C61" s="349" t="str">
        <f>C60</f>
        <v>Year 2020</v>
      </c>
      <c r="D61" s="374"/>
      <c r="E61" s="384">
        <f t="shared" si="9"/>
        <v>84562.540333088778</v>
      </c>
      <c r="F61" s="384"/>
      <c r="G61" s="379">
        <f t="shared" si="10"/>
        <v>5.7000000000000002E-3</v>
      </c>
      <c r="H61" s="379"/>
      <c r="I61" s="349"/>
      <c r="J61" s="349"/>
      <c r="K61" s="363">
        <f t="shared" si="7"/>
        <v>-482.00647989860607</v>
      </c>
      <c r="L61" s="363"/>
      <c r="M61" s="363">
        <f t="shared" si="11"/>
        <v>-12357.360643306749</v>
      </c>
      <c r="N61" s="363"/>
      <c r="O61" s="380">
        <f t="shared" si="8"/>
        <v>-72687.186169680645</v>
      </c>
      <c r="P61" s="415"/>
      <c r="Q61" s="337"/>
    </row>
    <row r="62" spans="1:17" ht="15.6">
      <c r="A62" s="378" t="s">
        <v>170</v>
      </c>
      <c r="B62" s="349"/>
      <c r="C62" s="349" t="str">
        <f t="shared" ref="C62:C67" si="12">+C61</f>
        <v>Year 2020</v>
      </c>
      <c r="D62" s="349"/>
      <c r="E62" s="384">
        <f t="shared" si="9"/>
        <v>72687.186169680645</v>
      </c>
      <c r="F62" s="384"/>
      <c r="G62" s="379">
        <f t="shared" si="10"/>
        <v>5.7000000000000002E-3</v>
      </c>
      <c r="H62" s="379"/>
      <c r="I62" s="349"/>
      <c r="J62" s="349"/>
      <c r="K62" s="363">
        <f t="shared" si="7"/>
        <v>-414.31696116717967</v>
      </c>
      <c r="L62" s="363"/>
      <c r="M62" s="363">
        <f t="shared" si="11"/>
        <v>-12357.360643306749</v>
      </c>
      <c r="N62" s="363"/>
      <c r="O62" s="380">
        <f t="shared" si="8"/>
        <v>-60744.142487541074</v>
      </c>
      <c r="P62" s="415"/>
      <c r="Q62" s="337"/>
    </row>
    <row r="63" spans="1:17" ht="15.6">
      <c r="A63" s="378" t="s">
        <v>169</v>
      </c>
      <c r="B63" s="349"/>
      <c r="C63" s="349" t="str">
        <f t="shared" si="12"/>
        <v>Year 2020</v>
      </c>
      <c r="D63" s="349"/>
      <c r="E63" s="384">
        <f t="shared" si="9"/>
        <v>60744.142487541074</v>
      </c>
      <c r="F63" s="384"/>
      <c r="G63" s="379">
        <f t="shared" si="10"/>
        <v>5.7000000000000002E-3</v>
      </c>
      <c r="H63" s="379"/>
      <c r="I63" s="349"/>
      <c r="J63" s="349"/>
      <c r="K63" s="363">
        <f t="shared" si="7"/>
        <v>-346.24161217898416</v>
      </c>
      <c r="L63" s="363"/>
      <c r="M63" s="363">
        <f t="shared" si="11"/>
        <v>-12357.360643306749</v>
      </c>
      <c r="N63" s="363"/>
      <c r="O63" s="380">
        <f t="shared" si="8"/>
        <v>-48733.023456413313</v>
      </c>
      <c r="P63" s="415"/>
      <c r="Q63" s="337"/>
    </row>
    <row r="64" spans="1:17" ht="15.6">
      <c r="A64" s="378" t="s">
        <v>168</v>
      </c>
      <c r="B64" s="349"/>
      <c r="C64" s="349" t="str">
        <f t="shared" si="12"/>
        <v>Year 2020</v>
      </c>
      <c r="D64" s="349"/>
      <c r="E64" s="384">
        <f t="shared" si="9"/>
        <v>48733.023456413313</v>
      </c>
      <c r="F64" s="384"/>
      <c r="G64" s="379">
        <f t="shared" si="10"/>
        <v>5.7000000000000002E-3</v>
      </c>
      <c r="H64" s="379"/>
      <c r="I64" s="349"/>
      <c r="J64" s="349"/>
      <c r="K64" s="363">
        <f t="shared" si="7"/>
        <v>-277.77823370155591</v>
      </c>
      <c r="L64" s="363"/>
      <c r="M64" s="363">
        <f t="shared" si="11"/>
        <v>-12357.360643306749</v>
      </c>
      <c r="N64" s="363"/>
      <c r="O64" s="380">
        <f t="shared" si="8"/>
        <v>-36653.441046808119</v>
      </c>
      <c r="P64" s="415"/>
      <c r="Q64" s="337"/>
    </row>
    <row r="65" spans="1:17" ht="15.6">
      <c r="A65" s="378" t="s">
        <v>181</v>
      </c>
      <c r="B65" s="349"/>
      <c r="C65" s="349" t="str">
        <f t="shared" si="12"/>
        <v>Year 2020</v>
      </c>
      <c r="D65" s="349"/>
      <c r="E65" s="384">
        <f t="shared" si="9"/>
        <v>36653.441046808119</v>
      </c>
      <c r="F65" s="384"/>
      <c r="G65" s="379">
        <f t="shared" si="10"/>
        <v>5.7000000000000002E-3</v>
      </c>
      <c r="H65" s="379"/>
      <c r="I65" s="349"/>
      <c r="J65" s="349"/>
      <c r="K65" s="363">
        <f t="shared" si="7"/>
        <v>-208.92461396680628</v>
      </c>
      <c r="L65" s="363"/>
      <c r="M65" s="363">
        <f t="shared" si="11"/>
        <v>-12357.360643306749</v>
      </c>
      <c r="N65" s="363"/>
      <c r="O65" s="380">
        <f t="shared" si="8"/>
        <v>-24505.005017468175</v>
      </c>
      <c r="P65" s="415"/>
      <c r="Q65" s="337"/>
    </row>
    <row r="66" spans="1:17" ht="15.6">
      <c r="A66" s="378" t="s">
        <v>166</v>
      </c>
      <c r="B66" s="349"/>
      <c r="C66" s="349" t="str">
        <f t="shared" si="12"/>
        <v>Year 2020</v>
      </c>
      <c r="D66" s="349"/>
      <c r="E66" s="384">
        <f t="shared" si="9"/>
        <v>24505.005017468175</v>
      </c>
      <c r="F66" s="384"/>
      <c r="G66" s="379">
        <f t="shared" si="10"/>
        <v>5.7000000000000002E-3</v>
      </c>
      <c r="H66" s="379"/>
      <c r="I66" s="349"/>
      <c r="J66" s="349"/>
      <c r="K66" s="363">
        <f t="shared" si="7"/>
        <v>-139.67852859956861</v>
      </c>
      <c r="L66" s="363"/>
      <c r="M66" s="363">
        <f t="shared" si="11"/>
        <v>-12357.360643306749</v>
      </c>
      <c r="N66" s="363"/>
      <c r="O66" s="380">
        <f t="shared" si="8"/>
        <v>-12287.322902760994</v>
      </c>
      <c r="P66" s="415"/>
      <c r="Q66" s="337"/>
    </row>
    <row r="67" spans="1:17" ht="15.6">
      <c r="A67" s="378" t="s">
        <v>164</v>
      </c>
      <c r="B67" s="349"/>
      <c r="C67" s="349" t="str">
        <f t="shared" si="12"/>
        <v>Year 2020</v>
      </c>
      <c r="D67" s="349"/>
      <c r="E67" s="384">
        <f t="shared" si="9"/>
        <v>12287.322902760994</v>
      </c>
      <c r="F67" s="384"/>
      <c r="G67" s="379">
        <f t="shared" si="10"/>
        <v>5.7000000000000002E-3</v>
      </c>
      <c r="H67" s="379"/>
      <c r="I67" s="349"/>
      <c r="J67" s="349"/>
      <c r="K67" s="362">
        <f t="shared" si="7"/>
        <v>-70.037740545737663</v>
      </c>
      <c r="L67" s="363"/>
      <c r="M67" s="363">
        <f t="shared" si="11"/>
        <v>-12357.360643306749</v>
      </c>
      <c r="N67" s="363"/>
      <c r="O67" s="380">
        <f t="shared" si="8"/>
        <v>1.6370904631912708E-11</v>
      </c>
      <c r="P67" s="415"/>
      <c r="Q67" s="337"/>
    </row>
    <row r="68" spans="1:17" ht="15.6">
      <c r="A68" s="378"/>
      <c r="B68" s="349"/>
      <c r="C68" s="349"/>
      <c r="D68" s="349"/>
      <c r="E68" s="384"/>
      <c r="F68" s="384"/>
      <c r="G68" s="379"/>
      <c r="H68" s="379"/>
      <c r="I68" s="349"/>
      <c r="J68" s="349"/>
      <c r="K68" s="363">
        <f>SUM(K56:K67)</f>
        <v>-5351.0076731915196</v>
      </c>
      <c r="L68" s="363"/>
      <c r="M68" s="363"/>
      <c r="N68" s="363"/>
      <c r="O68" s="380"/>
      <c r="P68" s="415"/>
      <c r="Q68" s="337"/>
    </row>
    <row r="69" spans="1:17">
      <c r="A69" s="388"/>
      <c r="B69" s="389"/>
      <c r="C69" s="389"/>
      <c r="D69" s="389"/>
      <c r="E69" s="389"/>
      <c r="F69" s="389"/>
      <c r="G69" s="389"/>
      <c r="H69" s="389"/>
      <c r="I69" s="389"/>
      <c r="J69" s="389"/>
      <c r="K69" s="389"/>
      <c r="L69" s="389"/>
      <c r="M69" s="389"/>
      <c r="N69" s="389"/>
      <c r="O69" s="390"/>
      <c r="P69" s="415"/>
      <c r="Q69" s="337"/>
    </row>
    <row r="70" spans="1:17" ht="15.6">
      <c r="A70" s="378" t="s">
        <v>411</v>
      </c>
      <c r="B70" s="349"/>
      <c r="C70" s="389"/>
      <c r="D70" s="389"/>
      <c r="E70" s="389"/>
      <c r="F70" s="389"/>
      <c r="G70" s="389"/>
      <c r="H70" s="389"/>
      <c r="I70" s="389"/>
      <c r="J70" s="389"/>
      <c r="K70" s="389"/>
      <c r="L70" s="389"/>
      <c r="M70" s="391">
        <f>SUM(M56:M67)</f>
        <v>-148288.32771968099</v>
      </c>
      <c r="N70" s="389"/>
      <c r="O70" s="390"/>
      <c r="P70" s="415"/>
      <c r="Q70" s="337"/>
    </row>
    <row r="71" spans="1:17" ht="15.6">
      <c r="A71" s="378" t="s">
        <v>282</v>
      </c>
      <c r="B71" s="349"/>
      <c r="C71" s="389"/>
      <c r="D71" s="389"/>
      <c r="E71" s="389"/>
      <c r="F71" s="389"/>
      <c r="G71" s="389"/>
      <c r="H71" s="389"/>
      <c r="I71" s="389"/>
      <c r="J71" s="389"/>
      <c r="K71" s="389"/>
      <c r="L71" s="389"/>
      <c r="M71" s="391">
        <f>K10</f>
        <v>100000</v>
      </c>
      <c r="N71" s="389"/>
      <c r="O71" s="390"/>
      <c r="P71" s="414"/>
    </row>
    <row r="72" spans="1:17" ht="15.6">
      <c r="A72" s="392" t="s">
        <v>283</v>
      </c>
      <c r="B72" s="393"/>
      <c r="C72" s="394"/>
      <c r="D72" s="394"/>
      <c r="E72" s="394"/>
      <c r="F72" s="394"/>
      <c r="G72" s="394"/>
      <c r="H72" s="394"/>
      <c r="I72" s="394"/>
      <c r="J72" s="394"/>
      <c r="K72" s="394"/>
      <c r="L72" s="394"/>
      <c r="M72" s="395">
        <f>(M70+M71)</f>
        <v>-48288.327719680994</v>
      </c>
      <c r="N72" s="394"/>
      <c r="O72" s="396"/>
      <c r="P72" s="414"/>
    </row>
    <row r="73" spans="1:17">
      <c r="A73" s="364"/>
      <c r="B73" s="364"/>
      <c r="C73" s="364"/>
      <c r="D73" s="364"/>
      <c r="E73" s="364"/>
      <c r="F73" s="364"/>
      <c r="G73" s="364"/>
      <c r="H73" s="364"/>
      <c r="I73" s="364"/>
      <c r="J73" s="364"/>
      <c r="K73" s="364"/>
      <c r="L73" s="364"/>
      <c r="M73" s="364"/>
      <c r="N73" s="364"/>
      <c r="O73" s="364"/>
      <c r="P73" s="414"/>
    </row>
    <row r="74" spans="1:17">
      <c r="N74" s="364"/>
      <c r="O74" s="364"/>
      <c r="P74" s="414"/>
    </row>
    <row r="75" spans="1:17" ht="15.6">
      <c r="A75" s="1550" t="s">
        <v>428</v>
      </c>
      <c r="B75" s="1550"/>
      <c r="C75" s="1550"/>
      <c r="D75" s="1550"/>
      <c r="E75" s="1550"/>
      <c r="F75" s="1550"/>
      <c r="G75" s="1550"/>
      <c r="H75" s="1550"/>
      <c r="I75" s="1550"/>
      <c r="J75" s="1550"/>
      <c r="K75" s="1550"/>
      <c r="L75" s="1550"/>
      <c r="M75" s="1550"/>
      <c r="N75" s="364"/>
      <c r="O75" s="364"/>
    </row>
    <row r="76" spans="1:17" ht="15.6">
      <c r="A76" s="1551" t="str">
        <f>+A3</f>
        <v>New York Transco LLC</v>
      </c>
      <c r="B76" s="1551"/>
      <c r="C76" s="1551"/>
      <c r="D76" s="1551"/>
      <c r="E76" s="1551"/>
      <c r="F76" s="1551"/>
      <c r="G76" s="1551"/>
      <c r="H76" s="1551"/>
      <c r="I76" s="1551"/>
      <c r="J76" s="1551"/>
      <c r="K76" s="1551"/>
      <c r="L76" s="1551"/>
      <c r="M76" s="1551"/>
      <c r="N76" s="364"/>
      <c r="O76" s="364"/>
    </row>
    <row r="77" spans="1:17" ht="15.6">
      <c r="A77" s="1550"/>
      <c r="B77" s="1550"/>
      <c r="C77" s="1550"/>
      <c r="D77" s="1550"/>
      <c r="E77" s="1550"/>
      <c r="F77" s="1550"/>
      <c r="G77" s="1550"/>
      <c r="H77" s="1550"/>
      <c r="I77" s="1550"/>
      <c r="J77" s="1550"/>
      <c r="K77" s="1550"/>
      <c r="L77" s="1550"/>
      <c r="M77" s="1550"/>
      <c r="N77" s="364"/>
      <c r="O77" s="364"/>
    </row>
    <row r="78" spans="1:17" ht="15.6">
      <c r="A78" s="338"/>
      <c r="B78" s="338"/>
      <c r="G78" s="339"/>
      <c r="H78" s="339"/>
      <c r="M78" s="340"/>
    </row>
    <row r="79" spans="1:17" ht="18">
      <c r="A79" s="365" t="s">
        <v>520</v>
      </c>
      <c r="B79" s="366"/>
      <c r="C79" s="367"/>
      <c r="D79" s="367"/>
      <c r="E79" s="367"/>
      <c r="F79" s="367"/>
      <c r="G79" s="368"/>
      <c r="H79" s="368"/>
      <c r="I79" s="368"/>
      <c r="J79" s="368"/>
      <c r="K79" s="369"/>
      <c r="L79" s="369"/>
      <c r="M79" s="367"/>
      <c r="N79" s="367"/>
      <c r="O79" s="370"/>
    </row>
    <row r="80" spans="1:17" ht="15.6">
      <c r="A80" s="371" t="s">
        <v>772</v>
      </c>
      <c r="B80" s="372"/>
      <c r="C80" s="373"/>
      <c r="D80" s="373"/>
      <c r="E80" s="373"/>
      <c r="F80" s="373"/>
      <c r="G80" s="374"/>
      <c r="H80" s="374"/>
      <c r="I80" s="374"/>
      <c r="J80" s="374"/>
      <c r="K80" s="375" t="s">
        <v>276</v>
      </c>
      <c r="L80" s="375"/>
      <c r="M80" s="373"/>
      <c r="N80" s="373"/>
      <c r="O80" s="376"/>
    </row>
    <row r="81" spans="1:15" ht="18">
      <c r="A81" s="377"/>
      <c r="B81" s="372"/>
      <c r="C81" s="373"/>
      <c r="D81" s="373"/>
      <c r="E81" s="373"/>
      <c r="F81" s="373"/>
      <c r="G81" s="374"/>
      <c r="H81" s="374"/>
      <c r="I81" s="374"/>
      <c r="J81" s="374"/>
      <c r="K81" s="375"/>
      <c r="L81" s="375"/>
      <c r="M81" s="373"/>
      <c r="N81" s="373"/>
      <c r="O81" s="376"/>
    </row>
    <row r="82" spans="1:15" ht="15.6">
      <c r="A82" s="378" t="s">
        <v>174</v>
      </c>
      <c r="B82" s="349"/>
      <c r="C82" s="349" t="s">
        <v>407</v>
      </c>
      <c r="D82" s="349"/>
      <c r="E82" s="363">
        <f>K11/12</f>
        <v>-12500</v>
      </c>
      <c r="F82" s="363"/>
      <c r="G82" s="379">
        <f>M11</f>
        <v>5.5999999999999999E-3</v>
      </c>
      <c r="H82" s="379"/>
      <c r="I82" s="824">
        <v>12</v>
      </c>
      <c r="J82" s="349"/>
      <c r="K82" s="363">
        <f t="shared" ref="K82:K93" si="13">G82*E82*I82*-1</f>
        <v>840</v>
      </c>
      <c r="L82" s="363"/>
      <c r="M82" s="363"/>
      <c r="N82" s="363"/>
      <c r="O82" s="380">
        <f t="shared" ref="O82:O93" si="14">(-K82+E82)*-1</f>
        <v>13340</v>
      </c>
    </row>
    <row r="83" spans="1:15" ht="15.6">
      <c r="A83" s="378" t="s">
        <v>173</v>
      </c>
      <c r="B83" s="349"/>
      <c r="C83" s="349" t="str">
        <f t="shared" ref="C83:C93" si="15">C82</f>
        <v>Year 2015</v>
      </c>
      <c r="D83" s="349"/>
      <c r="E83" s="363">
        <f t="shared" ref="E83:E93" si="16">+E82</f>
        <v>-12500</v>
      </c>
      <c r="F83" s="363"/>
      <c r="G83" s="379">
        <f t="shared" ref="G83:G93" si="17">+G82</f>
        <v>5.5999999999999999E-3</v>
      </c>
      <c r="H83" s="379"/>
      <c r="I83" s="825">
        <f t="shared" ref="I83:I93" si="18">+I82-1</f>
        <v>11</v>
      </c>
      <c r="J83" s="381"/>
      <c r="K83" s="363">
        <f t="shared" si="13"/>
        <v>770</v>
      </c>
      <c r="L83" s="363"/>
      <c r="M83" s="363"/>
      <c r="N83" s="363"/>
      <c r="O83" s="380">
        <f t="shared" si="14"/>
        <v>13270</v>
      </c>
    </row>
    <row r="84" spans="1:15" ht="15.6">
      <c r="A84" s="378" t="s">
        <v>172</v>
      </c>
      <c r="B84" s="349"/>
      <c r="C84" s="349" t="str">
        <f t="shared" si="15"/>
        <v>Year 2015</v>
      </c>
      <c r="D84" s="349"/>
      <c r="E84" s="363">
        <f t="shared" si="16"/>
        <v>-12500</v>
      </c>
      <c r="F84" s="363"/>
      <c r="G84" s="379">
        <f t="shared" si="17"/>
        <v>5.5999999999999999E-3</v>
      </c>
      <c r="H84" s="379"/>
      <c r="I84" s="825">
        <f t="shared" si="18"/>
        <v>10</v>
      </c>
      <c r="J84" s="381"/>
      <c r="K84" s="363">
        <f t="shared" si="13"/>
        <v>700</v>
      </c>
      <c r="L84" s="363"/>
      <c r="M84" s="363"/>
      <c r="N84" s="363"/>
      <c r="O84" s="380">
        <f t="shared" si="14"/>
        <v>13200</v>
      </c>
    </row>
    <row r="85" spans="1:15" ht="15.6">
      <c r="A85" s="378" t="s">
        <v>155</v>
      </c>
      <c r="B85" s="349"/>
      <c r="C85" s="349" t="str">
        <f t="shared" si="15"/>
        <v>Year 2015</v>
      </c>
      <c r="D85" s="349"/>
      <c r="E85" s="363">
        <f t="shared" si="16"/>
        <v>-12500</v>
      </c>
      <c r="F85" s="363"/>
      <c r="G85" s="379">
        <f t="shared" si="17"/>
        <v>5.5999999999999999E-3</v>
      </c>
      <c r="H85" s="379"/>
      <c r="I85" s="825">
        <f t="shared" si="18"/>
        <v>9</v>
      </c>
      <c r="J85" s="381"/>
      <c r="K85" s="363">
        <f t="shared" si="13"/>
        <v>630</v>
      </c>
      <c r="L85" s="363"/>
      <c r="M85" s="363"/>
      <c r="N85" s="363"/>
      <c r="O85" s="380">
        <f t="shared" si="14"/>
        <v>13130</v>
      </c>
    </row>
    <row r="86" spans="1:15" ht="15.6">
      <c r="A86" s="378" t="s">
        <v>152</v>
      </c>
      <c r="B86" s="349"/>
      <c r="C86" s="349" t="str">
        <f t="shared" si="15"/>
        <v>Year 2015</v>
      </c>
      <c r="D86" s="349"/>
      <c r="E86" s="363">
        <f t="shared" si="16"/>
        <v>-12500</v>
      </c>
      <c r="F86" s="363"/>
      <c r="G86" s="379">
        <f t="shared" si="17"/>
        <v>5.5999999999999999E-3</v>
      </c>
      <c r="H86" s="379"/>
      <c r="I86" s="825">
        <f t="shared" si="18"/>
        <v>8</v>
      </c>
      <c r="J86" s="381"/>
      <c r="K86" s="363">
        <f t="shared" si="13"/>
        <v>560</v>
      </c>
      <c r="L86" s="363"/>
      <c r="M86" s="363"/>
      <c r="N86" s="363"/>
      <c r="O86" s="380">
        <f t="shared" si="14"/>
        <v>13060</v>
      </c>
    </row>
    <row r="87" spans="1:15" ht="15.6">
      <c r="A87" s="378" t="s">
        <v>277</v>
      </c>
      <c r="B87" s="349"/>
      <c r="C87" s="349" t="str">
        <f t="shared" si="15"/>
        <v>Year 2015</v>
      </c>
      <c r="D87" s="349"/>
      <c r="E87" s="363">
        <f t="shared" si="16"/>
        <v>-12500</v>
      </c>
      <c r="F87" s="363"/>
      <c r="G87" s="379">
        <f t="shared" si="17"/>
        <v>5.5999999999999999E-3</v>
      </c>
      <c r="H87" s="379"/>
      <c r="I87" s="825">
        <f t="shared" si="18"/>
        <v>7</v>
      </c>
      <c r="J87" s="381"/>
      <c r="K87" s="363">
        <f t="shared" si="13"/>
        <v>490</v>
      </c>
      <c r="L87" s="363"/>
      <c r="M87" s="363"/>
      <c r="N87" s="363"/>
      <c r="O87" s="380">
        <f t="shared" si="14"/>
        <v>12990</v>
      </c>
    </row>
    <row r="88" spans="1:15" ht="15.6">
      <c r="A88" s="378" t="s">
        <v>170</v>
      </c>
      <c r="B88" s="349"/>
      <c r="C88" s="349" t="str">
        <f t="shared" si="15"/>
        <v>Year 2015</v>
      </c>
      <c r="D88" s="349"/>
      <c r="E88" s="363">
        <f t="shared" si="16"/>
        <v>-12500</v>
      </c>
      <c r="F88" s="363"/>
      <c r="G88" s="379">
        <f t="shared" si="17"/>
        <v>5.5999999999999999E-3</v>
      </c>
      <c r="H88" s="379"/>
      <c r="I88" s="825">
        <f t="shared" si="18"/>
        <v>6</v>
      </c>
      <c r="J88" s="381"/>
      <c r="K88" s="363">
        <f t="shared" si="13"/>
        <v>420</v>
      </c>
      <c r="L88" s="363"/>
      <c r="M88" s="363"/>
      <c r="N88" s="363"/>
      <c r="O88" s="380">
        <f t="shared" si="14"/>
        <v>12920</v>
      </c>
    </row>
    <row r="89" spans="1:15" ht="15.6">
      <c r="A89" s="378" t="s">
        <v>169</v>
      </c>
      <c r="B89" s="349"/>
      <c r="C89" s="349" t="str">
        <f t="shared" si="15"/>
        <v>Year 2015</v>
      </c>
      <c r="D89" s="349"/>
      <c r="E89" s="363">
        <f t="shared" si="16"/>
        <v>-12500</v>
      </c>
      <c r="F89" s="363"/>
      <c r="G89" s="379">
        <f t="shared" si="17"/>
        <v>5.5999999999999999E-3</v>
      </c>
      <c r="H89" s="379"/>
      <c r="I89" s="825">
        <f t="shared" si="18"/>
        <v>5</v>
      </c>
      <c r="J89" s="381"/>
      <c r="K89" s="363">
        <f t="shared" si="13"/>
        <v>350</v>
      </c>
      <c r="L89" s="363"/>
      <c r="M89" s="363"/>
      <c r="N89" s="363"/>
      <c r="O89" s="380">
        <f t="shared" si="14"/>
        <v>12850</v>
      </c>
    </row>
    <row r="90" spans="1:15" ht="15.6">
      <c r="A90" s="378" t="s">
        <v>168</v>
      </c>
      <c r="B90" s="349"/>
      <c r="C90" s="349" t="str">
        <f t="shared" si="15"/>
        <v>Year 2015</v>
      </c>
      <c r="D90" s="349"/>
      <c r="E90" s="363">
        <f t="shared" si="16"/>
        <v>-12500</v>
      </c>
      <c r="F90" s="363"/>
      <c r="G90" s="379">
        <f t="shared" si="17"/>
        <v>5.5999999999999999E-3</v>
      </c>
      <c r="H90" s="379"/>
      <c r="I90" s="825">
        <f t="shared" si="18"/>
        <v>4</v>
      </c>
      <c r="J90" s="381"/>
      <c r="K90" s="363">
        <f t="shared" si="13"/>
        <v>280</v>
      </c>
      <c r="L90" s="363"/>
      <c r="M90" s="363"/>
      <c r="N90" s="363"/>
      <c r="O90" s="380">
        <f t="shared" si="14"/>
        <v>12780</v>
      </c>
    </row>
    <row r="91" spans="1:15" ht="15.6">
      <c r="A91" s="378" t="s">
        <v>181</v>
      </c>
      <c r="B91" s="349"/>
      <c r="C91" s="349" t="str">
        <f t="shared" si="15"/>
        <v>Year 2015</v>
      </c>
      <c r="D91" s="349"/>
      <c r="E91" s="363">
        <f t="shared" si="16"/>
        <v>-12500</v>
      </c>
      <c r="F91" s="363"/>
      <c r="G91" s="379">
        <f t="shared" si="17"/>
        <v>5.5999999999999999E-3</v>
      </c>
      <c r="H91" s="379"/>
      <c r="I91" s="825">
        <f t="shared" si="18"/>
        <v>3</v>
      </c>
      <c r="J91" s="381"/>
      <c r="K91" s="363">
        <f t="shared" si="13"/>
        <v>210</v>
      </c>
      <c r="L91" s="363"/>
      <c r="M91" s="363"/>
      <c r="N91" s="363"/>
      <c r="O91" s="380">
        <f t="shared" si="14"/>
        <v>12710</v>
      </c>
    </row>
    <row r="92" spans="1:15" ht="15.6">
      <c r="A92" s="378" t="s">
        <v>166</v>
      </c>
      <c r="B92" s="349"/>
      <c r="C92" s="349" t="str">
        <f t="shared" si="15"/>
        <v>Year 2015</v>
      </c>
      <c r="D92" s="349"/>
      <c r="E92" s="363">
        <f t="shared" si="16"/>
        <v>-12500</v>
      </c>
      <c r="F92" s="363"/>
      <c r="G92" s="379">
        <f t="shared" si="17"/>
        <v>5.5999999999999999E-3</v>
      </c>
      <c r="H92" s="379"/>
      <c r="I92" s="825">
        <f t="shared" si="18"/>
        <v>2</v>
      </c>
      <c r="J92" s="381"/>
      <c r="K92" s="363">
        <f t="shared" si="13"/>
        <v>140</v>
      </c>
      <c r="L92" s="363"/>
      <c r="M92" s="363"/>
      <c r="N92" s="363"/>
      <c r="O92" s="380">
        <f t="shared" si="14"/>
        <v>12640</v>
      </c>
    </row>
    <row r="93" spans="1:15" ht="15.6">
      <c r="A93" s="378" t="s">
        <v>164</v>
      </c>
      <c r="B93" s="349"/>
      <c r="C93" s="349" t="str">
        <f t="shared" si="15"/>
        <v>Year 2015</v>
      </c>
      <c r="D93" s="349"/>
      <c r="E93" s="363">
        <f t="shared" si="16"/>
        <v>-12500</v>
      </c>
      <c r="F93" s="363"/>
      <c r="G93" s="379">
        <f t="shared" si="17"/>
        <v>5.5999999999999999E-3</v>
      </c>
      <c r="H93" s="379"/>
      <c r="I93" s="825">
        <f t="shared" si="18"/>
        <v>1</v>
      </c>
      <c r="J93" s="381"/>
      <c r="K93" s="362">
        <f t="shared" si="13"/>
        <v>70</v>
      </c>
      <c r="L93" s="363"/>
      <c r="M93" s="363"/>
      <c r="N93" s="363"/>
      <c r="O93" s="380">
        <f t="shared" si="14"/>
        <v>12570</v>
      </c>
    </row>
    <row r="94" spans="1:15" ht="15.6">
      <c r="A94" s="378"/>
      <c r="B94" s="349"/>
      <c r="C94" s="349"/>
      <c r="D94" s="349"/>
      <c r="E94" s="363"/>
      <c r="F94" s="363"/>
      <c r="G94" s="379"/>
      <c r="H94" s="379"/>
      <c r="I94" s="381"/>
      <c r="J94" s="381"/>
      <c r="K94" s="363">
        <f>SUM(K82:K93)</f>
        <v>5460</v>
      </c>
      <c r="L94" s="363"/>
      <c r="M94" s="363"/>
      <c r="N94" s="363"/>
      <c r="O94" s="382">
        <f>SUM(O82:O93)</f>
        <v>155460</v>
      </c>
    </row>
    <row r="95" spans="1:15" ht="15.6">
      <c r="A95" s="378"/>
      <c r="B95" s="349"/>
      <c r="C95" s="349"/>
      <c r="D95" s="349"/>
      <c r="E95" s="363"/>
      <c r="F95" s="363"/>
      <c r="G95" s="379"/>
      <c r="H95" s="379"/>
      <c r="I95" s="381"/>
      <c r="J95" s="381"/>
      <c r="K95" s="363"/>
      <c r="L95" s="363"/>
      <c r="M95" s="363"/>
      <c r="N95" s="363"/>
      <c r="O95" s="382"/>
    </row>
    <row r="96" spans="1:15" ht="15.6">
      <c r="A96" s="378"/>
      <c r="B96" s="349"/>
      <c r="C96" s="349"/>
      <c r="D96" s="349"/>
      <c r="E96" s="363"/>
      <c r="F96" s="363"/>
      <c r="G96" s="379"/>
      <c r="H96" s="379"/>
      <c r="I96" s="381"/>
      <c r="J96" s="381"/>
      <c r="K96" s="383" t="s">
        <v>278</v>
      </c>
      <c r="L96" s="363"/>
      <c r="M96" s="363"/>
      <c r="N96" s="363"/>
      <c r="O96" s="382"/>
    </row>
    <row r="97" spans="1:15" ht="15.6">
      <c r="A97" s="378"/>
      <c r="B97" s="349"/>
      <c r="C97" s="349"/>
      <c r="D97" s="349"/>
      <c r="E97" s="363"/>
      <c r="F97" s="363"/>
      <c r="G97" s="379"/>
      <c r="H97" s="379"/>
      <c r="I97" s="381"/>
      <c r="J97" s="381"/>
      <c r="K97" s="383"/>
      <c r="L97" s="363"/>
      <c r="M97" s="363"/>
      <c r="N97" s="363"/>
      <c r="O97" s="382"/>
    </row>
    <row r="98" spans="1:15" ht="15.6">
      <c r="A98" s="378" t="s">
        <v>279</v>
      </c>
      <c r="B98" s="349"/>
      <c r="C98" s="349" t="s">
        <v>408</v>
      </c>
      <c r="D98" s="349"/>
      <c r="E98" s="384">
        <f>O94</f>
        <v>155460</v>
      </c>
      <c r="F98" s="384"/>
      <c r="G98" s="379">
        <f>M12</f>
        <v>5.4000000000000003E-3</v>
      </c>
      <c r="H98" s="379"/>
      <c r="I98" s="824">
        <v>12</v>
      </c>
      <c r="J98" s="349"/>
      <c r="K98" s="363">
        <f>+I98*G98*E98</f>
        <v>10073.807999999999</v>
      </c>
      <c r="L98" s="363"/>
      <c r="M98" s="363"/>
      <c r="N98" s="363"/>
      <c r="O98" s="382">
        <f>+E98+K98</f>
        <v>165533.80799999999</v>
      </c>
    </row>
    <row r="99" spans="1:15" ht="15.6">
      <c r="A99" s="378" t="s">
        <v>279</v>
      </c>
      <c r="B99" s="349"/>
      <c r="C99" s="826" t="s">
        <v>409</v>
      </c>
      <c r="D99" s="349"/>
      <c r="E99" s="384">
        <f>O98</f>
        <v>165533.80799999999</v>
      </c>
      <c r="F99" s="384"/>
      <c r="G99" s="379">
        <f>M13</f>
        <v>5.7999999999999996E-3</v>
      </c>
      <c r="H99" s="379"/>
      <c r="I99" s="824">
        <v>12</v>
      </c>
      <c r="J99" s="349"/>
      <c r="K99" s="363">
        <f>+I99*G99*E99</f>
        <v>11521.153036799999</v>
      </c>
      <c r="L99" s="363"/>
      <c r="M99" s="363"/>
      <c r="N99" s="363"/>
      <c r="O99" s="382">
        <f>+E99+K99</f>
        <v>177054.9610368</v>
      </c>
    </row>
    <row r="100" spans="1:15" ht="15.6">
      <c r="A100" s="378" t="s">
        <v>279</v>
      </c>
      <c r="B100" s="349"/>
      <c r="C100" s="349" t="s">
        <v>410</v>
      </c>
      <c r="D100" s="349"/>
      <c r="E100" s="384">
        <f>O99</f>
        <v>177054.9610368</v>
      </c>
      <c r="F100" s="384"/>
      <c r="G100" s="379">
        <f>M14</f>
        <v>5.7000000000000002E-3</v>
      </c>
      <c r="H100" s="379"/>
      <c r="I100" s="824">
        <v>12</v>
      </c>
      <c r="J100" s="349"/>
      <c r="K100" s="363">
        <f>+I100*G100*E100</f>
        <v>12110.559334917121</v>
      </c>
      <c r="L100" s="363"/>
      <c r="M100" s="363"/>
      <c r="N100" s="363"/>
      <c r="O100" s="382">
        <f>+E100+K100</f>
        <v>189165.52037171711</v>
      </c>
    </row>
    <row r="101" spans="1:15" ht="15.6">
      <c r="A101" s="378" t="s">
        <v>279</v>
      </c>
      <c r="B101" s="349"/>
      <c r="C101" s="349" t="s">
        <v>528</v>
      </c>
      <c r="D101" s="349"/>
      <c r="E101" s="384">
        <f>O100</f>
        <v>189165.52037171711</v>
      </c>
      <c r="F101" s="384"/>
      <c r="G101" s="379">
        <f>G100</f>
        <v>5.7000000000000002E-3</v>
      </c>
      <c r="H101" s="379"/>
      <c r="I101" s="824">
        <v>12</v>
      </c>
      <c r="J101" s="349"/>
      <c r="K101" s="363">
        <f>+I101*G101*E101</f>
        <v>12938.921593425452</v>
      </c>
      <c r="L101" s="363"/>
      <c r="M101" s="363"/>
      <c r="N101" s="363"/>
      <c r="O101" s="382">
        <f>+E101+K101</f>
        <v>202104.44196514256</v>
      </c>
    </row>
    <row r="102" spans="1:15" ht="15.6">
      <c r="A102" s="378"/>
      <c r="B102" s="349"/>
      <c r="C102" s="349"/>
      <c r="D102" s="349"/>
      <c r="E102" s="384"/>
      <c r="F102" s="384"/>
      <c r="G102" s="379"/>
      <c r="H102" s="379"/>
      <c r="I102" s="349"/>
      <c r="J102" s="349"/>
      <c r="K102" s="363"/>
      <c r="L102" s="363"/>
      <c r="M102" s="363"/>
      <c r="N102" s="363"/>
      <c r="O102" s="382"/>
    </row>
    <row r="103" spans="1:15" ht="15.6">
      <c r="A103" s="378"/>
      <c r="B103" s="349"/>
      <c r="C103" s="349"/>
      <c r="D103" s="349"/>
      <c r="E103" s="384"/>
      <c r="F103" s="384"/>
      <c r="G103" s="379"/>
      <c r="H103" s="379"/>
      <c r="I103" s="349"/>
      <c r="J103" s="349"/>
      <c r="K103" s="363"/>
      <c r="L103" s="363"/>
      <c r="M103" s="363"/>
      <c r="N103" s="363"/>
      <c r="O103" s="380"/>
    </row>
    <row r="104" spans="1:15" ht="15.6">
      <c r="A104" s="385" t="s">
        <v>280</v>
      </c>
      <c r="B104" s="386"/>
      <c r="C104" s="349"/>
      <c r="D104" s="349"/>
      <c r="E104" s="363"/>
      <c r="F104" s="363"/>
      <c r="G104" s="379"/>
      <c r="H104" s="379"/>
      <c r="I104" s="349"/>
      <c r="J104" s="349"/>
      <c r="K104" s="383" t="s">
        <v>276</v>
      </c>
      <c r="L104" s="383"/>
      <c r="M104" s="363"/>
      <c r="N104" s="363"/>
      <c r="O104" s="380"/>
    </row>
    <row r="105" spans="1:15" ht="15.6">
      <c r="A105" s="378" t="s">
        <v>174</v>
      </c>
      <c r="B105" s="349"/>
      <c r="C105" s="349" t="s">
        <v>529</v>
      </c>
      <c r="D105" s="349"/>
      <c r="E105" s="387">
        <f>-O101</f>
        <v>-202104.44196514256</v>
      </c>
      <c r="F105" s="384"/>
      <c r="G105" s="379">
        <f>G101</f>
        <v>5.7000000000000002E-3</v>
      </c>
      <c r="H105" s="379"/>
      <c r="I105" s="349"/>
      <c r="J105" s="349"/>
      <c r="K105" s="363">
        <f t="shared" ref="K105:K116" si="19" xml:space="preserve"> -G105*E105</f>
        <v>1151.9953192013127</v>
      </c>
      <c r="L105" s="363"/>
      <c r="M105" s="363">
        <f>-PMT(G105,12,O101)</f>
        <v>17472.536047025627</v>
      </c>
      <c r="N105" s="363"/>
      <c r="O105" s="380">
        <f t="shared" ref="O105:O116" si="20">(+E105+E105*G105+M105)*-1</f>
        <v>185783.90123731823</v>
      </c>
    </row>
    <row r="106" spans="1:15" ht="15.6">
      <c r="A106" s="378" t="s">
        <v>173</v>
      </c>
      <c r="B106" s="349"/>
      <c r="C106" s="349" t="str">
        <f>+C105</f>
        <v>Year 2020</v>
      </c>
      <c r="D106" s="349"/>
      <c r="E106" s="384">
        <f t="shared" ref="E106:E116" si="21">-O105</f>
        <v>-185783.90123731823</v>
      </c>
      <c r="F106" s="384"/>
      <c r="G106" s="379">
        <f t="shared" ref="G106:G116" si="22">+G105</f>
        <v>5.7000000000000002E-3</v>
      </c>
      <c r="H106" s="379"/>
      <c r="I106" s="349"/>
      <c r="J106" s="349"/>
      <c r="K106" s="363">
        <f t="shared" si="19"/>
        <v>1058.9682370527139</v>
      </c>
      <c r="L106" s="363"/>
      <c r="M106" s="363">
        <f t="shared" ref="M106:M116" si="23">M105</f>
        <v>17472.536047025627</v>
      </c>
      <c r="N106" s="363"/>
      <c r="O106" s="380">
        <f t="shared" si="20"/>
        <v>169370.33342734532</v>
      </c>
    </row>
    <row r="107" spans="1:15" ht="15.6">
      <c r="A107" s="378" t="s">
        <v>172</v>
      </c>
      <c r="B107" s="349"/>
      <c r="C107" s="349" t="str">
        <f>+C106</f>
        <v>Year 2020</v>
      </c>
      <c r="D107" s="349"/>
      <c r="E107" s="384">
        <f t="shared" si="21"/>
        <v>-169370.33342734532</v>
      </c>
      <c r="F107" s="384"/>
      <c r="G107" s="379">
        <f t="shared" si="22"/>
        <v>5.7000000000000002E-3</v>
      </c>
      <c r="H107" s="379"/>
      <c r="I107" s="349"/>
      <c r="J107" s="349"/>
      <c r="K107" s="363">
        <f t="shared" si="19"/>
        <v>965.41090053586834</v>
      </c>
      <c r="L107" s="363"/>
      <c r="M107" s="363">
        <f t="shared" si="23"/>
        <v>17472.536047025627</v>
      </c>
      <c r="N107" s="363"/>
      <c r="O107" s="380">
        <f t="shared" si="20"/>
        <v>152863.20828085556</v>
      </c>
    </row>
    <row r="108" spans="1:15" ht="15.6">
      <c r="A108" s="378" t="s">
        <v>155</v>
      </c>
      <c r="B108" s="349"/>
      <c r="C108" s="349" t="str">
        <f>+C107</f>
        <v>Year 2020</v>
      </c>
      <c r="D108" s="349"/>
      <c r="E108" s="384">
        <f t="shared" si="21"/>
        <v>-152863.20828085556</v>
      </c>
      <c r="F108" s="384"/>
      <c r="G108" s="379">
        <f t="shared" si="22"/>
        <v>5.7000000000000002E-3</v>
      </c>
      <c r="H108" s="379"/>
      <c r="I108" s="349"/>
      <c r="J108" s="349"/>
      <c r="K108" s="363">
        <f t="shared" si="19"/>
        <v>871.32028720087669</v>
      </c>
      <c r="L108" s="363"/>
      <c r="M108" s="363">
        <f t="shared" si="23"/>
        <v>17472.536047025627</v>
      </c>
      <c r="N108" s="363"/>
      <c r="O108" s="380">
        <f t="shared" si="20"/>
        <v>136261.99252103083</v>
      </c>
    </row>
    <row r="109" spans="1:15" ht="15.6">
      <c r="A109" s="378" t="s">
        <v>152</v>
      </c>
      <c r="B109" s="349"/>
      <c r="C109" s="349" t="str">
        <f>+C108</f>
        <v>Year 2020</v>
      </c>
      <c r="D109" s="349"/>
      <c r="E109" s="384">
        <f t="shared" si="21"/>
        <v>-136261.99252103083</v>
      </c>
      <c r="F109" s="384"/>
      <c r="G109" s="379">
        <f t="shared" si="22"/>
        <v>5.7000000000000002E-3</v>
      </c>
      <c r="H109" s="379"/>
      <c r="I109" s="349"/>
      <c r="J109" s="349"/>
      <c r="K109" s="363">
        <f t="shared" si="19"/>
        <v>776.6933573698758</v>
      </c>
      <c r="L109" s="363"/>
      <c r="M109" s="363">
        <f t="shared" si="23"/>
        <v>17472.536047025627</v>
      </c>
      <c r="N109" s="363"/>
      <c r="O109" s="380">
        <f t="shared" si="20"/>
        <v>119566.14983137506</v>
      </c>
    </row>
    <row r="110" spans="1:15" ht="15.6">
      <c r="A110" s="378" t="s">
        <v>277</v>
      </c>
      <c r="B110" s="349"/>
      <c r="C110" s="349" t="str">
        <f>C109</f>
        <v>Year 2020</v>
      </c>
      <c r="D110" s="374"/>
      <c r="E110" s="384">
        <f t="shared" si="21"/>
        <v>-119566.14983137506</v>
      </c>
      <c r="F110" s="384"/>
      <c r="G110" s="379">
        <f t="shared" si="22"/>
        <v>5.7000000000000002E-3</v>
      </c>
      <c r="H110" s="379"/>
      <c r="I110" s="349"/>
      <c r="J110" s="349"/>
      <c r="K110" s="363">
        <f t="shared" si="19"/>
        <v>681.52705403883783</v>
      </c>
      <c r="L110" s="363"/>
      <c r="M110" s="363">
        <f t="shared" si="23"/>
        <v>17472.536047025627</v>
      </c>
      <c r="N110" s="363"/>
      <c r="O110" s="380">
        <f t="shared" si="20"/>
        <v>102775.14083838828</v>
      </c>
    </row>
    <row r="111" spans="1:15" ht="15.6">
      <c r="A111" s="378" t="s">
        <v>170</v>
      </c>
      <c r="B111" s="349"/>
      <c r="C111" s="349" t="str">
        <f t="shared" ref="C111:C116" si="24">+C110</f>
        <v>Year 2020</v>
      </c>
      <c r="D111" s="349"/>
      <c r="E111" s="384">
        <f t="shared" si="21"/>
        <v>-102775.14083838828</v>
      </c>
      <c r="F111" s="384"/>
      <c r="G111" s="379">
        <f t="shared" si="22"/>
        <v>5.7000000000000002E-3</v>
      </c>
      <c r="H111" s="379"/>
      <c r="I111" s="349"/>
      <c r="J111" s="349"/>
      <c r="K111" s="363">
        <f t="shared" si="19"/>
        <v>585.81830277881318</v>
      </c>
      <c r="L111" s="363"/>
      <c r="M111" s="363">
        <f t="shared" si="23"/>
        <v>17472.536047025627</v>
      </c>
      <c r="N111" s="363"/>
      <c r="O111" s="380">
        <f t="shared" si="20"/>
        <v>85888.423094141472</v>
      </c>
    </row>
    <row r="112" spans="1:15" ht="15.6">
      <c r="A112" s="378" t="s">
        <v>169</v>
      </c>
      <c r="B112" s="349"/>
      <c r="C112" s="349" t="str">
        <f t="shared" si="24"/>
        <v>Year 2020</v>
      </c>
      <c r="D112" s="349"/>
      <c r="E112" s="384">
        <f t="shared" si="21"/>
        <v>-85888.423094141472</v>
      </c>
      <c r="F112" s="384"/>
      <c r="G112" s="379">
        <f t="shared" si="22"/>
        <v>5.7000000000000002E-3</v>
      </c>
      <c r="H112" s="379"/>
      <c r="I112" s="349"/>
      <c r="J112" s="349"/>
      <c r="K112" s="363">
        <f t="shared" si="19"/>
        <v>489.56401163660638</v>
      </c>
      <c r="L112" s="363"/>
      <c r="M112" s="363">
        <f t="shared" si="23"/>
        <v>17472.536047025627</v>
      </c>
      <c r="N112" s="363"/>
      <c r="O112" s="380">
        <f t="shared" si="20"/>
        <v>68905.451058752456</v>
      </c>
    </row>
    <row r="113" spans="1:15" ht="15.6">
      <c r="A113" s="378" t="s">
        <v>168</v>
      </c>
      <c r="B113" s="349"/>
      <c r="C113" s="349" t="str">
        <f t="shared" si="24"/>
        <v>Year 2020</v>
      </c>
      <c r="D113" s="349"/>
      <c r="E113" s="384">
        <f t="shared" si="21"/>
        <v>-68905.451058752456</v>
      </c>
      <c r="F113" s="384"/>
      <c r="G113" s="379">
        <f t="shared" si="22"/>
        <v>5.7000000000000002E-3</v>
      </c>
      <c r="H113" s="379"/>
      <c r="I113" s="349"/>
      <c r="J113" s="349"/>
      <c r="K113" s="363">
        <f t="shared" si="19"/>
        <v>392.76107103488903</v>
      </c>
      <c r="L113" s="363"/>
      <c r="M113" s="363">
        <f t="shared" si="23"/>
        <v>17472.536047025627</v>
      </c>
      <c r="N113" s="363"/>
      <c r="O113" s="380">
        <f t="shared" si="20"/>
        <v>51825.676082761711</v>
      </c>
    </row>
    <row r="114" spans="1:15" ht="15.6">
      <c r="A114" s="378" t="s">
        <v>181</v>
      </c>
      <c r="B114" s="349"/>
      <c r="C114" s="349" t="str">
        <f t="shared" si="24"/>
        <v>Year 2020</v>
      </c>
      <c r="D114" s="349"/>
      <c r="E114" s="384">
        <f t="shared" si="21"/>
        <v>-51825.676082761711</v>
      </c>
      <c r="F114" s="384"/>
      <c r="G114" s="379">
        <f t="shared" si="22"/>
        <v>5.7000000000000002E-3</v>
      </c>
      <c r="H114" s="379"/>
      <c r="I114" s="349"/>
      <c r="J114" s="349"/>
      <c r="K114" s="363">
        <f t="shared" si="19"/>
        <v>295.40635367174178</v>
      </c>
      <c r="L114" s="363"/>
      <c r="M114" s="363">
        <f t="shared" si="23"/>
        <v>17472.536047025627</v>
      </c>
      <c r="N114" s="363"/>
      <c r="O114" s="380">
        <f t="shared" si="20"/>
        <v>34648.546389407828</v>
      </c>
    </row>
    <row r="115" spans="1:15" ht="15.6">
      <c r="A115" s="378" t="s">
        <v>166</v>
      </c>
      <c r="B115" s="349"/>
      <c r="C115" s="349" t="str">
        <f t="shared" si="24"/>
        <v>Year 2020</v>
      </c>
      <c r="D115" s="349"/>
      <c r="E115" s="384">
        <f t="shared" si="21"/>
        <v>-34648.546389407828</v>
      </c>
      <c r="F115" s="384"/>
      <c r="G115" s="379">
        <f t="shared" si="22"/>
        <v>5.7000000000000002E-3</v>
      </c>
      <c r="H115" s="379"/>
      <c r="I115" s="349"/>
      <c r="J115" s="349"/>
      <c r="K115" s="363">
        <f t="shared" si="19"/>
        <v>197.49671441962462</v>
      </c>
      <c r="L115" s="363"/>
      <c r="M115" s="363">
        <f t="shared" si="23"/>
        <v>17472.536047025627</v>
      </c>
      <c r="N115" s="363"/>
      <c r="O115" s="380">
        <f t="shared" si="20"/>
        <v>17373.507056801827</v>
      </c>
    </row>
    <row r="116" spans="1:15" ht="15.6">
      <c r="A116" s="378" t="s">
        <v>164</v>
      </c>
      <c r="B116" s="349"/>
      <c r="C116" s="349" t="str">
        <f t="shared" si="24"/>
        <v>Year 2020</v>
      </c>
      <c r="D116" s="349"/>
      <c r="E116" s="384">
        <f t="shared" si="21"/>
        <v>-17373.507056801827</v>
      </c>
      <c r="F116" s="384"/>
      <c r="G116" s="379">
        <f t="shared" si="22"/>
        <v>5.7000000000000002E-3</v>
      </c>
      <c r="H116" s="379"/>
      <c r="I116" s="349"/>
      <c r="J116" s="349"/>
      <c r="K116" s="362">
        <f t="shared" si="19"/>
        <v>99.028990223770421</v>
      </c>
      <c r="L116" s="363"/>
      <c r="M116" s="363">
        <f t="shared" si="23"/>
        <v>17472.536047025627</v>
      </c>
      <c r="N116" s="363"/>
      <c r="O116" s="380">
        <f t="shared" si="20"/>
        <v>-2.9103830456733704E-11</v>
      </c>
    </row>
    <row r="117" spans="1:15" ht="15.6">
      <c r="A117" s="378"/>
      <c r="B117" s="349"/>
      <c r="C117" s="349"/>
      <c r="D117" s="349"/>
      <c r="E117" s="384"/>
      <c r="F117" s="384"/>
      <c r="G117" s="379"/>
      <c r="H117" s="379"/>
      <c r="I117" s="349"/>
      <c r="J117" s="349"/>
      <c r="K117" s="363">
        <f>SUM(K105:K116)</f>
        <v>7565.9905991649302</v>
      </c>
      <c r="L117" s="363"/>
      <c r="M117" s="363"/>
      <c r="N117" s="363"/>
      <c r="O117" s="380"/>
    </row>
    <row r="118" spans="1:15">
      <c r="A118" s="388"/>
      <c r="B118" s="389"/>
      <c r="C118" s="389"/>
      <c r="D118" s="389"/>
      <c r="E118" s="389"/>
      <c r="F118" s="389"/>
      <c r="G118" s="389"/>
      <c r="H118" s="389"/>
      <c r="I118" s="389"/>
      <c r="J118" s="389"/>
      <c r="K118" s="389"/>
      <c r="L118" s="389"/>
      <c r="M118" s="389"/>
      <c r="N118" s="389"/>
      <c r="O118" s="390"/>
    </row>
    <row r="119" spans="1:15" ht="15.6">
      <c r="A119" s="378" t="s">
        <v>413</v>
      </c>
      <c r="B119" s="349"/>
      <c r="C119" s="389"/>
      <c r="D119" s="389"/>
      <c r="E119" s="389"/>
      <c r="F119" s="389"/>
      <c r="G119" s="389"/>
      <c r="H119" s="389"/>
      <c r="I119" s="389"/>
      <c r="J119" s="389"/>
      <c r="K119" s="389"/>
      <c r="L119" s="389"/>
      <c r="M119" s="391">
        <f>SUM(M105:M116)</f>
        <v>209670.43256430759</v>
      </c>
      <c r="N119" s="389"/>
      <c r="O119" s="390"/>
    </row>
    <row r="120" spans="1:15" ht="15.6">
      <c r="A120" s="378" t="s">
        <v>282</v>
      </c>
      <c r="B120" s="349"/>
      <c r="C120" s="389"/>
      <c r="D120" s="389"/>
      <c r="E120" s="389"/>
      <c r="F120" s="389"/>
      <c r="G120" s="389"/>
      <c r="H120" s="389"/>
      <c r="I120" s="389"/>
      <c r="J120" s="389"/>
      <c r="K120" s="389"/>
      <c r="L120" s="389"/>
      <c r="M120" s="391">
        <f>K11</f>
        <v>-150000</v>
      </c>
      <c r="N120" s="389"/>
      <c r="O120" s="390"/>
    </row>
    <row r="121" spans="1:15" ht="15.6">
      <c r="A121" s="392" t="s">
        <v>283</v>
      </c>
      <c r="B121" s="393"/>
      <c r="C121" s="394"/>
      <c r="D121" s="394"/>
      <c r="E121" s="394"/>
      <c r="F121" s="394"/>
      <c r="G121" s="394"/>
      <c r="H121" s="394"/>
      <c r="I121" s="394"/>
      <c r="J121" s="394"/>
      <c r="K121" s="394"/>
      <c r="L121" s="394"/>
      <c r="M121" s="395">
        <f>(M119+M120)</f>
        <v>59670.432564307586</v>
      </c>
      <c r="N121" s="394"/>
      <c r="O121" s="396"/>
    </row>
    <row r="124" spans="1:15" ht="18">
      <c r="A124" s="365" t="s">
        <v>521</v>
      </c>
      <c r="B124" s="366"/>
      <c r="C124" s="367"/>
      <c r="D124" s="367"/>
      <c r="E124" s="367"/>
      <c r="F124" s="367"/>
      <c r="G124" s="368"/>
      <c r="H124" s="368"/>
      <c r="I124" s="368"/>
      <c r="J124" s="368"/>
      <c r="K124" s="369"/>
      <c r="L124" s="369"/>
      <c r="M124" s="367"/>
      <c r="N124" s="367"/>
      <c r="O124" s="370"/>
    </row>
    <row r="125" spans="1:15" ht="15.6">
      <c r="A125" s="371" t="s">
        <v>526</v>
      </c>
      <c r="B125" s="372"/>
      <c r="C125" s="373"/>
      <c r="D125" s="373"/>
      <c r="E125" s="373"/>
      <c r="F125" s="373"/>
      <c r="G125" s="374"/>
      <c r="H125" s="374"/>
      <c r="I125" s="374"/>
      <c r="J125" s="374"/>
      <c r="K125" s="375" t="s">
        <v>276</v>
      </c>
      <c r="L125" s="375"/>
      <c r="M125" s="373"/>
      <c r="N125" s="373"/>
      <c r="O125" s="376"/>
    </row>
    <row r="126" spans="1:15" ht="18">
      <c r="A126" s="377"/>
      <c r="B126" s="372"/>
      <c r="C126" s="373"/>
      <c r="D126" s="373"/>
      <c r="E126" s="373"/>
      <c r="F126" s="373"/>
      <c r="G126" s="374"/>
      <c r="H126" s="374"/>
      <c r="I126" s="374"/>
      <c r="J126" s="374"/>
      <c r="K126" s="375"/>
      <c r="L126" s="375"/>
      <c r="M126" s="373"/>
      <c r="N126" s="373"/>
      <c r="O126" s="376"/>
    </row>
    <row r="127" spans="1:15" ht="15.6">
      <c r="A127" s="378" t="s">
        <v>174</v>
      </c>
      <c r="B127" s="349"/>
      <c r="C127" s="349" t="s">
        <v>408</v>
      </c>
      <c r="D127" s="349"/>
      <c r="E127" s="363">
        <f>K12/12</f>
        <v>8333.3333333333339</v>
      </c>
      <c r="F127" s="363"/>
      <c r="G127" s="379">
        <f>M12</f>
        <v>5.4000000000000003E-3</v>
      </c>
      <c r="H127" s="379"/>
      <c r="I127" s="824">
        <v>12</v>
      </c>
      <c r="J127" s="349"/>
      <c r="K127" s="363">
        <f t="shared" ref="K127:K138" si="25">G127*E127*I127*-1</f>
        <v>-540.00000000000011</v>
      </c>
      <c r="L127" s="363"/>
      <c r="M127" s="363"/>
      <c r="N127" s="363"/>
      <c r="O127" s="380">
        <f t="shared" ref="O127:O138" si="26">(-K127+E127)*-1</f>
        <v>-8873.3333333333339</v>
      </c>
    </row>
    <row r="128" spans="1:15" ht="15.6">
      <c r="A128" s="378" t="s">
        <v>173</v>
      </c>
      <c r="B128" s="349"/>
      <c r="C128" s="349" t="str">
        <f t="shared" ref="C128:C138" si="27">C127</f>
        <v>Year 2016</v>
      </c>
      <c r="D128" s="349"/>
      <c r="E128" s="363">
        <f t="shared" ref="E128:E138" si="28">+E127</f>
        <v>8333.3333333333339</v>
      </c>
      <c r="F128" s="363"/>
      <c r="G128" s="379">
        <f t="shared" ref="G128:G138" si="29">+G127</f>
        <v>5.4000000000000003E-3</v>
      </c>
      <c r="H128" s="379"/>
      <c r="I128" s="825">
        <f t="shared" ref="I128:I138" si="30">+I127-1</f>
        <v>11</v>
      </c>
      <c r="J128" s="381"/>
      <c r="K128" s="363">
        <f t="shared" si="25"/>
        <v>-495.00000000000006</v>
      </c>
      <c r="L128" s="363"/>
      <c r="M128" s="363"/>
      <c r="N128" s="363"/>
      <c r="O128" s="380">
        <f t="shared" si="26"/>
        <v>-8828.3333333333339</v>
      </c>
    </row>
    <row r="129" spans="1:15" ht="15.6">
      <c r="A129" s="378" t="s">
        <v>172</v>
      </c>
      <c r="B129" s="349"/>
      <c r="C129" s="349" t="str">
        <f t="shared" si="27"/>
        <v>Year 2016</v>
      </c>
      <c r="D129" s="349"/>
      <c r="E129" s="363">
        <f t="shared" si="28"/>
        <v>8333.3333333333339</v>
      </c>
      <c r="F129" s="363"/>
      <c r="G129" s="379">
        <f t="shared" si="29"/>
        <v>5.4000000000000003E-3</v>
      </c>
      <c r="H129" s="379"/>
      <c r="I129" s="825">
        <f t="shared" si="30"/>
        <v>10</v>
      </c>
      <c r="J129" s="381"/>
      <c r="K129" s="363">
        <f t="shared" si="25"/>
        <v>-450.00000000000006</v>
      </c>
      <c r="L129" s="363"/>
      <c r="M129" s="363"/>
      <c r="N129" s="363"/>
      <c r="O129" s="380">
        <f t="shared" si="26"/>
        <v>-8783.3333333333339</v>
      </c>
    </row>
    <row r="130" spans="1:15" ht="15.6">
      <c r="A130" s="378" t="s">
        <v>155</v>
      </c>
      <c r="B130" s="349"/>
      <c r="C130" s="349" t="str">
        <f t="shared" si="27"/>
        <v>Year 2016</v>
      </c>
      <c r="D130" s="349"/>
      <c r="E130" s="363">
        <f t="shared" si="28"/>
        <v>8333.3333333333339</v>
      </c>
      <c r="F130" s="363"/>
      <c r="G130" s="379">
        <f t="shared" si="29"/>
        <v>5.4000000000000003E-3</v>
      </c>
      <c r="H130" s="379"/>
      <c r="I130" s="825">
        <f t="shared" si="30"/>
        <v>9</v>
      </c>
      <c r="J130" s="381"/>
      <c r="K130" s="363">
        <f t="shared" si="25"/>
        <v>-405.00000000000006</v>
      </c>
      <c r="L130" s="363"/>
      <c r="M130" s="363"/>
      <c r="N130" s="363"/>
      <c r="O130" s="380">
        <f t="shared" si="26"/>
        <v>-8738.3333333333339</v>
      </c>
    </row>
    <row r="131" spans="1:15" ht="15.6">
      <c r="A131" s="378" t="s">
        <v>152</v>
      </c>
      <c r="B131" s="349"/>
      <c r="C131" s="349" t="str">
        <f t="shared" si="27"/>
        <v>Year 2016</v>
      </c>
      <c r="D131" s="349"/>
      <c r="E131" s="363">
        <f t="shared" si="28"/>
        <v>8333.3333333333339</v>
      </c>
      <c r="F131" s="363"/>
      <c r="G131" s="379">
        <f t="shared" si="29"/>
        <v>5.4000000000000003E-3</v>
      </c>
      <c r="H131" s="379"/>
      <c r="I131" s="825">
        <f t="shared" si="30"/>
        <v>8</v>
      </c>
      <c r="J131" s="381"/>
      <c r="K131" s="363">
        <f t="shared" si="25"/>
        <v>-360.00000000000006</v>
      </c>
      <c r="L131" s="363"/>
      <c r="M131" s="363"/>
      <c r="N131" s="363"/>
      <c r="O131" s="380">
        <f t="shared" si="26"/>
        <v>-8693.3333333333339</v>
      </c>
    </row>
    <row r="132" spans="1:15" ht="15.6">
      <c r="A132" s="378" t="s">
        <v>277</v>
      </c>
      <c r="B132" s="349"/>
      <c r="C132" s="349" t="str">
        <f t="shared" si="27"/>
        <v>Year 2016</v>
      </c>
      <c r="D132" s="349"/>
      <c r="E132" s="363">
        <f t="shared" si="28"/>
        <v>8333.3333333333339</v>
      </c>
      <c r="F132" s="363"/>
      <c r="G132" s="379">
        <f t="shared" si="29"/>
        <v>5.4000000000000003E-3</v>
      </c>
      <c r="H132" s="379"/>
      <c r="I132" s="825">
        <f t="shared" si="30"/>
        <v>7</v>
      </c>
      <c r="J132" s="381"/>
      <c r="K132" s="363">
        <f t="shared" si="25"/>
        <v>-315.00000000000006</v>
      </c>
      <c r="L132" s="363"/>
      <c r="M132" s="363"/>
      <c r="N132" s="363"/>
      <c r="O132" s="380">
        <f t="shared" si="26"/>
        <v>-8648.3333333333339</v>
      </c>
    </row>
    <row r="133" spans="1:15" ht="15.6">
      <c r="A133" s="378" t="s">
        <v>170</v>
      </c>
      <c r="B133" s="349"/>
      <c r="C133" s="349" t="str">
        <f t="shared" si="27"/>
        <v>Year 2016</v>
      </c>
      <c r="D133" s="349"/>
      <c r="E133" s="363">
        <f t="shared" si="28"/>
        <v>8333.3333333333339</v>
      </c>
      <c r="F133" s="363"/>
      <c r="G133" s="379">
        <f t="shared" si="29"/>
        <v>5.4000000000000003E-3</v>
      </c>
      <c r="H133" s="379"/>
      <c r="I133" s="825">
        <f t="shared" si="30"/>
        <v>6</v>
      </c>
      <c r="J133" s="381"/>
      <c r="K133" s="363">
        <f t="shared" si="25"/>
        <v>-270.00000000000006</v>
      </c>
      <c r="L133" s="363"/>
      <c r="M133" s="363"/>
      <c r="N133" s="363"/>
      <c r="O133" s="380">
        <f t="shared" si="26"/>
        <v>-8603.3333333333339</v>
      </c>
    </row>
    <row r="134" spans="1:15" ht="15.6">
      <c r="A134" s="378" t="s">
        <v>169</v>
      </c>
      <c r="B134" s="349"/>
      <c r="C134" s="349" t="str">
        <f t="shared" si="27"/>
        <v>Year 2016</v>
      </c>
      <c r="D134" s="349"/>
      <c r="E134" s="363">
        <f t="shared" si="28"/>
        <v>8333.3333333333339</v>
      </c>
      <c r="F134" s="363"/>
      <c r="G134" s="379">
        <f t="shared" si="29"/>
        <v>5.4000000000000003E-3</v>
      </c>
      <c r="H134" s="379"/>
      <c r="I134" s="825">
        <f t="shared" si="30"/>
        <v>5</v>
      </c>
      <c r="J134" s="381"/>
      <c r="K134" s="363">
        <f t="shared" si="25"/>
        <v>-225.00000000000003</v>
      </c>
      <c r="L134" s="363"/>
      <c r="M134" s="363"/>
      <c r="N134" s="363"/>
      <c r="O134" s="380">
        <f t="shared" si="26"/>
        <v>-8558.3333333333339</v>
      </c>
    </row>
    <row r="135" spans="1:15" ht="15.6">
      <c r="A135" s="378" t="s">
        <v>168</v>
      </c>
      <c r="B135" s="349"/>
      <c r="C135" s="349" t="str">
        <f t="shared" si="27"/>
        <v>Year 2016</v>
      </c>
      <c r="D135" s="349"/>
      <c r="E135" s="363">
        <f t="shared" si="28"/>
        <v>8333.3333333333339</v>
      </c>
      <c r="F135" s="363"/>
      <c r="G135" s="379">
        <f t="shared" si="29"/>
        <v>5.4000000000000003E-3</v>
      </c>
      <c r="H135" s="379"/>
      <c r="I135" s="825">
        <f t="shared" si="30"/>
        <v>4</v>
      </c>
      <c r="J135" s="381"/>
      <c r="K135" s="363">
        <f t="shared" si="25"/>
        <v>-180.00000000000003</v>
      </c>
      <c r="L135" s="363"/>
      <c r="M135" s="363"/>
      <c r="N135" s="363"/>
      <c r="O135" s="380">
        <f t="shared" si="26"/>
        <v>-8513.3333333333339</v>
      </c>
    </row>
    <row r="136" spans="1:15" ht="15.6">
      <c r="A136" s="378" t="s">
        <v>181</v>
      </c>
      <c r="B136" s="349"/>
      <c r="C136" s="349" t="str">
        <f t="shared" si="27"/>
        <v>Year 2016</v>
      </c>
      <c r="D136" s="349"/>
      <c r="E136" s="363">
        <f t="shared" si="28"/>
        <v>8333.3333333333339</v>
      </c>
      <c r="F136" s="363"/>
      <c r="G136" s="379">
        <f t="shared" si="29"/>
        <v>5.4000000000000003E-3</v>
      </c>
      <c r="H136" s="379"/>
      <c r="I136" s="825">
        <f t="shared" si="30"/>
        <v>3</v>
      </c>
      <c r="J136" s="381"/>
      <c r="K136" s="363">
        <f t="shared" si="25"/>
        <v>-135.00000000000003</v>
      </c>
      <c r="L136" s="363"/>
      <c r="M136" s="363"/>
      <c r="N136" s="363"/>
      <c r="O136" s="380">
        <f t="shared" si="26"/>
        <v>-8468.3333333333339</v>
      </c>
    </row>
    <row r="137" spans="1:15" ht="15.6">
      <c r="A137" s="378" t="s">
        <v>166</v>
      </c>
      <c r="B137" s="349"/>
      <c r="C137" s="349" t="str">
        <f t="shared" si="27"/>
        <v>Year 2016</v>
      </c>
      <c r="D137" s="349"/>
      <c r="E137" s="363">
        <f t="shared" si="28"/>
        <v>8333.3333333333339</v>
      </c>
      <c r="F137" s="363"/>
      <c r="G137" s="379">
        <f t="shared" si="29"/>
        <v>5.4000000000000003E-3</v>
      </c>
      <c r="H137" s="379"/>
      <c r="I137" s="825">
        <f t="shared" si="30"/>
        <v>2</v>
      </c>
      <c r="J137" s="381"/>
      <c r="K137" s="363">
        <f t="shared" si="25"/>
        <v>-90.000000000000014</v>
      </c>
      <c r="L137" s="363"/>
      <c r="M137" s="363"/>
      <c r="N137" s="363"/>
      <c r="O137" s="380">
        <f t="shared" si="26"/>
        <v>-8423.3333333333339</v>
      </c>
    </row>
    <row r="138" spans="1:15" ht="15.6">
      <c r="A138" s="378" t="s">
        <v>164</v>
      </c>
      <c r="B138" s="349"/>
      <c r="C138" s="349" t="str">
        <f t="shared" si="27"/>
        <v>Year 2016</v>
      </c>
      <c r="D138" s="349"/>
      <c r="E138" s="363">
        <f t="shared" si="28"/>
        <v>8333.3333333333339</v>
      </c>
      <c r="F138" s="363"/>
      <c r="G138" s="379">
        <f t="shared" si="29"/>
        <v>5.4000000000000003E-3</v>
      </c>
      <c r="H138" s="379"/>
      <c r="I138" s="825">
        <f t="shared" si="30"/>
        <v>1</v>
      </c>
      <c r="J138" s="381"/>
      <c r="K138" s="362">
        <f t="shared" si="25"/>
        <v>-45.000000000000007</v>
      </c>
      <c r="L138" s="363"/>
      <c r="M138" s="363"/>
      <c r="N138" s="363"/>
      <c r="O138" s="380">
        <f t="shared" si="26"/>
        <v>-8378.3333333333339</v>
      </c>
    </row>
    <row r="139" spans="1:15" ht="15.6">
      <c r="A139" s="378"/>
      <c r="B139" s="349"/>
      <c r="C139" s="349"/>
      <c r="D139" s="349"/>
      <c r="E139" s="363"/>
      <c r="F139" s="363"/>
      <c r="G139" s="379"/>
      <c r="H139" s="379"/>
      <c r="I139" s="381"/>
      <c r="J139" s="381"/>
      <c r="K139" s="363">
        <f>SUM(K127:K138)</f>
        <v>-3510.0000000000005</v>
      </c>
      <c r="L139" s="363"/>
      <c r="M139" s="363"/>
      <c r="N139" s="363"/>
      <c r="O139" s="382">
        <f>SUM(O127:O138)</f>
        <v>-103509.99999999999</v>
      </c>
    </row>
    <row r="140" spans="1:15" ht="15.6">
      <c r="A140" s="378"/>
      <c r="B140" s="349"/>
      <c r="C140" s="349"/>
      <c r="D140" s="349"/>
      <c r="E140" s="363"/>
      <c r="F140" s="363"/>
      <c r="G140" s="379"/>
      <c r="H140" s="379"/>
      <c r="I140" s="381"/>
      <c r="J140" s="381"/>
      <c r="K140" s="363"/>
      <c r="L140" s="363"/>
      <c r="M140" s="363"/>
      <c r="N140" s="363"/>
      <c r="O140" s="382"/>
    </row>
    <row r="141" spans="1:15" ht="15.6">
      <c r="A141" s="378"/>
      <c r="B141" s="349"/>
      <c r="C141" s="349"/>
      <c r="D141" s="349"/>
      <c r="E141" s="363"/>
      <c r="F141" s="363"/>
      <c r="G141" s="379"/>
      <c r="H141" s="379"/>
      <c r="I141" s="381"/>
      <c r="J141" s="381"/>
      <c r="K141" s="383" t="s">
        <v>278</v>
      </c>
      <c r="L141" s="363"/>
      <c r="M141" s="363"/>
      <c r="N141" s="363"/>
      <c r="O141" s="382"/>
    </row>
    <row r="142" spans="1:15" ht="15.6">
      <c r="A142" s="378"/>
      <c r="B142" s="349"/>
      <c r="C142" s="349"/>
      <c r="D142" s="349"/>
      <c r="E142" s="363"/>
      <c r="F142" s="363"/>
      <c r="G142" s="379"/>
      <c r="H142" s="379"/>
      <c r="I142" s="381"/>
      <c r="J142" s="381"/>
      <c r="K142" s="383"/>
      <c r="L142" s="363"/>
      <c r="M142" s="363"/>
      <c r="N142" s="363"/>
      <c r="O142" s="382"/>
    </row>
    <row r="143" spans="1:15" ht="15.6">
      <c r="A143" s="378" t="s">
        <v>279</v>
      </c>
      <c r="B143" s="349"/>
      <c r="C143" s="826" t="s">
        <v>409</v>
      </c>
      <c r="D143" s="349"/>
      <c r="E143" s="384">
        <f>O139</f>
        <v>-103509.99999999999</v>
      </c>
      <c r="F143" s="384"/>
      <c r="G143" s="379">
        <f>M13</f>
        <v>5.7999999999999996E-3</v>
      </c>
      <c r="H143" s="379"/>
      <c r="I143" s="824">
        <v>12</v>
      </c>
      <c r="J143" s="349"/>
      <c r="K143" s="363">
        <f>+I143*G143*E143</f>
        <v>-7204.2959999999985</v>
      </c>
      <c r="L143" s="363"/>
      <c r="M143" s="363"/>
      <c r="N143" s="363"/>
      <c r="O143" s="382">
        <f>+E143+K143</f>
        <v>-110714.29599999999</v>
      </c>
    </row>
    <row r="144" spans="1:15" ht="15.6">
      <c r="A144" s="378" t="s">
        <v>279</v>
      </c>
      <c r="B144" s="349"/>
      <c r="C144" s="349" t="s">
        <v>410</v>
      </c>
      <c r="D144" s="349"/>
      <c r="E144" s="384">
        <f>O143</f>
        <v>-110714.29599999999</v>
      </c>
      <c r="F144" s="384"/>
      <c r="G144" s="379">
        <f>M14</f>
        <v>5.7000000000000002E-3</v>
      </c>
      <c r="H144" s="379"/>
      <c r="I144" s="824">
        <v>12</v>
      </c>
      <c r="J144" s="349"/>
      <c r="K144" s="363">
        <f>+I144*G144*E144</f>
        <v>-7572.8578463999993</v>
      </c>
      <c r="L144" s="363"/>
      <c r="M144" s="363"/>
      <c r="N144" s="363"/>
      <c r="O144" s="382">
        <f>+E144+K144</f>
        <v>-118287.15384639999</v>
      </c>
    </row>
    <row r="145" spans="1:15" ht="15.6">
      <c r="A145" s="378" t="s">
        <v>279</v>
      </c>
      <c r="B145" s="349"/>
      <c r="C145" s="349" t="s">
        <v>528</v>
      </c>
      <c r="D145" s="349"/>
      <c r="E145" s="384">
        <f>O144</f>
        <v>-118287.15384639999</v>
      </c>
      <c r="F145" s="384"/>
      <c r="G145" s="379">
        <f>G144</f>
        <v>5.7000000000000002E-3</v>
      </c>
      <c r="H145" s="379"/>
      <c r="I145" s="824">
        <v>12</v>
      </c>
      <c r="J145" s="349"/>
      <c r="K145" s="363">
        <f>+I145*G145*E145</f>
        <v>-8090.8413230937595</v>
      </c>
      <c r="L145" s="363"/>
      <c r="M145" s="363"/>
      <c r="N145" s="363"/>
      <c r="O145" s="382">
        <f>+E145+K145</f>
        <v>-126377.99516949375</v>
      </c>
    </row>
    <row r="146" spans="1:15" ht="15.6">
      <c r="A146" s="378"/>
      <c r="B146" s="349"/>
      <c r="C146" s="349"/>
      <c r="D146" s="349"/>
      <c r="E146" s="384"/>
      <c r="F146" s="384"/>
      <c r="G146" s="379"/>
      <c r="H146" s="379"/>
      <c r="I146" s="349"/>
      <c r="J146" s="349"/>
      <c r="K146" s="363"/>
      <c r="L146" s="363"/>
      <c r="M146" s="363"/>
      <c r="N146" s="363"/>
      <c r="O146" s="382"/>
    </row>
    <row r="147" spans="1:15" ht="15.6">
      <c r="A147" s="378"/>
      <c r="B147" s="349"/>
      <c r="C147" s="349"/>
      <c r="D147" s="349"/>
      <c r="E147" s="384"/>
      <c r="F147" s="384"/>
      <c r="G147" s="379"/>
      <c r="H147" s="379"/>
      <c r="I147" s="349"/>
      <c r="J147" s="349"/>
      <c r="K147" s="363"/>
      <c r="L147" s="363"/>
      <c r="M147" s="363"/>
      <c r="N147" s="363"/>
      <c r="O147" s="380"/>
    </row>
    <row r="148" spans="1:15" ht="15.6">
      <c r="A148" s="385" t="s">
        <v>280</v>
      </c>
      <c r="B148" s="386"/>
      <c r="C148" s="349"/>
      <c r="D148" s="349"/>
      <c r="E148" s="363"/>
      <c r="F148" s="363"/>
      <c r="G148" s="379"/>
      <c r="H148" s="379"/>
      <c r="I148" s="349"/>
      <c r="J148" s="349"/>
      <c r="K148" s="383" t="s">
        <v>276</v>
      </c>
      <c r="L148" s="383"/>
      <c r="M148" s="363"/>
      <c r="N148" s="363"/>
      <c r="O148" s="380"/>
    </row>
    <row r="149" spans="1:15" ht="15.6">
      <c r="A149" s="378" t="s">
        <v>174</v>
      </c>
      <c r="B149" s="349"/>
      <c r="C149" s="349" t="s">
        <v>529</v>
      </c>
      <c r="D149" s="349"/>
      <c r="E149" s="387">
        <f>-O145</f>
        <v>126377.99516949375</v>
      </c>
      <c r="F149" s="384"/>
      <c r="G149" s="379">
        <f>G145</f>
        <v>5.7000000000000002E-3</v>
      </c>
      <c r="H149" s="379"/>
      <c r="I149" s="349"/>
      <c r="J149" s="349"/>
      <c r="K149" s="363">
        <f t="shared" ref="K149:K160" si="31" xml:space="preserve"> -G149*E149</f>
        <v>-720.3545724661144</v>
      </c>
      <c r="L149" s="363"/>
      <c r="M149" s="363">
        <f>-PMT(G149,12,O145)</f>
        <v>-10925.757270246708</v>
      </c>
      <c r="N149" s="363"/>
      <c r="O149" s="380">
        <f t="shared" ref="O149:O160" si="32">(+E149+E149*G149+M149)*-1</f>
        <v>-116172.59247171314</v>
      </c>
    </row>
    <row r="150" spans="1:15" ht="15.6">
      <c r="A150" s="378" t="s">
        <v>173</v>
      </c>
      <c r="B150" s="349"/>
      <c r="C150" s="349" t="str">
        <f>+C149</f>
        <v>Year 2020</v>
      </c>
      <c r="D150" s="349"/>
      <c r="E150" s="384">
        <f t="shared" ref="E150:E160" si="33">-O149</f>
        <v>116172.59247171314</v>
      </c>
      <c r="F150" s="384"/>
      <c r="G150" s="379">
        <f t="shared" ref="G150:G160" si="34">+G149</f>
        <v>5.7000000000000002E-3</v>
      </c>
      <c r="H150" s="379"/>
      <c r="I150" s="349"/>
      <c r="J150" s="349"/>
      <c r="K150" s="363">
        <f t="shared" si="31"/>
        <v>-662.18377708876494</v>
      </c>
      <c r="L150" s="363"/>
      <c r="M150" s="363">
        <f t="shared" ref="M150:M160" si="35">M149</f>
        <v>-10925.757270246708</v>
      </c>
      <c r="N150" s="363"/>
      <c r="O150" s="380">
        <f t="shared" si="32"/>
        <v>-105909.01897855519</v>
      </c>
    </row>
    <row r="151" spans="1:15" ht="15.6">
      <c r="A151" s="378" t="s">
        <v>172</v>
      </c>
      <c r="B151" s="349"/>
      <c r="C151" s="349" t="str">
        <f>+C150</f>
        <v>Year 2020</v>
      </c>
      <c r="D151" s="349"/>
      <c r="E151" s="384">
        <f t="shared" si="33"/>
        <v>105909.01897855519</v>
      </c>
      <c r="F151" s="384"/>
      <c r="G151" s="379">
        <f t="shared" si="34"/>
        <v>5.7000000000000002E-3</v>
      </c>
      <c r="H151" s="379"/>
      <c r="I151" s="349"/>
      <c r="J151" s="349"/>
      <c r="K151" s="363">
        <f t="shared" si="31"/>
        <v>-603.68140817776464</v>
      </c>
      <c r="L151" s="363"/>
      <c r="M151" s="363">
        <f t="shared" si="35"/>
        <v>-10925.757270246708</v>
      </c>
      <c r="N151" s="363"/>
      <c r="O151" s="380">
        <f t="shared" si="32"/>
        <v>-95586.943116486247</v>
      </c>
    </row>
    <row r="152" spans="1:15" ht="15.6">
      <c r="A152" s="378" t="s">
        <v>155</v>
      </c>
      <c r="B152" s="349"/>
      <c r="C152" s="349" t="str">
        <f>+C151</f>
        <v>Year 2020</v>
      </c>
      <c r="D152" s="349"/>
      <c r="E152" s="384">
        <f t="shared" si="33"/>
        <v>95586.943116486247</v>
      </c>
      <c r="F152" s="384"/>
      <c r="G152" s="379">
        <f t="shared" si="34"/>
        <v>5.7000000000000002E-3</v>
      </c>
      <c r="H152" s="379"/>
      <c r="I152" s="349"/>
      <c r="J152" s="349"/>
      <c r="K152" s="363">
        <f t="shared" si="31"/>
        <v>-544.84557576397162</v>
      </c>
      <c r="L152" s="363"/>
      <c r="M152" s="363">
        <f t="shared" si="35"/>
        <v>-10925.757270246708</v>
      </c>
      <c r="N152" s="363"/>
      <c r="O152" s="380">
        <f t="shared" si="32"/>
        <v>-85206.031422003522</v>
      </c>
    </row>
    <row r="153" spans="1:15" ht="15.6">
      <c r="A153" s="378" t="s">
        <v>152</v>
      </c>
      <c r="B153" s="349"/>
      <c r="C153" s="349" t="str">
        <f>+C152</f>
        <v>Year 2020</v>
      </c>
      <c r="D153" s="349"/>
      <c r="E153" s="384">
        <f t="shared" si="33"/>
        <v>85206.031422003522</v>
      </c>
      <c r="F153" s="384"/>
      <c r="G153" s="379">
        <f t="shared" si="34"/>
        <v>5.7000000000000002E-3</v>
      </c>
      <c r="H153" s="379"/>
      <c r="I153" s="349"/>
      <c r="J153" s="349"/>
      <c r="K153" s="363">
        <f t="shared" si="31"/>
        <v>-485.67437910542009</v>
      </c>
      <c r="L153" s="363"/>
      <c r="M153" s="363">
        <f t="shared" si="35"/>
        <v>-10925.757270246708</v>
      </c>
      <c r="N153" s="363"/>
      <c r="O153" s="380">
        <f t="shared" si="32"/>
        <v>-74765.948530862224</v>
      </c>
    </row>
    <row r="154" spans="1:15" ht="15.6">
      <c r="A154" s="378" t="s">
        <v>277</v>
      </c>
      <c r="B154" s="349"/>
      <c r="C154" s="349" t="str">
        <f>C153</f>
        <v>Year 2020</v>
      </c>
      <c r="D154" s="374"/>
      <c r="E154" s="384">
        <f t="shared" si="33"/>
        <v>74765.948530862224</v>
      </c>
      <c r="F154" s="384"/>
      <c r="G154" s="379">
        <f t="shared" si="34"/>
        <v>5.7000000000000002E-3</v>
      </c>
      <c r="H154" s="379"/>
      <c r="I154" s="349"/>
      <c r="J154" s="349"/>
      <c r="K154" s="363">
        <f t="shared" si="31"/>
        <v>-426.16590662591472</v>
      </c>
      <c r="L154" s="363"/>
      <c r="M154" s="363">
        <f t="shared" si="35"/>
        <v>-10925.757270246708</v>
      </c>
      <c r="N154" s="363"/>
      <c r="O154" s="380">
        <f t="shared" si="32"/>
        <v>-64266.357167241433</v>
      </c>
    </row>
    <row r="155" spans="1:15" ht="15.6">
      <c r="A155" s="378" t="s">
        <v>170</v>
      </c>
      <c r="B155" s="349"/>
      <c r="C155" s="349" t="str">
        <f t="shared" ref="C155:C160" si="36">+C154</f>
        <v>Year 2020</v>
      </c>
      <c r="D155" s="349"/>
      <c r="E155" s="384">
        <f t="shared" si="33"/>
        <v>64266.357167241433</v>
      </c>
      <c r="F155" s="384"/>
      <c r="G155" s="379">
        <f t="shared" si="34"/>
        <v>5.7000000000000002E-3</v>
      </c>
      <c r="H155" s="379"/>
      <c r="I155" s="349"/>
      <c r="J155" s="349"/>
      <c r="K155" s="363">
        <f t="shared" si="31"/>
        <v>-366.31823585327618</v>
      </c>
      <c r="L155" s="363"/>
      <c r="M155" s="363">
        <f t="shared" si="35"/>
        <v>-10925.757270246708</v>
      </c>
      <c r="N155" s="363"/>
      <c r="O155" s="380">
        <f t="shared" si="32"/>
        <v>-53706.918132848004</v>
      </c>
    </row>
    <row r="156" spans="1:15" ht="15.6">
      <c r="A156" s="378" t="s">
        <v>169</v>
      </c>
      <c r="B156" s="349"/>
      <c r="C156" s="349" t="str">
        <f t="shared" si="36"/>
        <v>Year 2020</v>
      </c>
      <c r="D156" s="349"/>
      <c r="E156" s="384">
        <f t="shared" si="33"/>
        <v>53706.918132848004</v>
      </c>
      <c r="F156" s="384"/>
      <c r="G156" s="379">
        <f t="shared" si="34"/>
        <v>5.7000000000000002E-3</v>
      </c>
      <c r="H156" s="379"/>
      <c r="I156" s="349"/>
      <c r="J156" s="349"/>
      <c r="K156" s="363">
        <f t="shared" si="31"/>
        <v>-306.12943335723361</v>
      </c>
      <c r="L156" s="363"/>
      <c r="M156" s="363">
        <f t="shared" si="35"/>
        <v>-10925.757270246708</v>
      </c>
      <c r="N156" s="363"/>
      <c r="O156" s="380">
        <f t="shared" si="32"/>
        <v>-43087.290295958534</v>
      </c>
    </row>
    <row r="157" spans="1:15" ht="15.6">
      <c r="A157" s="378" t="s">
        <v>168</v>
      </c>
      <c r="B157" s="349"/>
      <c r="C157" s="349" t="str">
        <f t="shared" si="36"/>
        <v>Year 2020</v>
      </c>
      <c r="D157" s="349"/>
      <c r="E157" s="384">
        <f t="shared" si="33"/>
        <v>43087.290295958534</v>
      </c>
      <c r="F157" s="384"/>
      <c r="G157" s="379">
        <f t="shared" si="34"/>
        <v>5.7000000000000002E-3</v>
      </c>
      <c r="H157" s="379"/>
      <c r="I157" s="349"/>
      <c r="J157" s="349"/>
      <c r="K157" s="363">
        <f t="shared" si="31"/>
        <v>-245.59755468696366</v>
      </c>
      <c r="L157" s="363"/>
      <c r="M157" s="363">
        <f t="shared" si="35"/>
        <v>-10925.757270246708</v>
      </c>
      <c r="N157" s="363"/>
      <c r="O157" s="380">
        <f t="shared" si="32"/>
        <v>-32407.130580398793</v>
      </c>
    </row>
    <row r="158" spans="1:15" ht="15.6">
      <c r="A158" s="378" t="s">
        <v>181</v>
      </c>
      <c r="B158" s="349"/>
      <c r="C158" s="349" t="str">
        <f t="shared" si="36"/>
        <v>Year 2020</v>
      </c>
      <c r="D158" s="349"/>
      <c r="E158" s="384">
        <f t="shared" si="33"/>
        <v>32407.130580398793</v>
      </c>
      <c r="F158" s="384"/>
      <c r="G158" s="379">
        <f t="shared" si="34"/>
        <v>5.7000000000000002E-3</v>
      </c>
      <c r="H158" s="379"/>
      <c r="I158" s="349"/>
      <c r="J158" s="349"/>
      <c r="K158" s="363">
        <f t="shared" si="31"/>
        <v>-184.72064430827314</v>
      </c>
      <c r="L158" s="363"/>
      <c r="M158" s="363">
        <f t="shared" si="35"/>
        <v>-10925.757270246708</v>
      </c>
      <c r="N158" s="363"/>
      <c r="O158" s="380">
        <f t="shared" si="32"/>
        <v>-21666.093954460357</v>
      </c>
    </row>
    <row r="159" spans="1:15" ht="15.6">
      <c r="A159" s="378" t="s">
        <v>166</v>
      </c>
      <c r="B159" s="349"/>
      <c r="C159" s="349" t="str">
        <f t="shared" si="36"/>
        <v>Year 2020</v>
      </c>
      <c r="D159" s="349"/>
      <c r="E159" s="384">
        <f t="shared" si="33"/>
        <v>21666.093954460357</v>
      </c>
      <c r="F159" s="384"/>
      <c r="G159" s="379">
        <f t="shared" si="34"/>
        <v>5.7000000000000002E-3</v>
      </c>
      <c r="H159" s="379"/>
      <c r="I159" s="349"/>
      <c r="J159" s="349"/>
      <c r="K159" s="363">
        <f t="shared" si="31"/>
        <v>-123.49673554042404</v>
      </c>
      <c r="L159" s="363"/>
      <c r="M159" s="363">
        <f t="shared" si="35"/>
        <v>-10925.757270246708</v>
      </c>
      <c r="N159" s="363"/>
      <c r="O159" s="380">
        <f t="shared" si="32"/>
        <v>-10863.833419754072</v>
      </c>
    </row>
    <row r="160" spans="1:15" ht="15.6">
      <c r="A160" s="378" t="s">
        <v>164</v>
      </c>
      <c r="B160" s="349"/>
      <c r="C160" s="349" t="str">
        <f t="shared" si="36"/>
        <v>Year 2020</v>
      </c>
      <c r="D160" s="349"/>
      <c r="E160" s="384">
        <f t="shared" si="33"/>
        <v>10863.833419754072</v>
      </c>
      <c r="F160" s="384"/>
      <c r="G160" s="379">
        <f t="shared" si="34"/>
        <v>5.7000000000000002E-3</v>
      </c>
      <c r="H160" s="379"/>
      <c r="I160" s="349"/>
      <c r="J160" s="349"/>
      <c r="K160" s="362">
        <f t="shared" si="31"/>
        <v>-61.923850492598213</v>
      </c>
      <c r="L160" s="363"/>
      <c r="M160" s="363">
        <f t="shared" si="35"/>
        <v>-10925.757270246708</v>
      </c>
      <c r="N160" s="363"/>
      <c r="O160" s="380">
        <f t="shared" si="32"/>
        <v>3.8198777474462986E-11</v>
      </c>
    </row>
    <row r="161" spans="1:15" ht="15.6">
      <c r="A161" s="378"/>
      <c r="B161" s="349"/>
      <c r="C161" s="349"/>
      <c r="D161" s="349"/>
      <c r="E161" s="384"/>
      <c r="F161" s="384"/>
      <c r="G161" s="379"/>
      <c r="H161" s="379"/>
      <c r="I161" s="349"/>
      <c r="J161" s="349"/>
      <c r="K161" s="363">
        <f>SUM(K149:K160)</f>
        <v>-4731.0920734667197</v>
      </c>
      <c r="L161" s="363"/>
      <c r="M161" s="363"/>
      <c r="N161" s="363"/>
      <c r="O161" s="380"/>
    </row>
    <row r="162" spans="1:15">
      <c r="A162" s="388"/>
      <c r="B162" s="389"/>
      <c r="C162" s="389"/>
      <c r="D162" s="389"/>
      <c r="E162" s="389"/>
      <c r="F162" s="389"/>
      <c r="G162" s="389"/>
      <c r="H162" s="389"/>
      <c r="I162" s="389"/>
      <c r="J162" s="389"/>
      <c r="K162" s="389"/>
      <c r="L162" s="389"/>
      <c r="M162" s="389"/>
      <c r="N162" s="389"/>
      <c r="O162" s="390"/>
    </row>
    <row r="163" spans="1:15" ht="15.6">
      <c r="A163" s="378" t="s">
        <v>414</v>
      </c>
      <c r="B163" s="349"/>
      <c r="C163" s="389"/>
      <c r="D163" s="389"/>
      <c r="E163" s="389"/>
      <c r="F163" s="389"/>
      <c r="G163" s="389"/>
      <c r="H163" s="389"/>
      <c r="I163" s="389"/>
      <c r="J163" s="389"/>
      <c r="K163" s="389"/>
      <c r="L163" s="389"/>
      <c r="M163" s="391">
        <f>SUM(M149:M160)</f>
        <v>-131109.08724296052</v>
      </c>
      <c r="N163" s="389"/>
      <c r="O163" s="390"/>
    </row>
    <row r="164" spans="1:15" ht="15.6">
      <c r="A164" s="378" t="s">
        <v>282</v>
      </c>
      <c r="B164" s="349"/>
      <c r="C164" s="389"/>
      <c r="D164" s="389"/>
      <c r="E164" s="389"/>
      <c r="F164" s="389"/>
      <c r="G164" s="389"/>
      <c r="H164" s="389"/>
      <c r="I164" s="389"/>
      <c r="J164" s="389"/>
      <c r="K164" s="389"/>
      <c r="L164" s="389"/>
      <c r="M164" s="391">
        <f>K12</f>
        <v>100000</v>
      </c>
      <c r="N164" s="389"/>
      <c r="O164" s="390"/>
    </row>
    <row r="165" spans="1:15" ht="15.6">
      <c r="A165" s="392" t="s">
        <v>283</v>
      </c>
      <c r="B165" s="393"/>
      <c r="C165" s="394"/>
      <c r="D165" s="394"/>
      <c r="E165" s="394"/>
      <c r="F165" s="394"/>
      <c r="G165" s="394"/>
      <c r="H165" s="394"/>
      <c r="I165" s="394"/>
      <c r="J165" s="394"/>
      <c r="K165" s="394"/>
      <c r="L165" s="394"/>
      <c r="M165" s="395">
        <f>(M163+M164)</f>
        <v>-31109.087242960522</v>
      </c>
      <c r="N165" s="394"/>
      <c r="O165" s="396"/>
    </row>
    <row r="168" spans="1:15" ht="15.6">
      <c r="A168" s="1550" t="s">
        <v>428</v>
      </c>
      <c r="B168" s="1550"/>
      <c r="C168" s="1550"/>
      <c r="D168" s="1550"/>
      <c r="E168" s="1550"/>
      <c r="F168" s="1550"/>
      <c r="G168" s="1550"/>
      <c r="H168" s="1550"/>
      <c r="I168" s="1550"/>
      <c r="J168" s="1550"/>
      <c r="K168" s="1550"/>
      <c r="L168" s="1550"/>
      <c r="M168" s="1550"/>
    </row>
    <row r="169" spans="1:15" ht="15.6">
      <c r="A169" s="1551" t="str">
        <f>+A3</f>
        <v>New York Transco LLC</v>
      </c>
      <c r="B169" s="1551"/>
      <c r="C169" s="1551"/>
      <c r="D169" s="1551"/>
      <c r="E169" s="1551"/>
      <c r="F169" s="1551"/>
      <c r="G169" s="1551"/>
      <c r="H169" s="1551"/>
      <c r="I169" s="1551"/>
      <c r="J169" s="1551"/>
      <c r="K169" s="1551"/>
      <c r="L169" s="1551"/>
      <c r="M169" s="1551"/>
    </row>
    <row r="170" spans="1:15" ht="15.6">
      <c r="A170" s="1550"/>
      <c r="B170" s="1550"/>
      <c r="C170" s="1550"/>
      <c r="D170" s="1550"/>
      <c r="E170" s="1550"/>
      <c r="F170" s="1550"/>
      <c r="G170" s="1550"/>
      <c r="H170" s="1550"/>
      <c r="I170" s="1550"/>
      <c r="J170" s="1550"/>
      <c r="K170" s="1550"/>
      <c r="L170" s="1550"/>
      <c r="M170" s="1550"/>
    </row>
    <row r="172" spans="1:15" ht="18">
      <c r="A172" s="365" t="s">
        <v>522</v>
      </c>
      <c r="B172" s="366"/>
      <c r="C172" s="367"/>
      <c r="D172" s="367"/>
      <c r="E172" s="367"/>
      <c r="F172" s="367"/>
      <c r="G172" s="368"/>
      <c r="H172" s="368"/>
      <c r="I172" s="368"/>
      <c r="J172" s="368"/>
      <c r="K172" s="369"/>
      <c r="L172" s="369"/>
      <c r="M172" s="367"/>
      <c r="N172" s="367"/>
      <c r="O172" s="370"/>
    </row>
    <row r="173" spans="1:15" ht="15.6">
      <c r="A173" s="371" t="s">
        <v>525</v>
      </c>
      <c r="B173" s="372"/>
      <c r="C173" s="373"/>
      <c r="D173" s="373"/>
      <c r="E173" s="373"/>
      <c r="F173" s="373"/>
      <c r="G173" s="374"/>
      <c r="H173" s="374"/>
      <c r="I173" s="374"/>
      <c r="J173" s="374"/>
      <c r="K173" s="375" t="s">
        <v>276</v>
      </c>
      <c r="L173" s="375"/>
      <c r="M173" s="373"/>
      <c r="N173" s="373"/>
      <c r="O173" s="376"/>
    </row>
    <row r="174" spans="1:15" ht="18">
      <c r="A174" s="377"/>
      <c r="B174" s="372"/>
      <c r="C174" s="373"/>
      <c r="D174" s="373"/>
      <c r="E174" s="373"/>
      <c r="F174" s="373"/>
      <c r="G174" s="374"/>
      <c r="H174" s="374"/>
      <c r="I174" s="374"/>
      <c r="J174" s="374"/>
      <c r="K174" s="375"/>
      <c r="L174" s="375"/>
      <c r="M174" s="373"/>
      <c r="N174" s="373"/>
      <c r="O174" s="376"/>
    </row>
    <row r="175" spans="1:15" ht="15.6">
      <c r="A175" s="378" t="s">
        <v>174</v>
      </c>
      <c r="B175" s="349"/>
      <c r="C175" s="349" t="s">
        <v>409</v>
      </c>
      <c r="D175" s="349"/>
      <c r="E175" s="363">
        <f>K13/12</f>
        <v>25000</v>
      </c>
      <c r="F175" s="363"/>
      <c r="G175" s="379">
        <f>M13</f>
        <v>5.7999999999999996E-3</v>
      </c>
      <c r="H175" s="379"/>
      <c r="I175" s="824">
        <v>12</v>
      </c>
      <c r="J175" s="349"/>
      <c r="K175" s="363">
        <f t="shared" ref="K175:K186" si="37">G175*E175*I175*-1</f>
        <v>-1740</v>
      </c>
      <c r="L175" s="363"/>
      <c r="M175" s="363"/>
      <c r="N175" s="363"/>
      <c r="O175" s="380">
        <f t="shared" ref="O175:O186" si="38">(-K175+E175)*-1</f>
        <v>-26740</v>
      </c>
    </row>
    <row r="176" spans="1:15" ht="15.6">
      <c r="A176" s="378" t="s">
        <v>173</v>
      </c>
      <c r="B176" s="349"/>
      <c r="C176" s="349" t="str">
        <f t="shared" ref="C176:C186" si="39">C175</f>
        <v>Year 2017</v>
      </c>
      <c r="D176" s="349"/>
      <c r="E176" s="363">
        <f t="shared" ref="E176:E186" si="40">+E175</f>
        <v>25000</v>
      </c>
      <c r="F176" s="363"/>
      <c r="G176" s="379">
        <f t="shared" ref="G176:G186" si="41">+G175</f>
        <v>5.7999999999999996E-3</v>
      </c>
      <c r="H176" s="379"/>
      <c r="I176" s="825">
        <f t="shared" ref="I176:I186" si="42">+I175-1</f>
        <v>11</v>
      </c>
      <c r="J176" s="381"/>
      <c r="K176" s="363">
        <f t="shared" si="37"/>
        <v>-1595</v>
      </c>
      <c r="L176" s="363"/>
      <c r="M176" s="363"/>
      <c r="N176" s="363"/>
      <c r="O176" s="380">
        <f t="shared" si="38"/>
        <v>-26595</v>
      </c>
    </row>
    <row r="177" spans="1:15" ht="15.6">
      <c r="A177" s="378" t="s">
        <v>172</v>
      </c>
      <c r="B177" s="349"/>
      <c r="C177" s="349" t="str">
        <f t="shared" si="39"/>
        <v>Year 2017</v>
      </c>
      <c r="D177" s="349"/>
      <c r="E177" s="363">
        <f t="shared" si="40"/>
        <v>25000</v>
      </c>
      <c r="F177" s="363"/>
      <c r="G177" s="379">
        <f t="shared" si="41"/>
        <v>5.7999999999999996E-3</v>
      </c>
      <c r="H177" s="379"/>
      <c r="I177" s="825">
        <f t="shared" si="42"/>
        <v>10</v>
      </c>
      <c r="J177" s="381"/>
      <c r="K177" s="363">
        <f t="shared" si="37"/>
        <v>-1450</v>
      </c>
      <c r="L177" s="363"/>
      <c r="M177" s="363"/>
      <c r="N177" s="363"/>
      <c r="O177" s="380">
        <f t="shared" si="38"/>
        <v>-26450</v>
      </c>
    </row>
    <row r="178" spans="1:15" ht="15.6">
      <c r="A178" s="378" t="s">
        <v>155</v>
      </c>
      <c r="B178" s="349"/>
      <c r="C178" s="349" t="str">
        <f t="shared" si="39"/>
        <v>Year 2017</v>
      </c>
      <c r="D178" s="349"/>
      <c r="E178" s="363">
        <f t="shared" si="40"/>
        <v>25000</v>
      </c>
      <c r="F178" s="363"/>
      <c r="G178" s="379">
        <f t="shared" si="41"/>
        <v>5.7999999999999996E-3</v>
      </c>
      <c r="H178" s="379"/>
      <c r="I178" s="825">
        <f t="shared" si="42"/>
        <v>9</v>
      </c>
      <c r="J178" s="381"/>
      <c r="K178" s="363">
        <f t="shared" si="37"/>
        <v>-1305</v>
      </c>
      <c r="L178" s="363"/>
      <c r="M178" s="363"/>
      <c r="N178" s="363"/>
      <c r="O178" s="380">
        <f t="shared" si="38"/>
        <v>-26305</v>
      </c>
    </row>
    <row r="179" spans="1:15" ht="15.6">
      <c r="A179" s="378" t="s">
        <v>152</v>
      </c>
      <c r="B179" s="349"/>
      <c r="C179" s="349" t="str">
        <f t="shared" si="39"/>
        <v>Year 2017</v>
      </c>
      <c r="D179" s="349"/>
      <c r="E179" s="363">
        <f t="shared" si="40"/>
        <v>25000</v>
      </c>
      <c r="F179" s="363"/>
      <c r="G179" s="379">
        <f t="shared" si="41"/>
        <v>5.7999999999999996E-3</v>
      </c>
      <c r="H179" s="379"/>
      <c r="I179" s="825">
        <f t="shared" si="42"/>
        <v>8</v>
      </c>
      <c r="J179" s="381"/>
      <c r="K179" s="363">
        <f t="shared" si="37"/>
        <v>-1160</v>
      </c>
      <c r="L179" s="363"/>
      <c r="M179" s="363"/>
      <c r="N179" s="363"/>
      <c r="O179" s="380">
        <f t="shared" si="38"/>
        <v>-26160</v>
      </c>
    </row>
    <row r="180" spans="1:15" ht="15.6">
      <c r="A180" s="378" t="s">
        <v>277</v>
      </c>
      <c r="B180" s="349"/>
      <c r="C180" s="349" t="str">
        <f t="shared" si="39"/>
        <v>Year 2017</v>
      </c>
      <c r="D180" s="349"/>
      <c r="E180" s="363">
        <f t="shared" si="40"/>
        <v>25000</v>
      </c>
      <c r="F180" s="363"/>
      <c r="G180" s="379">
        <f t="shared" si="41"/>
        <v>5.7999999999999996E-3</v>
      </c>
      <c r="H180" s="379"/>
      <c r="I180" s="825">
        <f t="shared" si="42"/>
        <v>7</v>
      </c>
      <c r="J180" s="381"/>
      <c r="K180" s="363">
        <f t="shared" si="37"/>
        <v>-1015</v>
      </c>
      <c r="L180" s="363"/>
      <c r="M180" s="363"/>
      <c r="N180" s="363"/>
      <c r="O180" s="380">
        <f t="shared" si="38"/>
        <v>-26015</v>
      </c>
    </row>
    <row r="181" spans="1:15" ht="15.6">
      <c r="A181" s="378" t="s">
        <v>170</v>
      </c>
      <c r="B181" s="349"/>
      <c r="C181" s="349" t="str">
        <f t="shared" si="39"/>
        <v>Year 2017</v>
      </c>
      <c r="D181" s="349"/>
      <c r="E181" s="363">
        <f t="shared" si="40"/>
        <v>25000</v>
      </c>
      <c r="F181" s="363"/>
      <c r="G181" s="379">
        <f t="shared" si="41"/>
        <v>5.7999999999999996E-3</v>
      </c>
      <c r="H181" s="379"/>
      <c r="I181" s="825">
        <f t="shared" si="42"/>
        <v>6</v>
      </c>
      <c r="J181" s="381"/>
      <c r="K181" s="363">
        <f t="shared" si="37"/>
        <v>-870</v>
      </c>
      <c r="L181" s="363"/>
      <c r="M181" s="363"/>
      <c r="N181" s="363"/>
      <c r="O181" s="380">
        <f t="shared" si="38"/>
        <v>-25870</v>
      </c>
    </row>
    <row r="182" spans="1:15" ht="15.6">
      <c r="A182" s="378" t="s">
        <v>169</v>
      </c>
      <c r="B182" s="349"/>
      <c r="C182" s="349" t="str">
        <f t="shared" si="39"/>
        <v>Year 2017</v>
      </c>
      <c r="D182" s="349"/>
      <c r="E182" s="363">
        <f t="shared" si="40"/>
        <v>25000</v>
      </c>
      <c r="F182" s="363"/>
      <c r="G182" s="379">
        <f t="shared" si="41"/>
        <v>5.7999999999999996E-3</v>
      </c>
      <c r="H182" s="379"/>
      <c r="I182" s="825">
        <f t="shared" si="42"/>
        <v>5</v>
      </c>
      <c r="J182" s="381"/>
      <c r="K182" s="363">
        <f t="shared" si="37"/>
        <v>-725</v>
      </c>
      <c r="L182" s="363"/>
      <c r="M182" s="363"/>
      <c r="N182" s="363"/>
      <c r="O182" s="380">
        <f t="shared" si="38"/>
        <v>-25725</v>
      </c>
    </row>
    <row r="183" spans="1:15" ht="15.6">
      <c r="A183" s="378" t="s">
        <v>168</v>
      </c>
      <c r="B183" s="349"/>
      <c r="C183" s="349" t="str">
        <f t="shared" si="39"/>
        <v>Year 2017</v>
      </c>
      <c r="D183" s="349"/>
      <c r="E183" s="363">
        <f t="shared" si="40"/>
        <v>25000</v>
      </c>
      <c r="F183" s="363"/>
      <c r="G183" s="379">
        <f t="shared" si="41"/>
        <v>5.7999999999999996E-3</v>
      </c>
      <c r="H183" s="379"/>
      <c r="I183" s="825">
        <f t="shared" si="42"/>
        <v>4</v>
      </c>
      <c r="J183" s="381"/>
      <c r="K183" s="363">
        <f t="shared" si="37"/>
        <v>-580</v>
      </c>
      <c r="L183" s="363"/>
      <c r="M183" s="363"/>
      <c r="N183" s="363"/>
      <c r="O183" s="380">
        <f t="shared" si="38"/>
        <v>-25580</v>
      </c>
    </row>
    <row r="184" spans="1:15" ht="15.6">
      <c r="A184" s="378" t="s">
        <v>181</v>
      </c>
      <c r="B184" s="349"/>
      <c r="C184" s="349" t="str">
        <f t="shared" si="39"/>
        <v>Year 2017</v>
      </c>
      <c r="D184" s="349"/>
      <c r="E184" s="363">
        <f t="shared" si="40"/>
        <v>25000</v>
      </c>
      <c r="F184" s="363"/>
      <c r="G184" s="379">
        <f t="shared" si="41"/>
        <v>5.7999999999999996E-3</v>
      </c>
      <c r="H184" s="379"/>
      <c r="I184" s="825">
        <f t="shared" si="42"/>
        <v>3</v>
      </c>
      <c r="J184" s="381"/>
      <c r="K184" s="363">
        <f t="shared" si="37"/>
        <v>-435</v>
      </c>
      <c r="L184" s="363"/>
      <c r="M184" s="363"/>
      <c r="N184" s="363"/>
      <c r="O184" s="380">
        <f t="shared" si="38"/>
        <v>-25435</v>
      </c>
    </row>
    <row r="185" spans="1:15" ht="15.6">
      <c r="A185" s="378" t="s">
        <v>166</v>
      </c>
      <c r="B185" s="349"/>
      <c r="C185" s="349" t="str">
        <f t="shared" si="39"/>
        <v>Year 2017</v>
      </c>
      <c r="D185" s="349"/>
      <c r="E185" s="363">
        <f t="shared" si="40"/>
        <v>25000</v>
      </c>
      <c r="F185" s="363"/>
      <c r="G185" s="379">
        <f t="shared" si="41"/>
        <v>5.7999999999999996E-3</v>
      </c>
      <c r="H185" s="379"/>
      <c r="I185" s="825">
        <f t="shared" si="42"/>
        <v>2</v>
      </c>
      <c r="J185" s="381"/>
      <c r="K185" s="363">
        <f t="shared" si="37"/>
        <v>-290</v>
      </c>
      <c r="L185" s="363"/>
      <c r="M185" s="363"/>
      <c r="N185" s="363"/>
      <c r="O185" s="380">
        <f t="shared" si="38"/>
        <v>-25290</v>
      </c>
    </row>
    <row r="186" spans="1:15" ht="15.6">
      <c r="A186" s="378" t="s">
        <v>164</v>
      </c>
      <c r="B186" s="349"/>
      <c r="C186" s="349" t="str">
        <f t="shared" si="39"/>
        <v>Year 2017</v>
      </c>
      <c r="D186" s="349"/>
      <c r="E186" s="363">
        <f t="shared" si="40"/>
        <v>25000</v>
      </c>
      <c r="F186" s="363"/>
      <c r="G186" s="379">
        <f t="shared" si="41"/>
        <v>5.7999999999999996E-3</v>
      </c>
      <c r="H186" s="379"/>
      <c r="I186" s="825">
        <f t="shared" si="42"/>
        <v>1</v>
      </c>
      <c r="J186" s="381"/>
      <c r="K186" s="362">
        <f t="shared" si="37"/>
        <v>-145</v>
      </c>
      <c r="L186" s="363"/>
      <c r="M186" s="363"/>
      <c r="N186" s="363"/>
      <c r="O186" s="380">
        <f t="shared" si="38"/>
        <v>-25145</v>
      </c>
    </row>
    <row r="187" spans="1:15" ht="15.6">
      <c r="A187" s="378"/>
      <c r="B187" s="349"/>
      <c r="C187" s="349"/>
      <c r="D187" s="349"/>
      <c r="E187" s="363"/>
      <c r="F187" s="363"/>
      <c r="G187" s="379"/>
      <c r="H187" s="379"/>
      <c r="I187" s="381"/>
      <c r="J187" s="381"/>
      <c r="K187" s="363">
        <f>SUM(K175:K186)</f>
        <v>-11310</v>
      </c>
      <c r="L187" s="363"/>
      <c r="M187" s="363"/>
      <c r="N187" s="363"/>
      <c r="O187" s="382">
        <f>SUM(O175:O186)</f>
        <v>-311310</v>
      </c>
    </row>
    <row r="188" spans="1:15" ht="15.6">
      <c r="A188" s="378"/>
      <c r="B188" s="349"/>
      <c r="C188" s="349"/>
      <c r="D188" s="349"/>
      <c r="E188" s="363"/>
      <c r="F188" s="363"/>
      <c r="G188" s="379"/>
      <c r="H188" s="379"/>
      <c r="I188" s="381"/>
      <c r="J188" s="381"/>
      <c r="K188" s="363"/>
      <c r="L188" s="363"/>
      <c r="M188" s="363"/>
      <c r="N188" s="363"/>
      <c r="O188" s="382"/>
    </row>
    <row r="189" spans="1:15" ht="15.6">
      <c r="A189" s="378"/>
      <c r="B189" s="349"/>
      <c r="C189" s="349"/>
      <c r="D189" s="349"/>
      <c r="E189" s="363"/>
      <c r="F189" s="363"/>
      <c r="G189" s="379"/>
      <c r="H189" s="379"/>
      <c r="I189" s="381"/>
      <c r="J189" s="381"/>
      <c r="K189" s="383" t="s">
        <v>278</v>
      </c>
      <c r="L189" s="363"/>
      <c r="M189" s="363"/>
      <c r="N189" s="363"/>
      <c r="O189" s="382"/>
    </row>
    <row r="190" spans="1:15" ht="15.6">
      <c r="A190" s="378"/>
      <c r="B190" s="349"/>
      <c r="C190" s="349"/>
      <c r="D190" s="349"/>
      <c r="E190" s="363"/>
      <c r="F190" s="363"/>
      <c r="G190" s="379"/>
      <c r="H190" s="379"/>
      <c r="I190" s="381"/>
      <c r="J190" s="381"/>
      <c r="K190" s="383"/>
      <c r="L190" s="363"/>
      <c r="M190" s="363"/>
      <c r="N190" s="363"/>
      <c r="O190" s="382"/>
    </row>
    <row r="191" spans="1:15" ht="15.6">
      <c r="A191" s="378" t="s">
        <v>279</v>
      </c>
      <c r="B191" s="349"/>
      <c r="C191" s="349" t="s">
        <v>410</v>
      </c>
      <c r="D191" s="349"/>
      <c r="E191" s="384">
        <f>O187</f>
        <v>-311310</v>
      </c>
      <c r="F191" s="384"/>
      <c r="G191" s="379">
        <f>M14</f>
        <v>5.7000000000000002E-3</v>
      </c>
      <c r="H191" s="379"/>
      <c r="I191" s="824">
        <v>12</v>
      </c>
      <c r="J191" s="349"/>
      <c r="K191" s="363">
        <f>+I191*G191*E191</f>
        <v>-21293.603999999999</v>
      </c>
      <c r="L191" s="363"/>
      <c r="M191" s="363"/>
      <c r="N191" s="363"/>
      <c r="O191" s="382">
        <f>+E191+K191</f>
        <v>-332603.60399999999</v>
      </c>
    </row>
    <row r="192" spans="1:15" ht="15.6">
      <c r="A192" s="378" t="s">
        <v>279</v>
      </c>
      <c r="B192" s="349"/>
      <c r="C192" s="349" t="s">
        <v>528</v>
      </c>
      <c r="D192" s="349"/>
      <c r="E192" s="384">
        <f>O191</f>
        <v>-332603.60399999999</v>
      </c>
      <c r="F192" s="384"/>
      <c r="G192" s="379">
        <f>G191</f>
        <v>5.7000000000000002E-3</v>
      </c>
      <c r="H192" s="379"/>
      <c r="I192" s="824">
        <v>12</v>
      </c>
      <c r="J192" s="349"/>
      <c r="K192" s="363">
        <f>+I192*G192*E192</f>
        <v>-22750.086513599999</v>
      </c>
      <c r="L192" s="363"/>
      <c r="M192" s="363"/>
      <c r="N192" s="363"/>
      <c r="O192" s="382">
        <f>+E192+K192</f>
        <v>-355353.69051360001</v>
      </c>
    </row>
    <row r="193" spans="1:15" ht="15.6">
      <c r="A193" s="378"/>
      <c r="B193" s="349"/>
      <c r="C193" s="349"/>
      <c r="D193" s="349"/>
      <c r="E193" s="384"/>
      <c r="F193" s="384"/>
      <c r="G193" s="379"/>
      <c r="H193" s="379"/>
      <c r="I193" s="349"/>
      <c r="J193" s="349"/>
      <c r="K193" s="363"/>
      <c r="L193" s="363"/>
      <c r="M193" s="363"/>
      <c r="N193" s="363"/>
      <c r="O193" s="382"/>
    </row>
    <row r="194" spans="1:15" ht="15.6">
      <c r="A194" s="378"/>
      <c r="B194" s="349"/>
      <c r="C194" s="349"/>
      <c r="D194" s="349"/>
      <c r="E194" s="384"/>
      <c r="F194" s="384"/>
      <c r="G194" s="379"/>
      <c r="H194" s="379"/>
      <c r="I194" s="349"/>
      <c r="J194" s="349"/>
      <c r="K194" s="363"/>
      <c r="L194" s="363"/>
      <c r="M194" s="363"/>
      <c r="N194" s="363"/>
      <c r="O194" s="380"/>
    </row>
    <row r="195" spans="1:15" ht="15.6">
      <c r="A195" s="385" t="s">
        <v>280</v>
      </c>
      <c r="B195" s="386"/>
      <c r="C195" s="349"/>
      <c r="D195" s="349"/>
      <c r="E195" s="363"/>
      <c r="F195" s="363"/>
      <c r="G195" s="379"/>
      <c r="H195" s="379"/>
      <c r="I195" s="349"/>
      <c r="J195" s="349"/>
      <c r="K195" s="383" t="s">
        <v>276</v>
      </c>
      <c r="L195" s="383"/>
      <c r="M195" s="363"/>
      <c r="N195" s="363"/>
      <c r="O195" s="380"/>
    </row>
    <row r="196" spans="1:15" ht="15.6">
      <c r="A196" s="378" t="s">
        <v>174</v>
      </c>
      <c r="B196" s="349"/>
      <c r="C196" s="349" t="s">
        <v>529</v>
      </c>
      <c r="D196" s="349"/>
      <c r="E196" s="387">
        <f>-O192</f>
        <v>355353.69051360001</v>
      </c>
      <c r="F196" s="384"/>
      <c r="G196" s="379">
        <f>G192</f>
        <v>5.7000000000000002E-3</v>
      </c>
      <c r="H196" s="379"/>
      <c r="I196" s="349"/>
      <c r="J196" s="349"/>
      <c r="K196" s="363">
        <f t="shared" ref="K196:K207" si="43" xml:space="preserve"> -G196*E196</f>
        <v>-2025.5160359275201</v>
      </c>
      <c r="L196" s="363"/>
      <c r="M196" s="363">
        <f>-PMT(G196,12,O192)</f>
        <v>-30721.393882146014</v>
      </c>
      <c r="N196" s="363"/>
      <c r="O196" s="380">
        <f t="shared" ref="O196:O207" si="44">(+E196+E196*G196+M196)*-1</f>
        <v>-326657.81266738154</v>
      </c>
    </row>
    <row r="197" spans="1:15" ht="15.6">
      <c r="A197" s="378" t="s">
        <v>173</v>
      </c>
      <c r="B197" s="349"/>
      <c r="C197" s="349" t="str">
        <f>+C196</f>
        <v>Year 2020</v>
      </c>
      <c r="D197" s="349"/>
      <c r="E197" s="384">
        <f t="shared" ref="E197:E207" si="45">-O196</f>
        <v>326657.81266738154</v>
      </c>
      <c r="F197" s="384"/>
      <c r="G197" s="379">
        <f t="shared" ref="G197:G207" si="46">+G196</f>
        <v>5.7000000000000002E-3</v>
      </c>
      <c r="H197" s="379"/>
      <c r="I197" s="349"/>
      <c r="J197" s="349"/>
      <c r="K197" s="363">
        <f t="shared" si="43"/>
        <v>-1861.9495322040748</v>
      </c>
      <c r="L197" s="363"/>
      <c r="M197" s="363">
        <f t="shared" ref="M197:M207" si="47">M196</f>
        <v>-30721.393882146014</v>
      </c>
      <c r="N197" s="363"/>
      <c r="O197" s="380">
        <f t="shared" si="44"/>
        <v>-297798.36831743963</v>
      </c>
    </row>
    <row r="198" spans="1:15" ht="15.6">
      <c r="A198" s="378" t="s">
        <v>172</v>
      </c>
      <c r="B198" s="349"/>
      <c r="C198" s="349" t="str">
        <f>+C197</f>
        <v>Year 2020</v>
      </c>
      <c r="D198" s="349"/>
      <c r="E198" s="384">
        <f t="shared" si="45"/>
        <v>297798.36831743963</v>
      </c>
      <c r="F198" s="384"/>
      <c r="G198" s="379">
        <f t="shared" si="46"/>
        <v>5.7000000000000002E-3</v>
      </c>
      <c r="H198" s="379"/>
      <c r="I198" s="349"/>
      <c r="J198" s="349"/>
      <c r="K198" s="363">
        <f t="shared" si="43"/>
        <v>-1697.4506994094058</v>
      </c>
      <c r="L198" s="363"/>
      <c r="M198" s="363">
        <f t="shared" si="47"/>
        <v>-30721.393882146014</v>
      </c>
      <c r="N198" s="363"/>
      <c r="O198" s="380">
        <f t="shared" si="44"/>
        <v>-268774.42513470305</v>
      </c>
    </row>
    <row r="199" spans="1:15" ht="15.6">
      <c r="A199" s="378" t="s">
        <v>155</v>
      </c>
      <c r="B199" s="349"/>
      <c r="C199" s="349" t="str">
        <f>+C198</f>
        <v>Year 2020</v>
      </c>
      <c r="D199" s="349"/>
      <c r="E199" s="384">
        <f t="shared" si="45"/>
        <v>268774.42513470305</v>
      </c>
      <c r="F199" s="384"/>
      <c r="G199" s="379">
        <f t="shared" si="46"/>
        <v>5.7000000000000002E-3</v>
      </c>
      <c r="H199" s="379"/>
      <c r="I199" s="349"/>
      <c r="J199" s="349"/>
      <c r="K199" s="363">
        <f t="shared" si="43"/>
        <v>-1532.0142232678074</v>
      </c>
      <c r="L199" s="363"/>
      <c r="M199" s="363">
        <f t="shared" si="47"/>
        <v>-30721.393882146014</v>
      </c>
      <c r="N199" s="363"/>
      <c r="O199" s="380">
        <f t="shared" si="44"/>
        <v>-239585.04547582482</v>
      </c>
    </row>
    <row r="200" spans="1:15" ht="15.6">
      <c r="A200" s="378" t="s">
        <v>152</v>
      </c>
      <c r="B200" s="349"/>
      <c r="C200" s="349" t="str">
        <f>+C199</f>
        <v>Year 2020</v>
      </c>
      <c r="D200" s="349"/>
      <c r="E200" s="384">
        <f t="shared" si="45"/>
        <v>239585.04547582482</v>
      </c>
      <c r="F200" s="384"/>
      <c r="G200" s="379">
        <f t="shared" si="46"/>
        <v>5.7000000000000002E-3</v>
      </c>
      <c r="H200" s="379"/>
      <c r="I200" s="349"/>
      <c r="J200" s="349"/>
      <c r="K200" s="363">
        <f t="shared" si="43"/>
        <v>-1365.6347592122015</v>
      </c>
      <c r="L200" s="363"/>
      <c r="M200" s="363">
        <f t="shared" si="47"/>
        <v>-30721.393882146014</v>
      </c>
      <c r="N200" s="363"/>
      <c r="O200" s="380">
        <f t="shared" si="44"/>
        <v>-210229.28635289101</v>
      </c>
    </row>
    <row r="201" spans="1:15" ht="15.6">
      <c r="A201" s="378" t="s">
        <v>277</v>
      </c>
      <c r="B201" s="349"/>
      <c r="C201" s="349" t="str">
        <f>C200</f>
        <v>Year 2020</v>
      </c>
      <c r="D201" s="374"/>
      <c r="E201" s="384">
        <f t="shared" si="45"/>
        <v>210229.28635289101</v>
      </c>
      <c r="F201" s="384"/>
      <c r="G201" s="379">
        <f t="shared" si="46"/>
        <v>5.7000000000000002E-3</v>
      </c>
      <c r="H201" s="379"/>
      <c r="I201" s="349"/>
      <c r="J201" s="349"/>
      <c r="K201" s="363">
        <f t="shared" si="43"/>
        <v>-1198.3069322114789</v>
      </c>
      <c r="L201" s="363"/>
      <c r="M201" s="363">
        <f t="shared" si="47"/>
        <v>-30721.393882146014</v>
      </c>
      <c r="N201" s="363"/>
      <c r="O201" s="380">
        <f t="shared" si="44"/>
        <v>-180706.19940295647</v>
      </c>
    </row>
    <row r="202" spans="1:15" ht="15.6">
      <c r="A202" s="378" t="s">
        <v>170</v>
      </c>
      <c r="B202" s="349"/>
      <c r="C202" s="349" t="str">
        <f t="shared" ref="C202:C207" si="48">+C201</f>
        <v>Year 2020</v>
      </c>
      <c r="D202" s="349"/>
      <c r="E202" s="384">
        <f t="shared" si="45"/>
        <v>180706.19940295647</v>
      </c>
      <c r="F202" s="384"/>
      <c r="G202" s="379">
        <f t="shared" si="46"/>
        <v>5.7000000000000002E-3</v>
      </c>
      <c r="H202" s="379"/>
      <c r="I202" s="349"/>
      <c r="J202" s="349"/>
      <c r="K202" s="363">
        <f t="shared" si="43"/>
        <v>-1030.025336596852</v>
      </c>
      <c r="L202" s="363"/>
      <c r="M202" s="363">
        <f t="shared" si="47"/>
        <v>-30721.393882146014</v>
      </c>
      <c r="N202" s="363"/>
      <c r="O202" s="380">
        <f t="shared" si="44"/>
        <v>-151014.8308574073</v>
      </c>
    </row>
    <row r="203" spans="1:15" ht="15.6">
      <c r="A203" s="378" t="s">
        <v>169</v>
      </c>
      <c r="B203" s="349"/>
      <c r="C203" s="349" t="str">
        <f t="shared" si="48"/>
        <v>Year 2020</v>
      </c>
      <c r="D203" s="349"/>
      <c r="E203" s="384">
        <f t="shared" si="45"/>
        <v>151014.8308574073</v>
      </c>
      <c r="F203" s="384"/>
      <c r="G203" s="379">
        <f t="shared" si="46"/>
        <v>5.7000000000000002E-3</v>
      </c>
      <c r="H203" s="379"/>
      <c r="I203" s="349"/>
      <c r="J203" s="349"/>
      <c r="K203" s="363">
        <f t="shared" si="43"/>
        <v>-860.78453588722164</v>
      </c>
      <c r="L203" s="363"/>
      <c r="M203" s="363">
        <f t="shared" si="47"/>
        <v>-30721.393882146014</v>
      </c>
      <c r="N203" s="363"/>
      <c r="O203" s="380">
        <f t="shared" si="44"/>
        <v>-121154.2215111485</v>
      </c>
    </row>
    <row r="204" spans="1:15" ht="15.6">
      <c r="A204" s="378" t="s">
        <v>168</v>
      </c>
      <c r="B204" s="349"/>
      <c r="C204" s="349" t="str">
        <f t="shared" si="48"/>
        <v>Year 2020</v>
      </c>
      <c r="D204" s="349"/>
      <c r="E204" s="384">
        <f t="shared" si="45"/>
        <v>121154.2215111485</v>
      </c>
      <c r="F204" s="384"/>
      <c r="G204" s="379">
        <f t="shared" si="46"/>
        <v>5.7000000000000002E-3</v>
      </c>
      <c r="H204" s="379"/>
      <c r="I204" s="349"/>
      <c r="J204" s="349"/>
      <c r="K204" s="363">
        <f t="shared" si="43"/>
        <v>-690.57906261354651</v>
      </c>
      <c r="L204" s="363"/>
      <c r="M204" s="363">
        <f t="shared" si="47"/>
        <v>-30721.393882146014</v>
      </c>
      <c r="N204" s="363"/>
      <c r="O204" s="380">
        <f t="shared" si="44"/>
        <v>-91123.406691616023</v>
      </c>
    </row>
    <row r="205" spans="1:15" ht="15.6">
      <c r="A205" s="378" t="s">
        <v>181</v>
      </c>
      <c r="B205" s="349"/>
      <c r="C205" s="349" t="str">
        <f t="shared" si="48"/>
        <v>Year 2020</v>
      </c>
      <c r="D205" s="349"/>
      <c r="E205" s="384">
        <f t="shared" si="45"/>
        <v>91123.406691616023</v>
      </c>
      <c r="F205" s="384"/>
      <c r="G205" s="379">
        <f t="shared" si="46"/>
        <v>5.7000000000000002E-3</v>
      </c>
      <c r="H205" s="379"/>
      <c r="I205" s="349"/>
      <c r="J205" s="349"/>
      <c r="K205" s="363">
        <f t="shared" si="43"/>
        <v>-519.40341814221131</v>
      </c>
      <c r="L205" s="363"/>
      <c r="M205" s="363">
        <f t="shared" si="47"/>
        <v>-30721.393882146014</v>
      </c>
      <c r="N205" s="363"/>
      <c r="O205" s="380">
        <f t="shared" si="44"/>
        <v>-60921.416227612222</v>
      </c>
    </row>
    <row r="206" spans="1:15" ht="15.6">
      <c r="A206" s="378" t="s">
        <v>166</v>
      </c>
      <c r="B206" s="349"/>
      <c r="C206" s="349" t="str">
        <f t="shared" si="48"/>
        <v>Year 2020</v>
      </c>
      <c r="D206" s="349"/>
      <c r="E206" s="384">
        <f t="shared" si="45"/>
        <v>60921.416227612222</v>
      </c>
      <c r="F206" s="384"/>
      <c r="G206" s="379">
        <f t="shared" si="46"/>
        <v>5.7000000000000002E-3</v>
      </c>
      <c r="H206" s="379"/>
      <c r="I206" s="349"/>
      <c r="J206" s="349"/>
      <c r="K206" s="363">
        <f t="shared" si="43"/>
        <v>-347.25207249738969</v>
      </c>
      <c r="L206" s="363"/>
      <c r="M206" s="363">
        <f t="shared" si="47"/>
        <v>-30721.393882146014</v>
      </c>
      <c r="N206" s="363"/>
      <c r="O206" s="380">
        <f t="shared" si="44"/>
        <v>-30547.274417963596</v>
      </c>
    </row>
    <row r="207" spans="1:15" ht="15.6">
      <c r="A207" s="378" t="s">
        <v>164</v>
      </c>
      <c r="B207" s="349"/>
      <c r="C207" s="349" t="str">
        <f t="shared" si="48"/>
        <v>Year 2020</v>
      </c>
      <c r="D207" s="349"/>
      <c r="E207" s="384">
        <f t="shared" si="45"/>
        <v>30547.274417963596</v>
      </c>
      <c r="F207" s="384"/>
      <c r="G207" s="379">
        <f t="shared" si="46"/>
        <v>5.7000000000000002E-3</v>
      </c>
      <c r="H207" s="379"/>
      <c r="I207" s="349"/>
      <c r="J207" s="349"/>
      <c r="K207" s="362">
        <f t="shared" si="43"/>
        <v>-174.11946418239251</v>
      </c>
      <c r="L207" s="363"/>
      <c r="M207" s="363">
        <f t="shared" si="47"/>
        <v>-30721.393882146014</v>
      </c>
      <c r="N207" s="363"/>
      <c r="O207" s="380">
        <f t="shared" si="44"/>
        <v>2.5465851649641991E-11</v>
      </c>
    </row>
    <row r="208" spans="1:15" ht="15.6">
      <c r="A208" s="378"/>
      <c r="B208" s="349"/>
      <c r="C208" s="349"/>
      <c r="D208" s="349"/>
      <c r="E208" s="384"/>
      <c r="F208" s="384"/>
      <c r="G208" s="379"/>
      <c r="H208" s="379"/>
      <c r="I208" s="349"/>
      <c r="J208" s="349"/>
      <c r="K208" s="363">
        <f>SUM(K196:K207)</f>
        <v>-13303.036072152103</v>
      </c>
      <c r="L208" s="363"/>
      <c r="M208" s="363"/>
      <c r="N208" s="363"/>
      <c r="O208" s="380"/>
    </row>
    <row r="209" spans="1:15">
      <c r="A209" s="388"/>
      <c r="B209" s="389"/>
      <c r="C209" s="389"/>
      <c r="D209" s="389"/>
      <c r="E209" s="389"/>
      <c r="F209" s="389"/>
      <c r="G209" s="389"/>
      <c r="H209" s="389"/>
      <c r="I209" s="389"/>
      <c r="J209" s="389"/>
      <c r="K209" s="389"/>
      <c r="L209" s="389"/>
      <c r="M209" s="389"/>
      <c r="N209" s="389"/>
      <c r="O209" s="390"/>
    </row>
    <row r="210" spans="1:15" ht="15.6">
      <c r="A210" s="378" t="s">
        <v>530</v>
      </c>
      <c r="B210" s="349"/>
      <c r="C210" s="389"/>
      <c r="D210" s="389"/>
      <c r="E210" s="389"/>
      <c r="F210" s="389"/>
      <c r="G210" s="389"/>
      <c r="H210" s="389"/>
      <c r="I210" s="389"/>
      <c r="J210" s="389"/>
      <c r="K210" s="389"/>
      <c r="L210" s="389"/>
      <c r="M210" s="391">
        <f>SUM(M196:M207)</f>
        <v>-368656.7265857521</v>
      </c>
      <c r="N210" s="389"/>
      <c r="O210" s="390"/>
    </row>
    <row r="211" spans="1:15" ht="15.6">
      <c r="A211" s="378" t="s">
        <v>282</v>
      </c>
      <c r="B211" s="349"/>
      <c r="C211" s="389"/>
      <c r="D211" s="389"/>
      <c r="E211" s="389"/>
      <c r="F211" s="389"/>
      <c r="G211" s="389"/>
      <c r="H211" s="389"/>
      <c r="I211" s="389"/>
      <c r="J211" s="389"/>
      <c r="K211" s="389"/>
      <c r="L211" s="389"/>
      <c r="M211" s="391">
        <f>K13</f>
        <v>300000</v>
      </c>
      <c r="N211" s="389"/>
      <c r="O211" s="390"/>
    </row>
    <row r="212" spans="1:15" ht="15.6">
      <c r="A212" s="392" t="s">
        <v>283</v>
      </c>
      <c r="B212" s="393"/>
      <c r="C212" s="394"/>
      <c r="D212" s="394"/>
      <c r="E212" s="394"/>
      <c r="F212" s="394"/>
      <c r="G212" s="394"/>
      <c r="H212" s="394"/>
      <c r="I212" s="394"/>
      <c r="J212" s="394"/>
      <c r="K212" s="394"/>
      <c r="L212" s="394"/>
      <c r="M212" s="395">
        <f>(M210+M211)</f>
        <v>-68656.726585752098</v>
      </c>
      <c r="N212" s="394"/>
      <c r="O212" s="396"/>
    </row>
    <row r="215" spans="1:15" ht="18">
      <c r="A215" s="365" t="s">
        <v>523</v>
      </c>
      <c r="B215" s="366"/>
      <c r="C215" s="367"/>
      <c r="D215" s="367"/>
      <c r="E215" s="367"/>
      <c r="F215" s="367"/>
      <c r="G215" s="368"/>
      <c r="H215" s="368"/>
      <c r="I215" s="368"/>
      <c r="J215" s="368"/>
      <c r="K215" s="369"/>
      <c r="L215" s="369"/>
      <c r="M215" s="367"/>
      <c r="N215" s="367"/>
      <c r="O215" s="370"/>
    </row>
    <row r="216" spans="1:15" ht="15.6">
      <c r="A216" s="371" t="s">
        <v>524</v>
      </c>
      <c r="B216" s="372"/>
      <c r="C216" s="373"/>
      <c r="D216" s="373"/>
      <c r="E216" s="373"/>
      <c r="F216" s="373"/>
      <c r="G216" s="374"/>
      <c r="H216" s="374"/>
      <c r="I216" s="374"/>
      <c r="J216" s="374"/>
      <c r="K216" s="375" t="s">
        <v>276</v>
      </c>
      <c r="L216" s="375"/>
      <c r="M216" s="373"/>
      <c r="N216" s="373"/>
      <c r="O216" s="376"/>
    </row>
    <row r="217" spans="1:15" ht="18">
      <c r="A217" s="377"/>
      <c r="B217" s="372"/>
      <c r="C217" s="373"/>
      <c r="D217" s="373"/>
      <c r="E217" s="373"/>
      <c r="F217" s="373"/>
      <c r="G217" s="374"/>
      <c r="H217" s="374"/>
      <c r="I217" s="374"/>
      <c r="J217" s="374"/>
      <c r="K217" s="375"/>
      <c r="L217" s="375"/>
      <c r="M217" s="373"/>
      <c r="N217" s="373"/>
      <c r="O217" s="376"/>
    </row>
    <row r="218" spans="1:15" ht="15.6">
      <c r="A218" s="378" t="s">
        <v>174</v>
      </c>
      <c r="B218" s="349"/>
      <c r="C218" s="349" t="s">
        <v>410</v>
      </c>
      <c r="D218" s="349"/>
      <c r="E218" s="363">
        <f>K14/12</f>
        <v>8333.3333333333339</v>
      </c>
      <c r="F218" s="363"/>
      <c r="G218" s="379">
        <f>M14</f>
        <v>5.7000000000000002E-3</v>
      </c>
      <c r="H218" s="379"/>
      <c r="I218" s="824">
        <v>12</v>
      </c>
      <c r="J218" s="349"/>
      <c r="K218" s="363">
        <f t="shared" ref="K218:K229" si="49">G218*E218*I218*-1</f>
        <v>-570.00000000000011</v>
      </c>
      <c r="L218" s="363"/>
      <c r="M218" s="363"/>
      <c r="N218" s="363"/>
      <c r="O218" s="380">
        <f t="shared" ref="O218:O229" si="50">(-K218+E218)*-1</f>
        <v>-8903.3333333333339</v>
      </c>
    </row>
    <row r="219" spans="1:15" ht="15.6">
      <c r="A219" s="378" t="s">
        <v>173</v>
      </c>
      <c r="B219" s="349"/>
      <c r="C219" s="349" t="str">
        <f t="shared" ref="C219:C229" si="51">C218</f>
        <v>Year 2018</v>
      </c>
      <c r="D219" s="349"/>
      <c r="E219" s="363">
        <f t="shared" ref="E219:E229" si="52">+E218</f>
        <v>8333.3333333333339</v>
      </c>
      <c r="F219" s="363"/>
      <c r="G219" s="379">
        <f t="shared" ref="G219:G229" si="53">+G218</f>
        <v>5.7000000000000002E-3</v>
      </c>
      <c r="H219" s="379"/>
      <c r="I219" s="825">
        <f t="shared" ref="I219:I229" si="54">+I218-1</f>
        <v>11</v>
      </c>
      <c r="J219" s="381"/>
      <c r="K219" s="363">
        <f t="shared" si="49"/>
        <v>-522.50000000000011</v>
      </c>
      <c r="L219" s="363"/>
      <c r="M219" s="363"/>
      <c r="N219" s="363"/>
      <c r="O219" s="380">
        <f t="shared" si="50"/>
        <v>-8855.8333333333339</v>
      </c>
    </row>
    <row r="220" spans="1:15" ht="15.6">
      <c r="A220" s="378" t="s">
        <v>172</v>
      </c>
      <c r="B220" s="349"/>
      <c r="C220" s="349" t="str">
        <f t="shared" si="51"/>
        <v>Year 2018</v>
      </c>
      <c r="D220" s="349"/>
      <c r="E220" s="363">
        <f t="shared" si="52"/>
        <v>8333.3333333333339</v>
      </c>
      <c r="F220" s="363"/>
      <c r="G220" s="379">
        <f t="shared" si="53"/>
        <v>5.7000000000000002E-3</v>
      </c>
      <c r="H220" s="379"/>
      <c r="I220" s="825">
        <f t="shared" si="54"/>
        <v>10</v>
      </c>
      <c r="J220" s="381"/>
      <c r="K220" s="363">
        <f t="shared" si="49"/>
        <v>-475.00000000000006</v>
      </c>
      <c r="L220" s="363"/>
      <c r="M220" s="363"/>
      <c r="N220" s="363"/>
      <c r="O220" s="380">
        <f t="shared" si="50"/>
        <v>-8808.3333333333339</v>
      </c>
    </row>
    <row r="221" spans="1:15" ht="15.6">
      <c r="A221" s="378" t="s">
        <v>155</v>
      </c>
      <c r="B221" s="349"/>
      <c r="C221" s="349" t="str">
        <f t="shared" si="51"/>
        <v>Year 2018</v>
      </c>
      <c r="D221" s="349"/>
      <c r="E221" s="363">
        <f t="shared" si="52"/>
        <v>8333.3333333333339</v>
      </c>
      <c r="F221" s="363"/>
      <c r="G221" s="379">
        <f t="shared" si="53"/>
        <v>5.7000000000000002E-3</v>
      </c>
      <c r="H221" s="379"/>
      <c r="I221" s="825">
        <f t="shared" si="54"/>
        <v>9</v>
      </c>
      <c r="J221" s="381"/>
      <c r="K221" s="363">
        <f t="shared" si="49"/>
        <v>-427.50000000000006</v>
      </c>
      <c r="L221" s="363"/>
      <c r="M221" s="363"/>
      <c r="N221" s="363"/>
      <c r="O221" s="380">
        <f t="shared" si="50"/>
        <v>-8760.8333333333339</v>
      </c>
    </row>
    <row r="222" spans="1:15" ht="15.6">
      <c r="A222" s="378" t="s">
        <v>152</v>
      </c>
      <c r="B222" s="349"/>
      <c r="C222" s="349" t="str">
        <f t="shared" si="51"/>
        <v>Year 2018</v>
      </c>
      <c r="D222" s="349"/>
      <c r="E222" s="363">
        <f t="shared" si="52"/>
        <v>8333.3333333333339</v>
      </c>
      <c r="F222" s="363"/>
      <c r="G222" s="379">
        <f t="shared" si="53"/>
        <v>5.7000000000000002E-3</v>
      </c>
      <c r="H222" s="379"/>
      <c r="I222" s="825">
        <f t="shared" si="54"/>
        <v>8</v>
      </c>
      <c r="J222" s="381"/>
      <c r="K222" s="363">
        <f t="shared" si="49"/>
        <v>-380.00000000000006</v>
      </c>
      <c r="L222" s="363"/>
      <c r="M222" s="363"/>
      <c r="N222" s="363"/>
      <c r="O222" s="380">
        <f t="shared" si="50"/>
        <v>-8713.3333333333339</v>
      </c>
    </row>
    <row r="223" spans="1:15" ht="15.6">
      <c r="A223" s="378" t="s">
        <v>277</v>
      </c>
      <c r="B223" s="349"/>
      <c r="C223" s="349" t="str">
        <f t="shared" si="51"/>
        <v>Year 2018</v>
      </c>
      <c r="D223" s="349"/>
      <c r="E223" s="363">
        <f t="shared" si="52"/>
        <v>8333.3333333333339</v>
      </c>
      <c r="F223" s="363"/>
      <c r="G223" s="379">
        <f t="shared" si="53"/>
        <v>5.7000000000000002E-3</v>
      </c>
      <c r="H223" s="379"/>
      <c r="I223" s="825">
        <f t="shared" si="54"/>
        <v>7</v>
      </c>
      <c r="J223" s="381"/>
      <c r="K223" s="363">
        <f t="shared" si="49"/>
        <v>-332.50000000000006</v>
      </c>
      <c r="L223" s="363"/>
      <c r="M223" s="363"/>
      <c r="N223" s="363"/>
      <c r="O223" s="380">
        <f t="shared" si="50"/>
        <v>-8665.8333333333339</v>
      </c>
    </row>
    <row r="224" spans="1:15" ht="15.6">
      <c r="A224" s="378" t="s">
        <v>170</v>
      </c>
      <c r="B224" s="349"/>
      <c r="C224" s="349" t="str">
        <f t="shared" si="51"/>
        <v>Year 2018</v>
      </c>
      <c r="D224" s="349"/>
      <c r="E224" s="363">
        <f t="shared" si="52"/>
        <v>8333.3333333333339</v>
      </c>
      <c r="F224" s="363"/>
      <c r="G224" s="379">
        <f t="shared" si="53"/>
        <v>5.7000000000000002E-3</v>
      </c>
      <c r="H224" s="379"/>
      <c r="I224" s="825">
        <f t="shared" si="54"/>
        <v>6</v>
      </c>
      <c r="J224" s="381"/>
      <c r="K224" s="363">
        <f t="shared" si="49"/>
        <v>-285.00000000000006</v>
      </c>
      <c r="L224" s="363"/>
      <c r="M224" s="363"/>
      <c r="N224" s="363"/>
      <c r="O224" s="380">
        <f t="shared" si="50"/>
        <v>-8618.3333333333339</v>
      </c>
    </row>
    <row r="225" spans="1:15" ht="15.6">
      <c r="A225" s="378" t="s">
        <v>169</v>
      </c>
      <c r="B225" s="349"/>
      <c r="C225" s="349" t="str">
        <f t="shared" si="51"/>
        <v>Year 2018</v>
      </c>
      <c r="D225" s="349"/>
      <c r="E225" s="363">
        <f t="shared" si="52"/>
        <v>8333.3333333333339</v>
      </c>
      <c r="F225" s="363"/>
      <c r="G225" s="379">
        <f t="shared" si="53"/>
        <v>5.7000000000000002E-3</v>
      </c>
      <c r="H225" s="379"/>
      <c r="I225" s="825">
        <f t="shared" si="54"/>
        <v>5</v>
      </c>
      <c r="J225" s="381"/>
      <c r="K225" s="363">
        <f t="shared" si="49"/>
        <v>-237.50000000000003</v>
      </c>
      <c r="L225" s="363"/>
      <c r="M225" s="363"/>
      <c r="N225" s="363"/>
      <c r="O225" s="380">
        <f t="shared" si="50"/>
        <v>-8570.8333333333339</v>
      </c>
    </row>
    <row r="226" spans="1:15" ht="15.6">
      <c r="A226" s="378" t="s">
        <v>168</v>
      </c>
      <c r="B226" s="349"/>
      <c r="C226" s="349" t="str">
        <f t="shared" si="51"/>
        <v>Year 2018</v>
      </c>
      <c r="D226" s="349"/>
      <c r="E226" s="363">
        <f t="shared" si="52"/>
        <v>8333.3333333333339</v>
      </c>
      <c r="F226" s="363"/>
      <c r="G226" s="379">
        <f t="shared" si="53"/>
        <v>5.7000000000000002E-3</v>
      </c>
      <c r="H226" s="379"/>
      <c r="I226" s="825">
        <f t="shared" si="54"/>
        <v>4</v>
      </c>
      <c r="J226" s="381"/>
      <c r="K226" s="363">
        <f t="shared" si="49"/>
        <v>-190.00000000000003</v>
      </c>
      <c r="L226" s="363"/>
      <c r="M226" s="363"/>
      <c r="N226" s="363"/>
      <c r="O226" s="380">
        <f t="shared" si="50"/>
        <v>-8523.3333333333339</v>
      </c>
    </row>
    <row r="227" spans="1:15" ht="15.6">
      <c r="A227" s="378" t="s">
        <v>181</v>
      </c>
      <c r="B227" s="349"/>
      <c r="C227" s="349" t="str">
        <f t="shared" si="51"/>
        <v>Year 2018</v>
      </c>
      <c r="D227" s="349"/>
      <c r="E227" s="363">
        <f t="shared" si="52"/>
        <v>8333.3333333333339</v>
      </c>
      <c r="F227" s="363"/>
      <c r="G227" s="379">
        <f t="shared" si="53"/>
        <v>5.7000000000000002E-3</v>
      </c>
      <c r="H227" s="379"/>
      <c r="I227" s="825">
        <f t="shared" si="54"/>
        <v>3</v>
      </c>
      <c r="J227" s="381"/>
      <c r="K227" s="363">
        <f t="shared" si="49"/>
        <v>-142.50000000000003</v>
      </c>
      <c r="L227" s="363"/>
      <c r="M227" s="363"/>
      <c r="N227" s="363"/>
      <c r="O227" s="380">
        <f t="shared" si="50"/>
        <v>-8475.8333333333339</v>
      </c>
    </row>
    <row r="228" spans="1:15" ht="15.6">
      <c r="A228" s="378" t="s">
        <v>166</v>
      </c>
      <c r="B228" s="349"/>
      <c r="C228" s="349" t="str">
        <f t="shared" si="51"/>
        <v>Year 2018</v>
      </c>
      <c r="D228" s="349"/>
      <c r="E228" s="363">
        <f t="shared" si="52"/>
        <v>8333.3333333333339</v>
      </c>
      <c r="F228" s="363"/>
      <c r="G228" s="379">
        <f t="shared" si="53"/>
        <v>5.7000000000000002E-3</v>
      </c>
      <c r="H228" s="379"/>
      <c r="I228" s="825">
        <f t="shared" si="54"/>
        <v>2</v>
      </c>
      <c r="J228" s="381"/>
      <c r="K228" s="363">
        <f t="shared" si="49"/>
        <v>-95.000000000000014</v>
      </c>
      <c r="L228" s="363"/>
      <c r="M228" s="363"/>
      <c r="N228" s="363"/>
      <c r="O228" s="380">
        <f t="shared" si="50"/>
        <v>-8428.3333333333339</v>
      </c>
    </row>
    <row r="229" spans="1:15" ht="15.6">
      <c r="A229" s="378" t="s">
        <v>164</v>
      </c>
      <c r="B229" s="349"/>
      <c r="C229" s="349" t="str">
        <f t="shared" si="51"/>
        <v>Year 2018</v>
      </c>
      <c r="D229" s="349"/>
      <c r="E229" s="363">
        <f t="shared" si="52"/>
        <v>8333.3333333333339</v>
      </c>
      <c r="F229" s="363"/>
      <c r="G229" s="379">
        <f t="shared" si="53"/>
        <v>5.7000000000000002E-3</v>
      </c>
      <c r="H229" s="379"/>
      <c r="I229" s="825">
        <f t="shared" si="54"/>
        <v>1</v>
      </c>
      <c r="J229" s="381"/>
      <c r="K229" s="362">
        <f t="shared" si="49"/>
        <v>-47.500000000000007</v>
      </c>
      <c r="L229" s="363"/>
      <c r="M229" s="363"/>
      <c r="N229" s="363"/>
      <c r="O229" s="380">
        <f t="shared" si="50"/>
        <v>-8380.8333333333339</v>
      </c>
    </row>
    <row r="230" spans="1:15" ht="15.6">
      <c r="A230" s="378"/>
      <c r="B230" s="349"/>
      <c r="C230" s="349"/>
      <c r="D230" s="349"/>
      <c r="E230" s="363"/>
      <c r="F230" s="363"/>
      <c r="G230" s="379"/>
      <c r="H230" s="379"/>
      <c r="I230" s="381"/>
      <c r="J230" s="381"/>
      <c r="K230" s="363">
        <f>SUM(K218:K229)</f>
        <v>-3705.0000000000005</v>
      </c>
      <c r="L230" s="363"/>
      <c r="M230" s="363"/>
      <c r="N230" s="363"/>
      <c r="O230" s="382">
        <f>SUM(O218:O229)</f>
        <v>-103704.99999999999</v>
      </c>
    </row>
    <row r="231" spans="1:15" ht="15.6">
      <c r="A231" s="378"/>
      <c r="B231" s="349"/>
      <c r="C231" s="349"/>
      <c r="D231" s="349"/>
      <c r="E231" s="363"/>
      <c r="F231" s="363"/>
      <c r="G231" s="379"/>
      <c r="H231" s="379"/>
      <c r="I231" s="381"/>
      <c r="J231" s="381"/>
      <c r="K231" s="363"/>
      <c r="L231" s="363"/>
      <c r="M231" s="363"/>
      <c r="N231" s="363"/>
      <c r="O231" s="382"/>
    </row>
    <row r="232" spans="1:15" ht="15.6">
      <c r="A232" s="378"/>
      <c r="B232" s="349"/>
      <c r="C232" s="349"/>
      <c r="D232" s="349"/>
      <c r="E232" s="363"/>
      <c r="F232" s="363"/>
      <c r="G232" s="379"/>
      <c r="H232" s="379"/>
      <c r="I232" s="381"/>
      <c r="J232" s="381"/>
      <c r="K232" s="383" t="s">
        <v>278</v>
      </c>
      <c r="L232" s="363"/>
      <c r="M232" s="363"/>
      <c r="N232" s="363"/>
      <c r="O232" s="382"/>
    </row>
    <row r="233" spans="1:15" ht="15.6">
      <c r="A233" s="378"/>
      <c r="B233" s="349"/>
      <c r="C233" s="349"/>
      <c r="D233" s="349"/>
      <c r="E233" s="363"/>
      <c r="F233" s="363"/>
      <c r="G233" s="379"/>
      <c r="H233" s="379"/>
      <c r="I233" s="381"/>
      <c r="J233" s="381"/>
      <c r="K233" s="383"/>
      <c r="L233" s="363"/>
      <c r="M233" s="363"/>
      <c r="N233" s="363"/>
      <c r="O233" s="382"/>
    </row>
    <row r="234" spans="1:15" ht="15.6">
      <c r="A234" s="378" t="s">
        <v>279</v>
      </c>
      <c r="B234" s="349"/>
      <c r="C234" s="349" t="s">
        <v>528</v>
      </c>
      <c r="D234" s="349"/>
      <c r="E234" s="384">
        <f>O230</f>
        <v>-103704.99999999999</v>
      </c>
      <c r="F234" s="384"/>
      <c r="G234" s="379">
        <f>G229</f>
        <v>5.7000000000000002E-3</v>
      </c>
      <c r="H234" s="379"/>
      <c r="I234" s="824">
        <v>12</v>
      </c>
      <c r="J234" s="349"/>
      <c r="K234" s="363">
        <f>+I234*G234*E234</f>
        <v>-7093.4219999999996</v>
      </c>
      <c r="L234" s="363"/>
      <c r="M234" s="363"/>
      <c r="N234" s="363"/>
      <c r="O234" s="382">
        <f>+E234+K234</f>
        <v>-110798.42199999999</v>
      </c>
    </row>
    <row r="235" spans="1:15" ht="15.6">
      <c r="A235" s="378"/>
      <c r="B235" s="349"/>
      <c r="C235" s="349"/>
      <c r="D235" s="349"/>
      <c r="E235" s="384"/>
      <c r="F235" s="384"/>
      <c r="G235" s="379"/>
      <c r="H235" s="379"/>
      <c r="I235" s="349"/>
      <c r="J235" s="349"/>
      <c r="K235" s="363"/>
      <c r="L235" s="363"/>
      <c r="M235" s="363"/>
      <c r="N235" s="363"/>
      <c r="O235" s="382"/>
    </row>
    <row r="236" spans="1:15" ht="15.6">
      <c r="A236" s="378"/>
      <c r="B236" s="349"/>
      <c r="C236" s="349"/>
      <c r="D236" s="349"/>
      <c r="E236" s="384"/>
      <c r="F236" s="384"/>
      <c r="G236" s="379"/>
      <c r="H236" s="379"/>
      <c r="I236" s="349"/>
      <c r="J236" s="349"/>
      <c r="K236" s="363"/>
      <c r="L236" s="363"/>
      <c r="M236" s="363"/>
      <c r="N236" s="363"/>
      <c r="O236" s="380"/>
    </row>
    <row r="237" spans="1:15" ht="15.6">
      <c r="A237" s="385" t="s">
        <v>280</v>
      </c>
      <c r="B237" s="386"/>
      <c r="C237" s="349"/>
      <c r="D237" s="349"/>
      <c r="E237" s="363"/>
      <c r="F237" s="363"/>
      <c r="G237" s="379"/>
      <c r="H237" s="379"/>
      <c r="I237" s="349"/>
      <c r="J237" s="349"/>
      <c r="K237" s="383" t="s">
        <v>276</v>
      </c>
      <c r="L237" s="383"/>
      <c r="M237" s="363"/>
      <c r="N237" s="363"/>
      <c r="O237" s="380"/>
    </row>
    <row r="238" spans="1:15" ht="15.6">
      <c r="A238" s="378" t="s">
        <v>174</v>
      </c>
      <c r="B238" s="349"/>
      <c r="C238" s="349" t="s">
        <v>529</v>
      </c>
      <c r="D238" s="349"/>
      <c r="E238" s="387">
        <f>-O234</f>
        <v>110798.42199999999</v>
      </c>
      <c r="F238" s="384"/>
      <c r="G238" s="379">
        <f>G234</f>
        <v>5.7000000000000002E-3</v>
      </c>
      <c r="H238" s="379"/>
      <c r="I238" s="349"/>
      <c r="J238" s="349"/>
      <c r="K238" s="363">
        <f t="shared" ref="K238:K249" si="55" xml:space="preserve"> -G238*E238</f>
        <v>-631.55100540000001</v>
      </c>
      <c r="L238" s="363"/>
      <c r="M238" s="363">
        <f>-PMT(G238,12,O234)</f>
        <v>-9578.8563750738922</v>
      </c>
      <c r="N238" s="363"/>
      <c r="O238" s="380">
        <f t="shared" ref="O238:O249" si="56">(+E238+E238*G238+M238)*-1</f>
        <v>-101851.1166303261</v>
      </c>
    </row>
    <row r="239" spans="1:15" ht="15.6">
      <c r="A239" s="378" t="s">
        <v>173</v>
      </c>
      <c r="B239" s="349"/>
      <c r="C239" s="349" t="str">
        <f>+C238</f>
        <v>Year 2020</v>
      </c>
      <c r="D239" s="349"/>
      <c r="E239" s="384">
        <f t="shared" ref="E239:E249" si="57">-O238</f>
        <v>101851.1166303261</v>
      </c>
      <c r="F239" s="384"/>
      <c r="G239" s="379">
        <f t="shared" ref="G239:G249" si="58">+G238</f>
        <v>5.7000000000000002E-3</v>
      </c>
      <c r="H239" s="379"/>
      <c r="I239" s="349"/>
      <c r="J239" s="349"/>
      <c r="K239" s="363">
        <f t="shared" si="55"/>
        <v>-580.55136479285875</v>
      </c>
      <c r="L239" s="363"/>
      <c r="M239" s="363">
        <f t="shared" ref="M239:M249" si="59">M238</f>
        <v>-9578.8563750738922</v>
      </c>
      <c r="N239" s="363"/>
      <c r="O239" s="380">
        <f t="shared" si="56"/>
        <v>-92852.81162004506</v>
      </c>
    </row>
    <row r="240" spans="1:15" ht="15.6">
      <c r="A240" s="378" t="s">
        <v>172</v>
      </c>
      <c r="B240" s="349"/>
      <c r="C240" s="349" t="str">
        <f>+C239</f>
        <v>Year 2020</v>
      </c>
      <c r="D240" s="349"/>
      <c r="E240" s="384">
        <f t="shared" si="57"/>
        <v>92852.81162004506</v>
      </c>
      <c r="F240" s="384"/>
      <c r="G240" s="379">
        <f t="shared" si="58"/>
        <v>5.7000000000000002E-3</v>
      </c>
      <c r="H240" s="379"/>
      <c r="I240" s="349"/>
      <c r="J240" s="349"/>
      <c r="K240" s="363">
        <f t="shared" si="55"/>
        <v>-529.26102623425686</v>
      </c>
      <c r="L240" s="363"/>
      <c r="M240" s="363">
        <f t="shared" si="59"/>
        <v>-9578.8563750738922</v>
      </c>
      <c r="N240" s="363"/>
      <c r="O240" s="380">
        <f t="shared" si="56"/>
        <v>-83803.216271205427</v>
      </c>
    </row>
    <row r="241" spans="1:15" ht="15.6">
      <c r="A241" s="378" t="s">
        <v>155</v>
      </c>
      <c r="B241" s="349"/>
      <c r="C241" s="349" t="str">
        <f>+C240</f>
        <v>Year 2020</v>
      </c>
      <c r="D241" s="349"/>
      <c r="E241" s="384">
        <f t="shared" si="57"/>
        <v>83803.216271205427</v>
      </c>
      <c r="F241" s="384"/>
      <c r="G241" s="379">
        <f t="shared" si="58"/>
        <v>5.7000000000000002E-3</v>
      </c>
      <c r="H241" s="379"/>
      <c r="I241" s="349"/>
      <c r="J241" s="349"/>
      <c r="K241" s="363">
        <f t="shared" si="55"/>
        <v>-477.67833274587093</v>
      </c>
      <c r="L241" s="363"/>
      <c r="M241" s="363">
        <f t="shared" si="59"/>
        <v>-9578.8563750738922</v>
      </c>
      <c r="N241" s="363"/>
      <c r="O241" s="380">
        <f t="shared" si="56"/>
        <v>-74702.038228877398</v>
      </c>
    </row>
    <row r="242" spans="1:15" ht="15.6">
      <c r="A242" s="378" t="s">
        <v>152</v>
      </c>
      <c r="B242" s="349"/>
      <c r="C242" s="349" t="str">
        <f>+C241</f>
        <v>Year 2020</v>
      </c>
      <c r="D242" s="349"/>
      <c r="E242" s="384">
        <f t="shared" si="57"/>
        <v>74702.038228877398</v>
      </c>
      <c r="F242" s="384"/>
      <c r="G242" s="379">
        <f t="shared" si="58"/>
        <v>5.7000000000000002E-3</v>
      </c>
      <c r="H242" s="379"/>
      <c r="I242" s="349"/>
      <c r="J242" s="349"/>
      <c r="K242" s="363">
        <f t="shared" si="55"/>
        <v>-425.80161790460119</v>
      </c>
      <c r="L242" s="363"/>
      <c r="M242" s="363">
        <f t="shared" si="59"/>
        <v>-9578.8563750738922</v>
      </c>
      <c r="N242" s="363"/>
      <c r="O242" s="380">
        <f t="shared" si="56"/>
        <v>-65548.983471708096</v>
      </c>
    </row>
    <row r="243" spans="1:15" ht="15.6">
      <c r="A243" s="378" t="s">
        <v>277</v>
      </c>
      <c r="B243" s="349"/>
      <c r="C243" s="349" t="str">
        <f>C242</f>
        <v>Year 2020</v>
      </c>
      <c r="D243" s="374"/>
      <c r="E243" s="384">
        <f t="shared" si="57"/>
        <v>65548.983471708096</v>
      </c>
      <c r="F243" s="384"/>
      <c r="G243" s="379">
        <f t="shared" si="58"/>
        <v>5.7000000000000002E-3</v>
      </c>
      <c r="H243" s="379"/>
      <c r="I243" s="349"/>
      <c r="J243" s="349"/>
      <c r="K243" s="363">
        <f t="shared" si="55"/>
        <v>-373.62920578873616</v>
      </c>
      <c r="L243" s="363"/>
      <c r="M243" s="363">
        <f t="shared" si="59"/>
        <v>-9578.8563750738922</v>
      </c>
      <c r="N243" s="363"/>
      <c r="O243" s="380">
        <f t="shared" si="56"/>
        <v>-56343.756302422938</v>
      </c>
    </row>
    <row r="244" spans="1:15" ht="15.6">
      <c r="A244" s="378" t="s">
        <v>170</v>
      </c>
      <c r="B244" s="349"/>
      <c r="C244" s="349" t="str">
        <f t="shared" ref="C244:C249" si="60">+C243</f>
        <v>Year 2020</v>
      </c>
      <c r="D244" s="349"/>
      <c r="E244" s="384">
        <f t="shared" si="57"/>
        <v>56343.756302422938</v>
      </c>
      <c r="F244" s="384"/>
      <c r="G244" s="379">
        <f t="shared" si="58"/>
        <v>5.7000000000000002E-3</v>
      </c>
      <c r="H244" s="379"/>
      <c r="I244" s="349"/>
      <c r="J244" s="349"/>
      <c r="K244" s="363">
        <f t="shared" si="55"/>
        <v>-321.15941092381075</v>
      </c>
      <c r="L244" s="363"/>
      <c r="M244" s="363">
        <f t="shared" si="59"/>
        <v>-9578.8563750738922</v>
      </c>
      <c r="N244" s="363"/>
      <c r="O244" s="380">
        <f t="shared" si="56"/>
        <v>-47086.059338272862</v>
      </c>
    </row>
    <row r="245" spans="1:15" ht="15.6">
      <c r="A245" s="378" t="s">
        <v>169</v>
      </c>
      <c r="B245" s="349"/>
      <c r="C245" s="349" t="str">
        <f t="shared" si="60"/>
        <v>Year 2020</v>
      </c>
      <c r="D245" s="349"/>
      <c r="E245" s="384">
        <f t="shared" si="57"/>
        <v>47086.059338272862</v>
      </c>
      <c r="F245" s="384"/>
      <c r="G245" s="379">
        <f t="shared" si="58"/>
        <v>5.7000000000000002E-3</v>
      </c>
      <c r="H245" s="379"/>
      <c r="I245" s="349"/>
      <c r="J245" s="349"/>
      <c r="K245" s="363">
        <f t="shared" si="55"/>
        <v>-268.39053822815532</v>
      </c>
      <c r="L245" s="363"/>
      <c r="M245" s="363">
        <f t="shared" si="59"/>
        <v>-9578.8563750738922</v>
      </c>
      <c r="N245" s="363"/>
      <c r="O245" s="380">
        <f t="shared" si="56"/>
        <v>-37775.593501427124</v>
      </c>
    </row>
    <row r="246" spans="1:15" ht="15.6">
      <c r="A246" s="378" t="s">
        <v>168</v>
      </c>
      <c r="B246" s="349"/>
      <c r="C246" s="349" t="str">
        <f t="shared" si="60"/>
        <v>Year 2020</v>
      </c>
      <c r="D246" s="349"/>
      <c r="E246" s="384">
        <f t="shared" si="57"/>
        <v>37775.593501427124</v>
      </c>
      <c r="F246" s="384"/>
      <c r="G246" s="379">
        <f t="shared" si="58"/>
        <v>5.7000000000000002E-3</v>
      </c>
      <c r="H246" s="379"/>
      <c r="I246" s="349"/>
      <c r="J246" s="349"/>
      <c r="K246" s="363">
        <f t="shared" si="55"/>
        <v>-215.3208829581346</v>
      </c>
      <c r="L246" s="363"/>
      <c r="M246" s="363">
        <f t="shared" si="59"/>
        <v>-9578.8563750738922</v>
      </c>
      <c r="N246" s="363"/>
      <c r="O246" s="380">
        <f t="shared" si="56"/>
        <v>-28412.058009311368</v>
      </c>
    </row>
    <row r="247" spans="1:15" ht="15.6">
      <c r="A247" s="378" t="s">
        <v>181</v>
      </c>
      <c r="B247" s="349"/>
      <c r="C247" s="349" t="str">
        <f t="shared" si="60"/>
        <v>Year 2020</v>
      </c>
      <c r="D247" s="349"/>
      <c r="E247" s="384">
        <f t="shared" si="57"/>
        <v>28412.058009311368</v>
      </c>
      <c r="F247" s="384"/>
      <c r="G247" s="379">
        <f t="shared" si="58"/>
        <v>5.7000000000000002E-3</v>
      </c>
      <c r="H247" s="379"/>
      <c r="I247" s="349"/>
      <c r="J247" s="349"/>
      <c r="K247" s="363">
        <f t="shared" si="55"/>
        <v>-161.94873065307479</v>
      </c>
      <c r="L247" s="363"/>
      <c r="M247" s="363">
        <f t="shared" si="59"/>
        <v>-9578.8563750738922</v>
      </c>
      <c r="N247" s="363"/>
      <c r="O247" s="380">
        <f t="shared" si="56"/>
        <v>-18995.150364890549</v>
      </c>
    </row>
    <row r="248" spans="1:15" ht="15.6">
      <c r="A248" s="378" t="s">
        <v>166</v>
      </c>
      <c r="B248" s="349"/>
      <c r="C248" s="349" t="str">
        <f t="shared" si="60"/>
        <v>Year 2020</v>
      </c>
      <c r="D248" s="349"/>
      <c r="E248" s="384">
        <f t="shared" si="57"/>
        <v>18995.150364890549</v>
      </c>
      <c r="F248" s="384"/>
      <c r="G248" s="379">
        <f t="shared" si="58"/>
        <v>5.7000000000000002E-3</v>
      </c>
      <c r="H248" s="379"/>
      <c r="I248" s="349"/>
      <c r="J248" s="349"/>
      <c r="K248" s="363">
        <f t="shared" si="55"/>
        <v>-108.27235707987613</v>
      </c>
      <c r="L248" s="363"/>
      <c r="M248" s="363">
        <f t="shared" si="59"/>
        <v>-9578.8563750738922</v>
      </c>
      <c r="N248" s="363"/>
      <c r="O248" s="380">
        <f t="shared" si="56"/>
        <v>-9524.566346896534</v>
      </c>
    </row>
    <row r="249" spans="1:15" ht="15.6">
      <c r="A249" s="378" t="s">
        <v>164</v>
      </c>
      <c r="B249" s="349"/>
      <c r="C249" s="349" t="str">
        <f t="shared" si="60"/>
        <v>Year 2020</v>
      </c>
      <c r="D249" s="349"/>
      <c r="E249" s="384">
        <f t="shared" si="57"/>
        <v>9524.566346896534</v>
      </c>
      <c r="F249" s="384"/>
      <c r="G249" s="379">
        <f t="shared" si="58"/>
        <v>5.7000000000000002E-3</v>
      </c>
      <c r="H249" s="379"/>
      <c r="I249" s="349"/>
      <c r="J249" s="349"/>
      <c r="K249" s="362">
        <f t="shared" si="55"/>
        <v>-54.290028177310248</v>
      </c>
      <c r="L249" s="363"/>
      <c r="M249" s="363">
        <f t="shared" si="59"/>
        <v>-9578.8563750738922</v>
      </c>
      <c r="N249" s="363"/>
      <c r="O249" s="380">
        <f t="shared" si="56"/>
        <v>4.7293724492192268E-11</v>
      </c>
    </row>
    <row r="250" spans="1:15" ht="15.6">
      <c r="A250" s="378"/>
      <c r="B250" s="349"/>
      <c r="C250" s="349"/>
      <c r="D250" s="349"/>
      <c r="E250" s="384"/>
      <c r="F250" s="384"/>
      <c r="G250" s="379"/>
      <c r="H250" s="379"/>
      <c r="I250" s="349"/>
      <c r="J250" s="349"/>
      <c r="K250" s="363">
        <f>SUM(K238:K249)</f>
        <v>-4147.8545008866859</v>
      </c>
      <c r="L250" s="363"/>
      <c r="M250" s="363"/>
      <c r="N250" s="363"/>
      <c r="O250" s="380"/>
    </row>
    <row r="251" spans="1:15">
      <c r="A251" s="388"/>
      <c r="B251" s="389"/>
      <c r="C251" s="389"/>
      <c r="D251" s="389"/>
      <c r="E251" s="389"/>
      <c r="F251" s="389"/>
      <c r="G251" s="389"/>
      <c r="H251" s="389"/>
      <c r="I251" s="389"/>
      <c r="J251" s="389"/>
      <c r="K251" s="389"/>
      <c r="L251" s="389"/>
      <c r="M251" s="389"/>
      <c r="N251" s="389"/>
      <c r="O251" s="390"/>
    </row>
    <row r="252" spans="1:15" ht="15.6">
      <c r="A252" s="378" t="s">
        <v>531</v>
      </c>
      <c r="B252" s="349"/>
      <c r="C252" s="389"/>
      <c r="D252" s="389"/>
      <c r="E252" s="389"/>
      <c r="F252" s="389"/>
      <c r="G252" s="389"/>
      <c r="H252" s="389"/>
      <c r="I252" s="389"/>
      <c r="J252" s="389"/>
      <c r="K252" s="389"/>
      <c r="L252" s="389"/>
      <c r="M252" s="391">
        <f>SUM(M238:M249)</f>
        <v>-114946.27650088673</v>
      </c>
      <c r="N252" s="389"/>
      <c r="O252" s="390"/>
    </row>
    <row r="253" spans="1:15" ht="15.6">
      <c r="A253" s="378" t="s">
        <v>282</v>
      </c>
      <c r="B253" s="349"/>
      <c r="C253" s="389"/>
      <c r="D253" s="389"/>
      <c r="E253" s="389"/>
      <c r="F253" s="389"/>
      <c r="G253" s="389"/>
      <c r="H253" s="389"/>
      <c r="I253" s="389"/>
      <c r="J253" s="389"/>
      <c r="K253" s="389"/>
      <c r="L253" s="389"/>
      <c r="M253" s="391">
        <f>K14</f>
        <v>100000</v>
      </c>
      <c r="N253" s="389"/>
      <c r="O253" s="390"/>
    </row>
    <row r="254" spans="1:15" ht="15.6">
      <c r="A254" s="392" t="s">
        <v>283</v>
      </c>
      <c r="B254" s="393"/>
      <c r="C254" s="394"/>
      <c r="D254" s="394"/>
      <c r="E254" s="394"/>
      <c r="F254" s="394"/>
      <c r="G254" s="394"/>
      <c r="H254" s="394"/>
      <c r="I254" s="394"/>
      <c r="J254" s="394"/>
      <c r="K254" s="394"/>
      <c r="L254" s="394"/>
      <c r="M254" s="395">
        <f>(M252+M253)</f>
        <v>-14946.276500886728</v>
      </c>
      <c r="N254" s="394"/>
      <c r="O254" s="396"/>
    </row>
    <row r="256" spans="1:15" ht="15.6">
      <c r="A256" s="349" t="s">
        <v>936</v>
      </c>
    </row>
    <row r="257" spans="1:1" ht="15.6">
      <c r="A257" s="1149" t="s">
        <v>939</v>
      </c>
    </row>
    <row r="258" spans="1:1" ht="15.6">
      <c r="A258" s="403" t="s">
        <v>940</v>
      </c>
    </row>
    <row r="259" spans="1:1">
      <c r="A259" s="400"/>
    </row>
  </sheetData>
  <mergeCells count="12">
    <mergeCell ref="A7:O7"/>
    <mergeCell ref="A25:O25"/>
    <mergeCell ref="G8:K8"/>
    <mergeCell ref="A2:M2"/>
    <mergeCell ref="A4:M4"/>
    <mergeCell ref="A3:M3"/>
    <mergeCell ref="A170:M170"/>
    <mergeCell ref="A75:M75"/>
    <mergeCell ref="A76:M76"/>
    <mergeCell ref="A77:M77"/>
    <mergeCell ref="A168:M168"/>
    <mergeCell ref="A169:M169"/>
  </mergeCells>
  <phoneticPr fontId="64" type="noConversion"/>
  <pageMargins left="0.75" right="0.75" top="1" bottom="1" header="0.5" footer="0.5"/>
  <pageSetup scale="41" orientation="portrait" r:id="rId1"/>
  <headerFooter alignWithMargins="0"/>
  <rowBreaks count="2" manualBreakCount="2">
    <brk id="73" max="16383" man="1"/>
    <brk id="1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zoomScale="60" zoomScaleNormal="100" workbookViewId="0"/>
  </sheetViews>
  <sheetFormatPr defaultRowHeight="15"/>
  <cols>
    <col min="1" max="1" width="7.54296875" customWidth="1"/>
    <col min="2" max="2" width="23.36328125" customWidth="1"/>
    <col min="3" max="3" width="50.90625" customWidth="1"/>
    <col min="4" max="4" width="14.90625" customWidth="1"/>
    <col min="8" max="8" width="23" style="159" customWidth="1"/>
    <col min="9" max="9" width="25.6328125" style="159" customWidth="1"/>
    <col min="10" max="10" width="13.81640625" style="159" customWidth="1"/>
  </cols>
  <sheetData>
    <row r="1" spans="1:19" ht="15.6">
      <c r="H1" s="668"/>
      <c r="I1" s="19"/>
      <c r="J1" s="669"/>
    </row>
    <row r="2" spans="1:19" ht="15.6">
      <c r="H2" s="668"/>
      <c r="I2" s="672"/>
      <c r="J2" s="670"/>
    </row>
    <row r="3" spans="1:19">
      <c r="H3" s="671"/>
      <c r="I3" s="672"/>
      <c r="J3" s="670"/>
    </row>
    <row r="4" spans="1:19">
      <c r="H4" s="671"/>
      <c r="I4" s="672"/>
      <c r="J4" s="670"/>
    </row>
    <row r="5" spans="1:19" ht="17.399999999999999">
      <c r="A5" s="1559" t="s">
        <v>325</v>
      </c>
      <c r="B5" s="1559"/>
      <c r="C5" s="1559"/>
      <c r="D5" s="1559"/>
      <c r="E5" s="1559"/>
      <c r="H5" s="671"/>
      <c r="I5" s="672"/>
      <c r="J5" s="670"/>
    </row>
    <row r="6" spans="1:19" ht="15.6">
      <c r="A6" s="1550" t="str">
        <f>'7 - True-Up'!$A$3</f>
        <v>New York Transco LLC</v>
      </c>
      <c r="B6" s="1550"/>
      <c r="C6" s="1550"/>
      <c r="D6" s="1550"/>
      <c r="E6" s="1550"/>
      <c r="F6" s="545"/>
      <c r="G6" s="545"/>
      <c r="H6" s="671"/>
      <c r="I6" s="673"/>
      <c r="J6" s="670"/>
      <c r="K6" s="545"/>
      <c r="L6" s="545"/>
      <c r="M6" s="545"/>
      <c r="N6" s="545"/>
      <c r="O6" s="545"/>
    </row>
    <row r="7" spans="1:19">
      <c r="A7" s="219"/>
      <c r="B7" s="219"/>
      <c r="C7" s="219"/>
      <c r="D7" s="219"/>
      <c r="E7" s="219"/>
      <c r="H7" s="671"/>
      <c r="I7" s="673"/>
      <c r="J7" s="670"/>
    </row>
    <row r="8" spans="1:19">
      <c r="A8" s="543"/>
      <c r="B8" s="543"/>
      <c r="C8" s="544"/>
      <c r="D8" s="219"/>
      <c r="E8" s="219"/>
      <c r="H8" s="671"/>
      <c r="I8" s="672"/>
      <c r="J8" s="670"/>
    </row>
    <row r="9" spans="1:19" ht="30">
      <c r="A9" s="709"/>
      <c r="B9" s="710" t="s">
        <v>19</v>
      </c>
      <c r="C9" s="536" t="s">
        <v>324</v>
      </c>
      <c r="D9" s="711" t="s">
        <v>21</v>
      </c>
      <c r="E9" s="219"/>
      <c r="H9" s="671"/>
      <c r="I9" s="672"/>
      <c r="J9" s="670"/>
    </row>
    <row r="10" spans="1:19">
      <c r="A10" s="218"/>
      <c r="B10" s="173"/>
      <c r="C10" s="173"/>
      <c r="D10" s="173"/>
      <c r="E10" s="219"/>
      <c r="H10" s="671"/>
      <c r="I10" s="672"/>
      <c r="J10" s="670"/>
    </row>
    <row r="11" spans="1:19" ht="15.6">
      <c r="A11" s="712"/>
      <c r="B11" s="713" t="s">
        <v>20</v>
      </c>
      <c r="C11" s="173"/>
      <c r="D11" s="173"/>
      <c r="E11" s="219"/>
      <c r="H11" s="952"/>
      <c r="I11" s="941"/>
      <c r="J11" s="941"/>
      <c r="K11" s="942"/>
      <c r="L11" s="942"/>
      <c r="M11" s="942"/>
      <c r="N11" s="942"/>
      <c r="O11" s="942"/>
      <c r="P11" s="942"/>
      <c r="Q11" s="941"/>
      <c r="R11" s="941"/>
      <c r="S11" s="335"/>
    </row>
    <row r="12" spans="1:19">
      <c r="A12" s="712"/>
      <c r="B12" s="536"/>
      <c r="C12" s="536"/>
      <c r="D12" s="536"/>
      <c r="E12" s="219"/>
      <c r="H12" s="952"/>
      <c r="M12" s="943"/>
      <c r="N12" s="943"/>
      <c r="O12" s="943"/>
      <c r="P12" s="943"/>
      <c r="Q12" s="943"/>
      <c r="R12" s="942"/>
    </row>
    <row r="13" spans="1:19">
      <c r="A13" s="712">
        <v>1</v>
      </c>
      <c r="B13" s="714">
        <v>350.1</v>
      </c>
      <c r="C13" s="714" t="s">
        <v>423</v>
      </c>
      <c r="D13" s="944">
        <v>1.02</v>
      </c>
      <c r="E13" s="219"/>
      <c r="H13" s="952"/>
      <c r="M13" s="943"/>
      <c r="N13" s="943"/>
      <c r="O13" s="943"/>
      <c r="P13" s="943"/>
      <c r="Q13" s="943"/>
      <c r="R13" s="942"/>
    </row>
    <row r="14" spans="1:19">
      <c r="A14" s="712"/>
      <c r="B14" s="536"/>
      <c r="C14" s="536"/>
      <c r="D14" s="536"/>
      <c r="E14" s="219"/>
      <c r="H14" s="952"/>
      <c r="M14" s="943"/>
      <c r="N14" s="943"/>
      <c r="O14" s="943"/>
      <c r="P14" s="943"/>
      <c r="Q14" s="943"/>
      <c r="R14" s="942"/>
    </row>
    <row r="15" spans="1:19">
      <c r="A15" s="712">
        <f>+A13+1</f>
        <v>2</v>
      </c>
      <c r="B15" s="714">
        <v>352</v>
      </c>
      <c r="C15" s="173" t="s">
        <v>13</v>
      </c>
      <c r="D15" s="944">
        <v>2.0512944654794749</v>
      </c>
      <c r="E15" s="219"/>
      <c r="H15" s="952"/>
      <c r="M15" s="943"/>
      <c r="N15" s="943"/>
      <c r="O15" s="943"/>
      <c r="P15" s="943"/>
      <c r="Q15" s="943"/>
      <c r="R15" s="942"/>
    </row>
    <row r="16" spans="1:19">
      <c r="A16" s="173"/>
      <c r="B16" s="173"/>
      <c r="C16" s="173"/>
      <c r="D16" s="841"/>
      <c r="E16" s="219"/>
      <c r="H16" s="952"/>
      <c r="I16" s="941"/>
      <c r="J16" s="941"/>
      <c r="K16" s="335"/>
      <c r="M16" s="942"/>
      <c r="N16" s="942"/>
      <c r="O16" s="942"/>
      <c r="P16" s="942"/>
      <c r="Q16" s="942"/>
      <c r="R16" s="942"/>
    </row>
    <row r="17" spans="1:18">
      <c r="A17" s="712">
        <f>+A15+1</f>
        <v>3</v>
      </c>
      <c r="B17" s="714">
        <v>353</v>
      </c>
      <c r="C17" s="173" t="s">
        <v>14</v>
      </c>
      <c r="D17" s="944">
        <v>2.2589741689325979</v>
      </c>
      <c r="E17" s="219"/>
      <c r="H17" s="952"/>
      <c r="I17" s="941"/>
      <c r="J17" s="941"/>
      <c r="K17" s="335"/>
      <c r="M17" s="942"/>
      <c r="N17" s="942"/>
      <c r="O17" s="942"/>
      <c r="P17" s="942"/>
      <c r="Q17" s="942"/>
      <c r="R17" s="942"/>
    </row>
    <row r="18" spans="1:18" ht="15.6">
      <c r="A18" s="173"/>
      <c r="B18" s="173"/>
      <c r="C18" s="173"/>
      <c r="D18" s="841"/>
      <c r="E18" s="219"/>
      <c r="H18" s="952"/>
      <c r="I18" s="941"/>
      <c r="J18" s="941"/>
      <c r="M18" s="942"/>
      <c r="N18" s="945"/>
      <c r="O18" s="942"/>
      <c r="P18" s="942"/>
      <c r="Q18" s="943"/>
      <c r="R18" s="942"/>
    </row>
    <row r="19" spans="1:18">
      <c r="A19" s="712">
        <f>+A17+1</f>
        <v>4</v>
      </c>
      <c r="B19" s="714">
        <v>354</v>
      </c>
      <c r="C19" s="173" t="s">
        <v>15</v>
      </c>
      <c r="D19" s="944">
        <v>2.0390574135752702</v>
      </c>
      <c r="E19" s="219"/>
      <c r="H19" s="952"/>
      <c r="I19" s="941"/>
      <c r="J19" s="941"/>
      <c r="M19" s="942"/>
      <c r="N19" s="942"/>
      <c r="O19" s="942"/>
      <c r="P19" s="942"/>
      <c r="Q19" s="943"/>
      <c r="R19" s="335"/>
    </row>
    <row r="20" spans="1:18">
      <c r="A20" s="173"/>
      <c r="B20" s="173"/>
      <c r="C20" s="173"/>
      <c r="D20" s="841"/>
      <c r="E20" s="219"/>
      <c r="H20" s="952"/>
      <c r="I20" s="941"/>
      <c r="J20" s="941"/>
      <c r="M20" s="942"/>
      <c r="N20" s="942"/>
      <c r="O20" s="942"/>
      <c r="P20" s="942"/>
      <c r="Q20" s="943"/>
      <c r="R20" s="335"/>
    </row>
    <row r="21" spans="1:18" ht="15.6">
      <c r="A21" s="712">
        <f>+A19+1</f>
        <v>5</v>
      </c>
      <c r="B21" s="714">
        <v>355</v>
      </c>
      <c r="C21" s="173" t="s">
        <v>16</v>
      </c>
      <c r="D21" s="944">
        <v>2.2370223329824479</v>
      </c>
      <c r="E21" s="219"/>
      <c r="H21" s="952"/>
      <c r="I21" s="941"/>
      <c r="J21" s="941"/>
      <c r="M21" s="942"/>
      <c r="N21" s="945"/>
      <c r="O21" s="942"/>
      <c r="P21" s="942"/>
      <c r="Q21" s="943"/>
      <c r="R21" s="335"/>
    </row>
    <row r="22" spans="1:18" ht="15.6">
      <c r="A22" s="173"/>
      <c r="B22" s="173"/>
      <c r="C22" s="173"/>
      <c r="D22" s="841"/>
      <c r="E22" s="219"/>
      <c r="H22" s="952"/>
      <c r="I22" s="946"/>
      <c r="J22" s="941"/>
      <c r="M22" s="942"/>
      <c r="N22" s="945"/>
      <c r="O22" s="942"/>
      <c r="P22" s="942"/>
      <c r="Q22" s="943"/>
      <c r="R22" s="335"/>
    </row>
    <row r="23" spans="1:18" ht="15.6">
      <c r="A23" s="712">
        <f>+A21+1</f>
        <v>6</v>
      </c>
      <c r="B23" s="714">
        <v>356</v>
      </c>
      <c r="C23" s="173" t="s">
        <v>17</v>
      </c>
      <c r="D23" s="944">
        <v>2.2217023138321017</v>
      </c>
      <c r="E23" s="219"/>
      <c r="H23" s="952"/>
      <c r="I23" s="941"/>
      <c r="J23" s="941"/>
      <c r="M23" s="942"/>
      <c r="N23" s="945"/>
      <c r="O23" s="942"/>
      <c r="P23" s="942"/>
      <c r="Q23" s="943"/>
      <c r="R23" s="335"/>
    </row>
    <row r="24" spans="1:18">
      <c r="A24" s="173"/>
      <c r="B24" s="173"/>
      <c r="C24" s="173"/>
      <c r="D24" s="841"/>
      <c r="E24" s="219"/>
      <c r="H24" s="952"/>
      <c r="J24" s="941"/>
      <c r="M24" s="942"/>
      <c r="N24" s="942"/>
      <c r="O24" s="942"/>
      <c r="P24" s="942"/>
      <c r="Q24" s="943"/>
      <c r="R24" s="335"/>
    </row>
    <row r="25" spans="1:18">
      <c r="A25" s="712">
        <f>+A23+1</f>
        <v>7</v>
      </c>
      <c r="B25" s="714">
        <v>357</v>
      </c>
      <c r="C25" s="941" t="s">
        <v>486</v>
      </c>
      <c r="D25" s="944">
        <v>2.0505266218685785</v>
      </c>
      <c r="E25" s="219"/>
      <c r="H25" s="952"/>
      <c r="I25" s="941"/>
      <c r="J25" s="941"/>
      <c r="K25" s="944"/>
      <c r="M25" s="942"/>
      <c r="N25" s="942"/>
      <c r="O25" s="942"/>
      <c r="P25" s="942"/>
      <c r="Q25" s="943"/>
      <c r="R25" s="335"/>
    </row>
    <row r="26" spans="1:18">
      <c r="A26" s="173"/>
      <c r="B26" s="173"/>
      <c r="C26" s="173"/>
      <c r="D26" s="841"/>
      <c r="E26" s="219"/>
      <c r="H26" s="952"/>
      <c r="I26" s="941"/>
      <c r="J26" s="941"/>
      <c r="K26" s="944"/>
      <c r="M26" s="942"/>
      <c r="N26" s="942"/>
      <c r="O26" s="942"/>
      <c r="P26" s="942"/>
      <c r="Q26" s="943"/>
      <c r="R26" s="335"/>
    </row>
    <row r="27" spans="1:18">
      <c r="A27" s="712">
        <f>+A25+1</f>
        <v>8</v>
      </c>
      <c r="B27" s="714">
        <v>358</v>
      </c>
      <c r="C27" s="173" t="s">
        <v>18</v>
      </c>
      <c r="D27" s="944">
        <v>2.3897472790969565</v>
      </c>
      <c r="E27" s="219"/>
      <c r="H27" s="952"/>
      <c r="I27" s="941"/>
      <c r="J27" s="941"/>
      <c r="M27" s="942"/>
      <c r="N27" s="942"/>
      <c r="O27" s="942"/>
      <c r="P27" s="942"/>
      <c r="Q27" s="943"/>
      <c r="R27" s="335"/>
    </row>
    <row r="28" spans="1:18">
      <c r="A28" s="712"/>
      <c r="B28" s="712"/>
      <c r="C28" s="715"/>
      <c r="D28" s="842"/>
      <c r="E28" s="219"/>
      <c r="H28" s="952"/>
      <c r="I28" s="941"/>
      <c r="J28" s="941"/>
      <c r="M28" s="942"/>
      <c r="N28" s="942"/>
      <c r="O28" s="942"/>
      <c r="P28" s="942"/>
      <c r="Q28" s="943"/>
      <c r="R28" s="335"/>
    </row>
    <row r="29" spans="1:18">
      <c r="A29" s="712">
        <f>+A27+1</f>
        <v>9</v>
      </c>
      <c r="B29" s="714">
        <v>359</v>
      </c>
      <c r="C29" s="941" t="s">
        <v>487</v>
      </c>
      <c r="D29" s="944">
        <v>1.167467491982435</v>
      </c>
      <c r="E29" s="219"/>
      <c r="H29" s="952"/>
      <c r="I29" s="941"/>
      <c r="J29" s="941"/>
      <c r="K29" s="944"/>
      <c r="M29" s="942"/>
      <c r="N29" s="942"/>
      <c r="O29" s="942"/>
      <c r="P29" s="942"/>
      <c r="Q29" s="943"/>
      <c r="R29" s="335"/>
    </row>
    <row r="30" spans="1:18">
      <c r="A30" s="712"/>
      <c r="B30" s="712"/>
      <c r="C30" s="715"/>
      <c r="D30" s="842"/>
      <c r="E30" s="219"/>
      <c r="H30" s="952"/>
      <c r="I30" s="941"/>
      <c r="J30" s="941"/>
      <c r="K30" s="944"/>
      <c r="M30" s="942"/>
      <c r="N30" s="942"/>
      <c r="O30" s="942"/>
      <c r="P30" s="942"/>
      <c r="Q30" s="943"/>
      <c r="R30" s="335"/>
    </row>
    <row r="31" spans="1:18" ht="15.6">
      <c r="A31" s="712">
        <f>+A29+1</f>
        <v>10</v>
      </c>
      <c r="B31" s="1423" t="s">
        <v>978</v>
      </c>
      <c r="C31" s="715" t="s">
        <v>977</v>
      </c>
      <c r="D31" s="1422">
        <v>0</v>
      </c>
      <c r="E31" s="219"/>
      <c r="H31" s="952"/>
      <c r="I31" s="941"/>
      <c r="J31" s="941"/>
      <c r="K31" s="944"/>
      <c r="M31" s="942"/>
      <c r="N31" s="942"/>
      <c r="O31" s="942"/>
      <c r="P31" s="942"/>
      <c r="Q31" s="943"/>
      <c r="R31" s="335"/>
    </row>
    <row r="32" spans="1:18" ht="15.6">
      <c r="A32" s="712"/>
      <c r="B32" s="1423"/>
      <c r="C32" s="715"/>
      <c r="D32" s="1422"/>
      <c r="E32" s="219"/>
      <c r="H32" s="952"/>
      <c r="I32" s="941"/>
      <c r="J32" s="941"/>
      <c r="K32" s="944"/>
      <c r="M32" s="942"/>
      <c r="N32" s="942"/>
      <c r="O32" s="942"/>
      <c r="P32" s="942"/>
      <c r="Q32" s="943"/>
      <c r="R32" s="335"/>
    </row>
    <row r="33" spans="1:18" ht="15.6">
      <c r="A33" s="712">
        <f>+A31+1</f>
        <v>11</v>
      </c>
      <c r="B33" s="1423" t="s">
        <v>979</v>
      </c>
      <c r="C33" s="19" t="s">
        <v>977</v>
      </c>
      <c r="D33" s="1422">
        <v>0</v>
      </c>
      <c r="E33" s="219"/>
      <c r="H33" s="952"/>
      <c r="I33" s="941"/>
      <c r="J33" s="941"/>
      <c r="K33" s="944"/>
      <c r="M33" s="942"/>
      <c r="N33" s="942"/>
      <c r="O33" s="942"/>
      <c r="P33" s="942"/>
      <c r="Q33" s="943"/>
      <c r="R33" s="335"/>
    </row>
    <row r="34" spans="1:18">
      <c r="A34" s="712"/>
      <c r="B34" s="712"/>
      <c r="C34" s="715"/>
      <c r="D34" s="842"/>
      <c r="E34" s="219"/>
      <c r="H34" s="952"/>
      <c r="I34" s="941"/>
      <c r="J34" s="941"/>
      <c r="K34" s="944"/>
      <c r="M34" s="942"/>
      <c r="N34" s="942"/>
      <c r="O34" s="942"/>
      <c r="P34" s="942"/>
      <c r="Q34" s="943"/>
      <c r="R34" s="335"/>
    </row>
    <row r="35" spans="1:18" ht="15.6">
      <c r="A35" s="712"/>
      <c r="B35" s="713" t="s">
        <v>1</v>
      </c>
      <c r="D35" s="711"/>
      <c r="E35" s="219"/>
      <c r="M35" s="942"/>
      <c r="N35" s="942"/>
      <c r="O35" s="942"/>
      <c r="P35" s="942"/>
      <c r="Q35" s="943"/>
      <c r="R35" s="335"/>
    </row>
    <row r="36" spans="1:18" ht="15.6">
      <c r="A36" s="712"/>
      <c r="B36" s="713"/>
      <c r="C36" s="673"/>
      <c r="D36" s="843"/>
      <c r="E36" s="219"/>
      <c r="M36" s="942"/>
      <c r="N36" s="945"/>
      <c r="O36" s="942"/>
      <c r="P36" s="942"/>
      <c r="Q36" s="943"/>
      <c r="R36" s="335"/>
    </row>
    <row r="37" spans="1:18">
      <c r="A37" s="712">
        <v>12</v>
      </c>
      <c r="B37" s="716">
        <v>390</v>
      </c>
      <c r="C37" s="673" t="s">
        <v>3</v>
      </c>
      <c r="D37" s="944">
        <v>3.3616666666666668</v>
      </c>
      <c r="E37" s="219"/>
      <c r="H37" s="952"/>
      <c r="I37" s="941"/>
      <c r="J37" s="941"/>
      <c r="M37" s="942"/>
      <c r="N37" s="942"/>
      <c r="O37" s="942"/>
      <c r="P37" s="942"/>
      <c r="Q37" s="943"/>
      <c r="R37" s="335"/>
    </row>
    <row r="38" spans="1:18">
      <c r="A38" s="712"/>
      <c r="B38" s="716"/>
      <c r="C38" s="673"/>
      <c r="D38" s="843"/>
      <c r="E38" s="219"/>
      <c r="H38" s="952"/>
      <c r="I38" s="941"/>
      <c r="J38" s="941"/>
      <c r="K38" s="335"/>
      <c r="M38" s="942"/>
      <c r="N38" s="942"/>
      <c r="O38" s="942"/>
      <c r="P38" s="942"/>
      <c r="Q38" s="943"/>
      <c r="R38" s="335"/>
    </row>
    <row r="39" spans="1:18">
      <c r="A39" s="712">
        <f>+A37+1</f>
        <v>13</v>
      </c>
      <c r="B39" s="716">
        <v>391</v>
      </c>
      <c r="C39" s="673" t="s">
        <v>4</v>
      </c>
      <c r="D39" s="944">
        <v>5.242</v>
      </c>
      <c r="E39" s="219"/>
      <c r="H39" s="952"/>
      <c r="I39" s="941"/>
      <c r="J39" s="941"/>
      <c r="K39" s="335"/>
      <c r="M39" s="942"/>
      <c r="N39" s="942"/>
      <c r="O39" s="942"/>
      <c r="P39" s="942"/>
      <c r="Q39" s="943"/>
      <c r="R39" s="335"/>
    </row>
    <row r="40" spans="1:18">
      <c r="A40" s="712"/>
      <c r="B40" s="716"/>
      <c r="C40" s="673"/>
      <c r="D40" s="843"/>
      <c r="E40" s="219"/>
      <c r="M40" s="942"/>
      <c r="N40" s="942"/>
      <c r="O40" s="942"/>
      <c r="P40" s="942"/>
      <c r="Q40" s="943"/>
      <c r="R40" s="335"/>
    </row>
    <row r="41" spans="1:18" ht="15.6">
      <c r="A41" s="712">
        <f>+A39+1</f>
        <v>14</v>
      </c>
      <c r="B41" s="716">
        <v>392</v>
      </c>
      <c r="C41" s="673" t="s">
        <v>5</v>
      </c>
      <c r="D41" s="944">
        <v>9.7800000000000011</v>
      </c>
      <c r="E41" s="219"/>
      <c r="M41" s="942"/>
      <c r="N41" s="945"/>
      <c r="O41" s="942"/>
      <c r="P41" s="942"/>
      <c r="Q41" s="943"/>
      <c r="R41" s="335"/>
    </row>
    <row r="42" spans="1:18" ht="15.6">
      <c r="A42" s="712"/>
      <c r="B42" s="716"/>
      <c r="C42" s="673"/>
      <c r="D42" s="843"/>
      <c r="E42" s="219"/>
      <c r="H42" s="952"/>
      <c r="I42" s="941"/>
      <c r="J42" s="941"/>
      <c r="K42" s="335"/>
      <c r="M42" s="942"/>
      <c r="N42" s="945"/>
      <c r="O42" s="942"/>
      <c r="P42" s="942"/>
      <c r="Q42" s="942"/>
      <c r="R42" s="335"/>
    </row>
    <row r="43" spans="1:18">
      <c r="A43" s="712">
        <f>+A41+1</f>
        <v>15</v>
      </c>
      <c r="B43" s="716">
        <v>393</v>
      </c>
      <c r="C43" s="673" t="s">
        <v>6</v>
      </c>
      <c r="D43" s="944">
        <v>3.9125000000000005</v>
      </c>
      <c r="E43" s="219"/>
      <c r="H43" s="952"/>
      <c r="I43" s="941"/>
      <c r="J43" s="941"/>
      <c r="K43" s="335"/>
      <c r="M43" s="942"/>
      <c r="N43" s="942"/>
      <c r="O43" s="942"/>
      <c r="P43" s="942"/>
      <c r="Q43" s="942"/>
      <c r="R43" s="335"/>
    </row>
    <row r="44" spans="1:18">
      <c r="A44" s="712"/>
      <c r="B44" s="716"/>
      <c r="C44" s="712"/>
      <c r="D44" s="843"/>
      <c r="E44" s="219"/>
      <c r="H44" s="952"/>
      <c r="I44" s="941"/>
      <c r="J44" s="941"/>
      <c r="M44" s="947"/>
      <c r="N44" s="942"/>
      <c r="O44" s="942"/>
      <c r="P44" s="942"/>
      <c r="Q44" s="943"/>
      <c r="R44" s="942"/>
    </row>
    <row r="45" spans="1:18">
      <c r="A45" s="712">
        <f>+A43+1</f>
        <v>16</v>
      </c>
      <c r="B45" s="716">
        <v>394</v>
      </c>
      <c r="C45" s="673" t="s">
        <v>7</v>
      </c>
      <c r="D45" s="944">
        <v>4.6760000000000002</v>
      </c>
      <c r="E45" s="219"/>
      <c r="H45" s="952"/>
      <c r="I45" s="941"/>
      <c r="J45" s="941"/>
      <c r="K45" s="364" t="s">
        <v>29</v>
      </c>
      <c r="M45" s="948"/>
      <c r="N45" s="942"/>
      <c r="O45" s="942"/>
      <c r="P45" s="942"/>
      <c r="Q45" s="943"/>
      <c r="R45" s="942"/>
    </row>
    <row r="46" spans="1:18">
      <c r="A46" s="712"/>
      <c r="B46" s="716"/>
      <c r="C46" s="673"/>
      <c r="D46" s="843"/>
      <c r="E46" s="219"/>
      <c r="H46" s="952"/>
      <c r="I46" s="941"/>
      <c r="J46" s="941"/>
      <c r="K46" s="944"/>
      <c r="M46" s="949"/>
      <c r="N46" s="942"/>
      <c r="O46" s="942"/>
      <c r="P46" s="943"/>
      <c r="Q46" s="943"/>
      <c r="R46" s="942"/>
    </row>
    <row r="47" spans="1:18">
      <c r="A47" s="712">
        <f>+A45+1</f>
        <v>17</v>
      </c>
      <c r="B47" s="716">
        <v>395</v>
      </c>
      <c r="C47" s="673" t="s">
        <v>8</v>
      </c>
      <c r="D47" s="944">
        <v>3.746</v>
      </c>
      <c r="E47" s="219"/>
      <c r="H47" s="952"/>
      <c r="I47" s="941"/>
      <c r="J47" s="941"/>
      <c r="K47" s="944"/>
      <c r="M47" s="949"/>
      <c r="N47" s="942"/>
      <c r="O47" s="942"/>
      <c r="P47" s="943"/>
      <c r="Q47" s="943"/>
      <c r="R47" s="942"/>
    </row>
    <row r="48" spans="1:18">
      <c r="A48" s="712"/>
      <c r="B48" s="716"/>
      <c r="C48" s="673"/>
      <c r="D48" s="843"/>
      <c r="E48" s="219"/>
      <c r="H48" s="952"/>
      <c r="I48" s="941"/>
      <c r="J48" s="941"/>
      <c r="K48" s="944"/>
      <c r="M48" s="949"/>
      <c r="N48" s="942"/>
      <c r="O48" s="942"/>
      <c r="P48" s="943"/>
      <c r="Q48" s="943"/>
      <c r="R48" s="942"/>
    </row>
    <row r="49" spans="1:18">
      <c r="A49" s="712">
        <f>+A47+1</f>
        <v>18</v>
      </c>
      <c r="B49" s="716">
        <v>396</v>
      </c>
      <c r="C49" s="673" t="s">
        <v>9</v>
      </c>
      <c r="D49" s="944">
        <v>7.62</v>
      </c>
      <c r="E49" s="219"/>
      <c r="H49" s="952"/>
      <c r="I49" s="941"/>
      <c r="J49" s="941"/>
      <c r="K49" s="335"/>
      <c r="M49" s="947"/>
      <c r="N49" s="942"/>
      <c r="O49" s="942"/>
      <c r="P49" s="943"/>
      <c r="Q49" s="943"/>
      <c r="R49" s="942"/>
    </row>
    <row r="50" spans="1:18">
      <c r="A50" s="712"/>
      <c r="B50" s="716"/>
      <c r="C50" s="673"/>
      <c r="D50" s="843"/>
      <c r="E50" s="219"/>
      <c r="H50" s="952"/>
      <c r="I50" s="941"/>
      <c r="J50" s="941"/>
      <c r="M50" s="947"/>
      <c r="N50" s="942"/>
      <c r="O50" s="942"/>
      <c r="P50" s="943"/>
      <c r="Q50" s="943"/>
      <c r="R50" s="942"/>
    </row>
    <row r="51" spans="1:18">
      <c r="A51" s="712">
        <f>+A49+1</f>
        <v>19</v>
      </c>
      <c r="B51" s="716">
        <v>397</v>
      </c>
      <c r="C51" s="673" t="s">
        <v>10</v>
      </c>
      <c r="D51" s="944">
        <v>3.8200000000000003</v>
      </c>
      <c r="E51" s="219"/>
      <c r="H51" s="952"/>
      <c r="I51" s="941"/>
      <c r="J51" s="941"/>
      <c r="M51" s="947"/>
      <c r="N51" s="942"/>
      <c r="O51" s="942"/>
      <c r="P51" s="943"/>
      <c r="Q51" s="943"/>
      <c r="R51" s="942"/>
    </row>
    <row r="52" spans="1:18">
      <c r="A52" s="712"/>
      <c r="B52" s="716"/>
      <c r="C52" s="673"/>
      <c r="E52" s="219"/>
      <c r="H52" s="952"/>
      <c r="I52" s="941"/>
      <c r="J52" s="941"/>
      <c r="M52" s="947"/>
      <c r="N52" s="942"/>
      <c r="O52" s="942"/>
      <c r="P52" s="943"/>
      <c r="Q52" s="943"/>
      <c r="R52" s="942"/>
    </row>
    <row r="53" spans="1:18">
      <c r="A53" s="712">
        <f>+A51+1</f>
        <v>20</v>
      </c>
      <c r="B53" s="716">
        <v>398</v>
      </c>
      <c r="C53" s="673" t="s">
        <v>11</v>
      </c>
      <c r="D53" s="944">
        <v>4.548</v>
      </c>
      <c r="H53" s="952"/>
      <c r="I53" s="941"/>
      <c r="J53" s="941"/>
      <c r="M53" s="947"/>
      <c r="N53" s="942"/>
      <c r="O53" s="942"/>
      <c r="P53" s="943"/>
      <c r="Q53" s="943"/>
      <c r="R53" s="942"/>
    </row>
    <row r="54" spans="1:18" ht="15.6">
      <c r="A54" s="712"/>
      <c r="B54" s="173"/>
      <c r="C54" s="173"/>
      <c r="D54" s="173"/>
      <c r="H54" s="952"/>
      <c r="I54" s="941"/>
      <c r="J54" s="941"/>
      <c r="M54" s="947"/>
      <c r="N54" s="942"/>
      <c r="O54" s="945"/>
      <c r="P54" s="943"/>
      <c r="Q54" s="951"/>
      <c r="R54" s="945"/>
    </row>
    <row r="55" spans="1:18" ht="15.6">
      <c r="A55" s="712"/>
      <c r="B55" s="713" t="s">
        <v>2</v>
      </c>
      <c r="C55" s="673"/>
      <c r="D55" s="711"/>
      <c r="H55" s="952"/>
      <c r="I55" s="941"/>
      <c r="J55" s="941"/>
      <c r="M55" s="947"/>
      <c r="N55" s="942"/>
      <c r="O55" s="950"/>
      <c r="P55" s="943"/>
      <c r="Q55" s="951"/>
      <c r="R55" s="945"/>
    </row>
    <row r="56" spans="1:18" ht="15.6">
      <c r="A56" s="712"/>
      <c r="B56" s="716"/>
      <c r="C56" s="673"/>
      <c r="D56" s="843"/>
      <c r="H56" s="952"/>
      <c r="I56" s="946"/>
      <c r="J56" s="941"/>
      <c r="K56" s="946"/>
      <c r="M56" s="947"/>
      <c r="N56" s="942"/>
      <c r="O56" s="945"/>
      <c r="P56" s="951"/>
      <c r="Q56" s="951"/>
      <c r="R56" s="945"/>
    </row>
    <row r="57" spans="1:18" ht="15.6">
      <c r="A57" s="712">
        <f>+A53+1</f>
        <v>21</v>
      </c>
      <c r="B57" s="716">
        <v>303</v>
      </c>
      <c r="C57" s="673" t="s">
        <v>12</v>
      </c>
      <c r="D57" s="843"/>
      <c r="H57" s="952"/>
      <c r="I57" s="946"/>
      <c r="J57" s="941"/>
      <c r="K57" s="946"/>
      <c r="M57" s="947"/>
      <c r="N57" s="942"/>
      <c r="O57" s="945"/>
      <c r="P57" s="951"/>
      <c r="Q57" s="951"/>
      <c r="R57" s="945"/>
    </row>
    <row r="58" spans="1:18" ht="15.6">
      <c r="A58" s="712"/>
      <c r="C58" s="941" t="s">
        <v>681</v>
      </c>
      <c r="D58" s="944">
        <v>20</v>
      </c>
      <c r="F58" s="1019"/>
      <c r="H58" s="952"/>
      <c r="I58" s="946"/>
      <c r="J58" s="941"/>
      <c r="K58" s="946"/>
      <c r="M58" s="947"/>
      <c r="N58" s="942"/>
      <c r="O58" s="945"/>
      <c r="P58" s="951"/>
      <c r="Q58" s="951"/>
      <c r="R58" s="945"/>
    </row>
    <row r="59" spans="1:18" ht="15.6">
      <c r="A59" s="712"/>
      <c r="C59" s="941" t="s">
        <v>682</v>
      </c>
      <c r="D59" s="944">
        <v>14.285714285714286</v>
      </c>
      <c r="H59" s="952"/>
      <c r="I59" s="946"/>
      <c r="J59" s="941"/>
      <c r="K59" s="946"/>
      <c r="M59" s="947"/>
      <c r="N59" s="942"/>
      <c r="O59" s="945"/>
      <c r="P59" s="951"/>
      <c r="Q59" s="951"/>
      <c r="R59" s="945"/>
    </row>
    <row r="60" spans="1:18" ht="15.6">
      <c r="A60" s="712"/>
      <c r="C60" s="941" t="s">
        <v>683</v>
      </c>
      <c r="D60" s="944">
        <v>10</v>
      </c>
      <c r="H60" s="952"/>
      <c r="I60" s="946"/>
      <c r="J60" s="941"/>
      <c r="K60" s="946"/>
      <c r="M60" s="947"/>
      <c r="N60" s="942"/>
      <c r="O60" s="945"/>
      <c r="P60" s="951"/>
      <c r="Q60" s="951"/>
      <c r="R60" s="945"/>
    </row>
    <row r="61" spans="1:18" ht="15.6">
      <c r="A61" s="712"/>
      <c r="C61" s="941" t="s">
        <v>684</v>
      </c>
      <c r="D61" s="944">
        <v>6.67</v>
      </c>
      <c r="H61" s="952"/>
      <c r="I61" s="946"/>
      <c r="J61" s="941"/>
      <c r="K61" s="946"/>
      <c r="M61" s="947"/>
      <c r="N61" s="942"/>
      <c r="O61" s="945"/>
      <c r="P61" s="951"/>
      <c r="Q61" s="951"/>
      <c r="R61" s="945"/>
    </row>
    <row r="62" spans="1:18" ht="15.6">
      <c r="A62" s="173"/>
      <c r="B62" s="173"/>
      <c r="C62" s="173" t="s">
        <v>424</v>
      </c>
      <c r="D62" s="854" t="s">
        <v>204</v>
      </c>
      <c r="H62" s="952"/>
      <c r="I62" s="946"/>
      <c r="J62" s="941"/>
      <c r="K62" s="946"/>
      <c r="M62" s="947"/>
      <c r="N62" s="942"/>
      <c r="O62" s="945"/>
      <c r="P62" s="951"/>
      <c r="Q62" s="951"/>
      <c r="R62" s="945"/>
    </row>
    <row r="63" spans="1:18" ht="15.6">
      <c r="A63" s="497"/>
      <c r="B63" s="497"/>
      <c r="C63" s="497"/>
      <c r="D63" s="497"/>
      <c r="H63" s="952"/>
      <c r="I63" s="946"/>
      <c r="J63" s="941"/>
      <c r="K63" s="946"/>
      <c r="M63" s="947"/>
      <c r="N63" s="942"/>
      <c r="O63" s="945"/>
      <c r="P63" s="951"/>
      <c r="Q63" s="951"/>
      <c r="R63" s="945"/>
    </row>
    <row r="64" spans="1:18" ht="15.6">
      <c r="A64" s="717" t="s">
        <v>812</v>
      </c>
      <c r="B64" s="497"/>
      <c r="C64" s="497"/>
      <c r="D64" s="497"/>
      <c r="H64" s="952"/>
      <c r="I64" s="946"/>
      <c r="J64" s="941"/>
      <c r="K64" s="946"/>
      <c r="M64" s="947"/>
      <c r="N64" s="942"/>
      <c r="O64" s="948"/>
      <c r="P64" s="951"/>
      <c r="Q64" s="951"/>
      <c r="R64" s="945"/>
    </row>
    <row r="65" spans="1:19" ht="15.6">
      <c r="H65" s="952"/>
      <c r="I65" s="946"/>
      <c r="J65" s="941"/>
      <c r="K65" s="946"/>
      <c r="M65" s="947"/>
      <c r="N65" s="942"/>
      <c r="O65" s="948"/>
      <c r="P65" s="951"/>
      <c r="Q65" s="951"/>
      <c r="R65" s="945"/>
    </row>
    <row r="66" spans="1:19" ht="15.6">
      <c r="A66" t="s">
        <v>427</v>
      </c>
      <c r="H66" s="952"/>
      <c r="I66" s="941"/>
      <c r="J66" s="941"/>
      <c r="M66" s="947"/>
      <c r="N66" s="942"/>
      <c r="O66" s="945"/>
      <c r="P66" s="943"/>
      <c r="Q66" s="951"/>
      <c r="R66" s="945"/>
    </row>
    <row r="67" spans="1:19" ht="15.6">
      <c r="A67" t="s">
        <v>425</v>
      </c>
      <c r="H67" s="941"/>
      <c r="I67" s="941"/>
      <c r="J67" s="941"/>
      <c r="K67" s="335"/>
      <c r="M67" s="942"/>
      <c r="N67" s="942"/>
      <c r="O67" s="945"/>
      <c r="P67" s="945"/>
      <c r="Q67" s="945"/>
      <c r="R67" s="945"/>
    </row>
    <row r="68" spans="1:19">
      <c r="A68" t="s">
        <v>426</v>
      </c>
      <c r="H68" s="941"/>
      <c r="I68" s="941"/>
      <c r="J68" s="941"/>
      <c r="K68" s="335"/>
      <c r="M68" s="942"/>
      <c r="N68" s="942"/>
      <c r="O68" s="942"/>
      <c r="P68" s="942"/>
      <c r="Q68" s="941"/>
      <c r="R68" s="941"/>
    </row>
    <row r="69" spans="1:19">
      <c r="A69" t="s">
        <v>813</v>
      </c>
      <c r="H69" s="941"/>
      <c r="I69" s="941"/>
      <c r="J69" s="941"/>
      <c r="K69" s="335"/>
      <c r="M69" s="952"/>
      <c r="N69" s="954"/>
      <c r="O69" s="954"/>
      <c r="P69" s="942"/>
      <c r="Q69" s="955"/>
      <c r="R69" s="941"/>
    </row>
    <row r="70" spans="1:19" ht="15.6">
      <c r="H70" s="941"/>
      <c r="I70" s="941"/>
      <c r="J70" s="941"/>
      <c r="K70" s="952"/>
      <c r="L70" s="953"/>
      <c r="M70" s="952"/>
      <c r="N70" s="954"/>
      <c r="O70" s="954"/>
      <c r="P70" s="956"/>
      <c r="Q70" s="955"/>
      <c r="R70" s="941"/>
      <c r="S70" s="335"/>
    </row>
    <row r="71" spans="1:19" ht="15.6">
      <c r="H71" s="941"/>
      <c r="I71" s="941"/>
      <c r="J71" s="941"/>
      <c r="K71" s="957"/>
      <c r="L71" s="957"/>
      <c r="M71" s="957"/>
      <c r="N71" s="957"/>
      <c r="O71" s="957"/>
      <c r="P71" s="956"/>
      <c r="Q71" s="955"/>
      <c r="R71" s="941"/>
      <c r="S71" s="335"/>
    </row>
    <row r="72" spans="1:19">
      <c r="J72" s="674"/>
    </row>
    <row r="73" spans="1:19">
      <c r="J73" s="674"/>
    </row>
    <row r="74" spans="1:19">
      <c r="J74" s="674"/>
    </row>
    <row r="75" spans="1:19">
      <c r="J75" s="674"/>
    </row>
    <row r="76" spans="1:19">
      <c r="J76" s="674"/>
    </row>
    <row r="77" spans="1:19">
      <c r="J77" s="674"/>
    </row>
    <row r="78" spans="1:19">
      <c r="J78" s="674"/>
    </row>
    <row r="79" spans="1:19">
      <c r="J79" s="674"/>
    </row>
    <row r="80" spans="1:19">
      <c r="J80" s="674"/>
    </row>
    <row r="81" spans="10:10">
      <c r="J81" s="674"/>
    </row>
    <row r="82" spans="10:10">
      <c r="J82" s="674"/>
    </row>
    <row r="83" spans="10:10">
      <c r="J83" s="674"/>
    </row>
    <row r="84" spans="10:10">
      <c r="J84" s="674"/>
    </row>
    <row r="85" spans="10:10">
      <c r="J85" s="674"/>
    </row>
    <row r="86" spans="10:10">
      <c r="J86" s="674"/>
    </row>
    <row r="87" spans="10:10">
      <c r="J87" s="674"/>
    </row>
    <row r="88" spans="10:10">
      <c r="J88" s="674"/>
    </row>
    <row r="89" spans="10:10">
      <c r="J89" s="674"/>
    </row>
    <row r="90" spans="10:10">
      <c r="J90" s="674"/>
    </row>
    <row r="91" spans="10:10">
      <c r="J91" s="674"/>
    </row>
    <row r="92" spans="10:10">
      <c r="J92" s="674"/>
    </row>
    <row r="93" spans="10:10">
      <c r="J93" s="674"/>
    </row>
    <row r="94" spans="10:10">
      <c r="J94" s="674"/>
    </row>
    <row r="95" spans="10:10">
      <c r="J95" s="674"/>
    </row>
    <row r="96" spans="10:10">
      <c r="J96" s="674"/>
    </row>
    <row r="97" spans="10:10">
      <c r="J97" s="674"/>
    </row>
    <row r="98" spans="10:10">
      <c r="J98" s="674"/>
    </row>
    <row r="99" spans="10:10">
      <c r="J99" s="674"/>
    </row>
    <row r="100" spans="10:10">
      <c r="J100" s="674"/>
    </row>
    <row r="101" spans="10:10">
      <c r="J101" s="674"/>
    </row>
    <row r="102" spans="10:10">
      <c r="J102" s="674"/>
    </row>
    <row r="103" spans="10:10">
      <c r="J103" s="674"/>
    </row>
    <row r="104" spans="10:10">
      <c r="J104" s="674"/>
    </row>
    <row r="105" spans="10:10">
      <c r="J105" s="674"/>
    </row>
    <row r="106" spans="10:10">
      <c r="J106" s="674"/>
    </row>
    <row r="107" spans="10:10">
      <c r="J107" s="674"/>
    </row>
    <row r="108" spans="10:10">
      <c r="J108" s="674"/>
    </row>
    <row r="109" spans="10:10">
      <c r="J109" s="674"/>
    </row>
    <row r="110" spans="10:10">
      <c r="J110" s="674"/>
    </row>
  </sheetData>
  <mergeCells count="2">
    <mergeCell ref="A5:E5"/>
    <mergeCell ref="A6:E6"/>
  </mergeCells>
  <phoneticPr fontId="64" type="noConversion"/>
  <pageMargins left="0.7" right="0.7" top="0.75" bottom="0.75" header="0.3" footer="0.3"/>
  <pageSetup scale="64" orientation="portrait" r:id="rId1"/>
  <rowBreaks count="1" manualBreakCount="1">
    <brk id="6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62"/>
  <sheetViews>
    <sheetView view="pageBreakPreview" zoomScale="80" zoomScaleNormal="100" zoomScaleSheetLayoutView="80" workbookViewId="0">
      <selection activeCell="A2" sqref="A2:AB2"/>
    </sheetView>
  </sheetViews>
  <sheetFormatPr defaultRowHeight="15"/>
  <cols>
    <col min="1" max="1" width="5.90625" style="1021" customWidth="1"/>
    <col min="2" max="3" width="8.90625" style="1021"/>
    <col min="4" max="4" width="10.81640625" style="1021" customWidth="1"/>
    <col min="5" max="5" width="10.54296875" style="1021" customWidth="1"/>
    <col min="6" max="9" width="8.90625" style="1021"/>
    <col min="10" max="10" width="10.36328125" style="1021" customWidth="1"/>
    <col min="11" max="11" width="10.453125" style="1021" customWidth="1"/>
    <col min="12" max="12" width="9.81640625" style="1021" customWidth="1"/>
    <col min="13" max="19" width="8.90625" style="1021"/>
    <col min="20" max="20" width="9.81640625" style="1021" customWidth="1"/>
    <col min="21" max="22" width="8.90625" style="1021"/>
    <col min="23" max="23" width="10.54296875" style="1021" customWidth="1"/>
    <col min="24" max="24" width="8.90625" style="1021"/>
    <col min="25" max="25" width="10.90625" style="1021" customWidth="1"/>
    <col min="26" max="30" width="8.90625" style="1021"/>
  </cols>
  <sheetData>
    <row r="1" spans="1:30" ht="15.6">
      <c r="A1" s="1059"/>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row>
    <row r="2" spans="1:30" ht="15.6">
      <c r="A2" s="1563" t="s">
        <v>639</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059"/>
      <c r="AD2" s="1059"/>
    </row>
    <row r="3" spans="1:30" ht="15.6">
      <c r="A3" s="1562" t="str">
        <f>+'1 - Revenue Credits'!A2:D2</f>
        <v>New York Transco LLC</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059"/>
      <c r="AD3" s="1059"/>
    </row>
    <row r="4" spans="1:30" ht="15.6">
      <c r="A4" s="1060"/>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59"/>
      <c r="AD4" s="1059"/>
    </row>
    <row r="5" spans="1:30" ht="15.6">
      <c r="A5" s="1059"/>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59"/>
      <c r="AD5" s="1059"/>
    </row>
    <row r="6" spans="1:30" ht="15.6">
      <c r="A6" s="1062" t="s">
        <v>633</v>
      </c>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59"/>
      <c r="AD6" s="1059"/>
    </row>
    <row r="7" spans="1:30" ht="15.6">
      <c r="A7" s="1060"/>
      <c r="B7" s="1063" t="s">
        <v>467</v>
      </c>
      <c r="C7" s="1063" t="s">
        <v>468</v>
      </c>
      <c r="D7" s="1064" t="s">
        <v>494</v>
      </c>
      <c r="E7" s="1063" t="s">
        <v>502</v>
      </c>
      <c r="F7" s="1064" t="s">
        <v>503</v>
      </c>
      <c r="G7" s="1063" t="s">
        <v>504</v>
      </c>
      <c r="H7" s="1064" t="s">
        <v>505</v>
      </c>
      <c r="I7" s="1063" t="s">
        <v>506</v>
      </c>
      <c r="J7" s="1064" t="s">
        <v>538</v>
      </c>
      <c r="K7" s="1063" t="s">
        <v>539</v>
      </c>
      <c r="L7" s="1064" t="s">
        <v>595</v>
      </c>
      <c r="M7" s="1063" t="s">
        <v>596</v>
      </c>
      <c r="N7" s="1064" t="s">
        <v>597</v>
      </c>
      <c r="O7" s="1063" t="s">
        <v>598</v>
      </c>
      <c r="P7" s="1064" t="s">
        <v>599</v>
      </c>
      <c r="Q7" s="1063" t="s">
        <v>600</v>
      </c>
      <c r="R7" s="1063" t="s">
        <v>601</v>
      </c>
      <c r="S7" s="1064" t="s">
        <v>602</v>
      </c>
      <c r="T7" s="1064" t="s">
        <v>603</v>
      </c>
      <c r="U7" s="1064" t="s">
        <v>605</v>
      </c>
      <c r="V7" s="1064" t="s">
        <v>607</v>
      </c>
      <c r="W7" s="1064" t="s">
        <v>618</v>
      </c>
      <c r="X7" s="1064" t="s">
        <v>619</v>
      </c>
      <c r="Y7" s="1064" t="s">
        <v>620</v>
      </c>
      <c r="Z7" s="1064" t="s">
        <v>623</v>
      </c>
      <c r="AA7" s="1064" t="s">
        <v>626</v>
      </c>
      <c r="AB7" s="1064" t="s">
        <v>628</v>
      </c>
      <c r="AC7" s="1059"/>
      <c r="AD7" s="1059"/>
    </row>
    <row r="8" spans="1:30" ht="15.6">
      <c r="A8" s="1061"/>
      <c r="B8" s="1059"/>
      <c r="C8" s="1059"/>
      <c r="D8" s="1059"/>
      <c r="E8" s="1059"/>
      <c r="F8" s="1059"/>
      <c r="G8" s="1059"/>
      <c r="H8" s="1059"/>
      <c r="I8" s="1059"/>
      <c r="J8" s="1087" t="s">
        <v>650</v>
      </c>
      <c r="K8" s="1088" t="s">
        <v>651</v>
      </c>
      <c r="L8" s="1088" t="s">
        <v>652</v>
      </c>
      <c r="M8" s="1088" t="s">
        <v>653</v>
      </c>
      <c r="N8" s="1088" t="s">
        <v>1019</v>
      </c>
      <c r="O8" s="1088" t="s">
        <v>655</v>
      </c>
      <c r="P8" s="1088" t="s">
        <v>654</v>
      </c>
      <c r="Q8" s="1088" t="s">
        <v>656</v>
      </c>
      <c r="R8" s="1088" t="s">
        <v>657</v>
      </c>
      <c r="S8" s="1088" t="s">
        <v>658</v>
      </c>
      <c r="T8" s="1088" t="s">
        <v>659</v>
      </c>
      <c r="U8" s="1088" t="s">
        <v>660</v>
      </c>
      <c r="V8" s="1088" t="s">
        <v>650</v>
      </c>
      <c r="W8" s="1059"/>
      <c r="X8" s="1059"/>
      <c r="Y8" s="1059"/>
      <c r="Z8" s="1059"/>
      <c r="AA8" s="1059"/>
      <c r="AB8" s="1059"/>
      <c r="AC8" s="1059"/>
      <c r="AD8" s="1059"/>
    </row>
    <row r="9" spans="1:30" ht="73.5" customHeight="1">
      <c r="A9" s="1065" t="s">
        <v>38</v>
      </c>
      <c r="B9" s="1309" t="s">
        <v>420</v>
      </c>
      <c r="C9" s="1310" t="s">
        <v>615</v>
      </c>
      <c r="D9" s="1310" t="s">
        <v>771</v>
      </c>
      <c r="E9" s="1310" t="s">
        <v>612</v>
      </c>
      <c r="F9" s="1310" t="s">
        <v>613</v>
      </c>
      <c r="G9" s="1307" t="s">
        <v>614</v>
      </c>
      <c r="H9" s="1307" t="s">
        <v>616</v>
      </c>
      <c r="I9" s="1307" t="s">
        <v>809</v>
      </c>
      <c r="J9" s="1356" t="s">
        <v>662</v>
      </c>
      <c r="K9" s="1357" t="s">
        <v>1017</v>
      </c>
      <c r="L9" s="1357" t="s">
        <v>1017</v>
      </c>
      <c r="M9" s="1357" t="s">
        <v>1017</v>
      </c>
      <c r="N9" s="1357" t="s">
        <v>1017</v>
      </c>
      <c r="O9" s="1357" t="s">
        <v>1017</v>
      </c>
      <c r="P9" s="1357" t="s">
        <v>1017</v>
      </c>
      <c r="Q9" s="1357" t="s">
        <v>1017</v>
      </c>
      <c r="R9" s="1357" t="s">
        <v>1017</v>
      </c>
      <c r="S9" s="1357" t="s">
        <v>1017</v>
      </c>
      <c r="T9" s="1357" t="s">
        <v>1017</v>
      </c>
      <c r="U9" s="1357" t="s">
        <v>1017</v>
      </c>
      <c r="V9" s="1357" t="s">
        <v>1017</v>
      </c>
      <c r="W9" s="1307" t="s">
        <v>621</v>
      </c>
      <c r="X9" s="1307" t="s">
        <v>622</v>
      </c>
      <c r="Y9" s="1307" t="s">
        <v>624</v>
      </c>
      <c r="Z9" s="1307" t="s">
        <v>625</v>
      </c>
      <c r="AA9" s="1307" t="s">
        <v>627</v>
      </c>
      <c r="AB9" s="1308" t="s">
        <v>629</v>
      </c>
      <c r="AC9" s="1059"/>
      <c r="AD9" s="1059"/>
    </row>
    <row r="10" spans="1:30" ht="15.6">
      <c r="A10" s="1066" t="s">
        <v>337</v>
      </c>
      <c r="B10" s="1067" t="s">
        <v>1016</v>
      </c>
      <c r="C10" s="1441">
        <f>5555000+2142000+(68385+135641+185397)</f>
        <v>8086423</v>
      </c>
      <c r="D10" s="1068">
        <v>60</v>
      </c>
      <c r="E10" s="1348">
        <f>IF(D10=0,0,C10/D10)</f>
        <v>134773.71666666667</v>
      </c>
      <c r="F10" s="1068">
        <v>7</v>
      </c>
      <c r="G10" s="1348">
        <f>+E10*F10</f>
        <v>943416.01666666672</v>
      </c>
      <c r="H10" s="1068">
        <v>1</v>
      </c>
      <c r="I10" s="1348">
        <f>+G10*H10</f>
        <v>943416.01666666672</v>
      </c>
      <c r="J10" s="1441">
        <v>0</v>
      </c>
      <c r="K10" s="1441">
        <v>0</v>
      </c>
      <c r="L10" s="1441">
        <v>0</v>
      </c>
      <c r="M10" s="1441">
        <v>0</v>
      </c>
      <c r="N10" s="1441">
        <v>0</v>
      </c>
      <c r="O10" s="1441">
        <f>C10-E10</f>
        <v>7951649.2833333332</v>
      </c>
      <c r="P10" s="1441">
        <f>O10-$E$10</f>
        <v>7816875.5666666664</v>
      </c>
      <c r="Q10" s="1441">
        <f t="shared" ref="Q10:V10" si="0">P10-$E$10</f>
        <v>7682101.8499999996</v>
      </c>
      <c r="R10" s="1441">
        <f t="shared" si="0"/>
        <v>7547328.1333333328</v>
      </c>
      <c r="S10" s="1441">
        <f t="shared" si="0"/>
        <v>7412554.416666666</v>
      </c>
      <c r="T10" s="1441">
        <f t="shared" si="0"/>
        <v>7277780.6999999993</v>
      </c>
      <c r="U10" s="1441">
        <f t="shared" si="0"/>
        <v>7143006.9833333325</v>
      </c>
      <c r="V10" s="1441">
        <f t="shared" si="0"/>
        <v>7008233.2666666657</v>
      </c>
      <c r="W10" s="1351">
        <f>SUM(J10:V10)/13</f>
        <v>4603040.7846153844</v>
      </c>
      <c r="X10" s="1070">
        <v>1</v>
      </c>
      <c r="Y10" s="1351">
        <f>+H10</f>
        <v>1</v>
      </c>
      <c r="Z10" s="1353">
        <f>+W10+X10+Y10</f>
        <v>4603042.7846153844</v>
      </c>
      <c r="AA10" s="1068"/>
      <c r="AB10" s="1071"/>
      <c r="AC10" s="1059"/>
      <c r="AD10" s="1059"/>
    </row>
    <row r="11" spans="1:30" ht="15.6">
      <c r="A11" s="1066" t="s">
        <v>609</v>
      </c>
      <c r="B11" s="1072"/>
      <c r="C11" s="1073"/>
      <c r="D11" s="1073"/>
      <c r="E11" s="1349">
        <f t="shared" ref="E11:E20" si="1">IF(D11=0,0,C11/D11)</f>
        <v>0</v>
      </c>
      <c r="F11" s="1073"/>
      <c r="G11" s="1349">
        <f t="shared" ref="G11:G20" si="2">+E11*F11</f>
        <v>0</v>
      </c>
      <c r="H11" s="1073"/>
      <c r="I11" s="1349">
        <f t="shared" ref="I11:I20" si="3">+G11*H11</f>
        <v>0</v>
      </c>
      <c r="J11" s="1073"/>
      <c r="K11" s="1073"/>
      <c r="L11" s="1073"/>
      <c r="M11" s="1073"/>
      <c r="N11" s="1073"/>
      <c r="O11" s="1073"/>
      <c r="P11" s="1073"/>
      <c r="Q11" s="1073"/>
      <c r="R11" s="1073"/>
      <c r="S11" s="1073"/>
      <c r="T11" s="1073"/>
      <c r="U11" s="1073"/>
      <c r="V11" s="1073"/>
      <c r="W11" s="1352">
        <f t="shared" ref="W11:W20" si="4">SUM(J11:V11)/13</f>
        <v>0</v>
      </c>
      <c r="X11" s="1076"/>
      <c r="Y11" s="1352">
        <f t="shared" ref="Y11:Y20" si="5">+H11</f>
        <v>0</v>
      </c>
      <c r="Z11" s="1355">
        <f t="shared" ref="Z11:Z20" si="6">+W11+X11+Y11</f>
        <v>0</v>
      </c>
      <c r="AA11" s="1073"/>
      <c r="AB11" s="1077"/>
      <c r="AC11" s="1059"/>
      <c r="AD11" s="1059"/>
    </row>
    <row r="12" spans="1:30" ht="15.6">
      <c r="A12" s="1066" t="s">
        <v>610</v>
      </c>
      <c r="B12" s="1072"/>
      <c r="C12" s="1073"/>
      <c r="D12" s="1073"/>
      <c r="E12" s="1349">
        <f t="shared" si="1"/>
        <v>0</v>
      </c>
      <c r="F12" s="1073"/>
      <c r="G12" s="1349">
        <f t="shared" si="2"/>
        <v>0</v>
      </c>
      <c r="H12" s="1073"/>
      <c r="I12" s="1349">
        <f t="shared" si="3"/>
        <v>0</v>
      </c>
      <c r="J12" s="1073"/>
      <c r="K12" s="1073"/>
      <c r="L12" s="1073"/>
      <c r="M12" s="1073"/>
      <c r="N12" s="1073"/>
      <c r="O12" s="1073"/>
      <c r="P12" s="1073"/>
      <c r="Q12" s="1073"/>
      <c r="R12" s="1073"/>
      <c r="S12" s="1073"/>
      <c r="T12" s="1073"/>
      <c r="U12" s="1073"/>
      <c r="V12" s="1073"/>
      <c r="W12" s="1352">
        <f t="shared" si="4"/>
        <v>0</v>
      </c>
      <c r="X12" s="1076"/>
      <c r="Y12" s="1352">
        <f t="shared" si="5"/>
        <v>0</v>
      </c>
      <c r="Z12" s="1355">
        <f t="shared" si="6"/>
        <v>0</v>
      </c>
      <c r="AA12" s="1073"/>
      <c r="AB12" s="1077"/>
      <c r="AC12" s="1059"/>
      <c r="AD12" s="1059"/>
    </row>
    <row r="13" spans="1:30" ht="15.6">
      <c r="A13" s="1066"/>
      <c r="B13" s="1072"/>
      <c r="C13" s="1073"/>
      <c r="D13" s="1073"/>
      <c r="E13" s="1349">
        <f t="shared" si="1"/>
        <v>0</v>
      </c>
      <c r="F13" s="1073"/>
      <c r="G13" s="1349">
        <f t="shared" si="2"/>
        <v>0</v>
      </c>
      <c r="H13" s="1073"/>
      <c r="I13" s="1349">
        <f t="shared" si="3"/>
        <v>0</v>
      </c>
      <c r="J13" s="1073"/>
      <c r="K13" s="1073"/>
      <c r="L13" s="1073"/>
      <c r="M13" s="1073"/>
      <c r="N13" s="1073"/>
      <c r="O13" s="1073"/>
      <c r="P13" s="1073"/>
      <c r="Q13" s="1073"/>
      <c r="R13" s="1073"/>
      <c r="S13" s="1073"/>
      <c r="T13" s="1073"/>
      <c r="U13" s="1073"/>
      <c r="V13" s="1073"/>
      <c r="W13" s="1352">
        <f t="shared" si="4"/>
        <v>0</v>
      </c>
      <c r="X13" s="1076"/>
      <c r="Y13" s="1352">
        <f t="shared" si="5"/>
        <v>0</v>
      </c>
      <c r="Z13" s="1355">
        <f t="shared" si="6"/>
        <v>0</v>
      </c>
      <c r="AA13" s="1073"/>
      <c r="AB13" s="1077"/>
      <c r="AC13" s="1059"/>
      <c r="AD13" s="1059"/>
    </row>
    <row r="14" spans="1:30" ht="15.6">
      <c r="A14" s="1066" t="s">
        <v>416</v>
      </c>
      <c r="B14" s="1072"/>
      <c r="C14" s="1073"/>
      <c r="D14" s="1073"/>
      <c r="E14" s="1349">
        <f t="shared" si="1"/>
        <v>0</v>
      </c>
      <c r="F14" s="1073"/>
      <c r="G14" s="1349">
        <f t="shared" si="2"/>
        <v>0</v>
      </c>
      <c r="H14" s="1073"/>
      <c r="I14" s="1349">
        <f t="shared" si="3"/>
        <v>0</v>
      </c>
      <c r="J14" s="1073"/>
      <c r="K14" s="1073"/>
      <c r="L14" s="1073"/>
      <c r="M14" s="1073"/>
      <c r="N14" s="1073"/>
      <c r="O14" s="1073"/>
      <c r="P14" s="1073"/>
      <c r="Q14" s="1073"/>
      <c r="R14" s="1073"/>
      <c r="S14" s="1073"/>
      <c r="T14" s="1073"/>
      <c r="U14" s="1073"/>
      <c r="V14" s="1073"/>
      <c r="W14" s="1352">
        <f t="shared" si="4"/>
        <v>0</v>
      </c>
      <c r="X14" s="1076"/>
      <c r="Y14" s="1352">
        <f t="shared" si="5"/>
        <v>0</v>
      </c>
      <c r="Z14" s="1355">
        <f t="shared" si="6"/>
        <v>0</v>
      </c>
      <c r="AA14" s="1073"/>
      <c r="AB14" s="1077"/>
      <c r="AC14" s="1059"/>
      <c r="AD14" s="1059"/>
    </row>
    <row r="15" spans="1:30" ht="15.6">
      <c r="A15" s="1066"/>
      <c r="B15" s="1072"/>
      <c r="C15" s="1073"/>
      <c r="D15" s="1073"/>
      <c r="E15" s="1349">
        <f t="shared" si="1"/>
        <v>0</v>
      </c>
      <c r="F15" s="1073"/>
      <c r="G15" s="1349">
        <f t="shared" si="2"/>
        <v>0</v>
      </c>
      <c r="H15" s="1073"/>
      <c r="I15" s="1349">
        <f t="shared" si="3"/>
        <v>0</v>
      </c>
      <c r="J15" s="1073"/>
      <c r="K15" s="1073"/>
      <c r="L15" s="1073"/>
      <c r="M15" s="1073"/>
      <c r="N15" s="1073"/>
      <c r="O15" s="1073"/>
      <c r="P15" s="1073"/>
      <c r="Q15" s="1073"/>
      <c r="R15" s="1073"/>
      <c r="S15" s="1073"/>
      <c r="T15" s="1073"/>
      <c r="U15" s="1073"/>
      <c r="V15" s="1073"/>
      <c r="W15" s="1352">
        <f t="shared" si="4"/>
        <v>0</v>
      </c>
      <c r="X15" s="1076"/>
      <c r="Y15" s="1352">
        <f t="shared" si="5"/>
        <v>0</v>
      </c>
      <c r="Z15" s="1355">
        <f t="shared" si="6"/>
        <v>0</v>
      </c>
      <c r="AA15" s="1073"/>
      <c r="AB15" s="1077"/>
      <c r="AC15" s="1059"/>
      <c r="AD15" s="1059"/>
    </row>
    <row r="16" spans="1:30" ht="15.6">
      <c r="A16" s="1066" t="s">
        <v>340</v>
      </c>
      <c r="B16" s="1072"/>
      <c r="C16" s="1073"/>
      <c r="D16" s="1073"/>
      <c r="E16" s="1349">
        <f t="shared" si="1"/>
        <v>0</v>
      </c>
      <c r="F16" s="1073"/>
      <c r="G16" s="1349">
        <f t="shared" si="2"/>
        <v>0</v>
      </c>
      <c r="H16" s="1073"/>
      <c r="I16" s="1349">
        <f t="shared" si="3"/>
        <v>0</v>
      </c>
      <c r="J16" s="1073"/>
      <c r="K16" s="1073"/>
      <c r="L16" s="1073"/>
      <c r="M16" s="1073"/>
      <c r="N16" s="1073"/>
      <c r="O16" s="1073"/>
      <c r="P16" s="1073"/>
      <c r="Q16" s="1073"/>
      <c r="R16" s="1073"/>
      <c r="S16" s="1073"/>
      <c r="T16" s="1073"/>
      <c r="U16" s="1073"/>
      <c r="V16" s="1073"/>
      <c r="W16" s="1352">
        <f t="shared" si="4"/>
        <v>0</v>
      </c>
      <c r="X16" s="1076"/>
      <c r="Y16" s="1352">
        <f t="shared" si="5"/>
        <v>0</v>
      </c>
      <c r="Z16" s="1355">
        <f t="shared" si="6"/>
        <v>0</v>
      </c>
      <c r="AA16" s="1073"/>
      <c r="AB16" s="1077"/>
      <c r="AC16" s="1059"/>
      <c r="AD16" s="1059"/>
    </row>
    <row r="17" spans="1:30" ht="15.6">
      <c r="A17" s="1066"/>
      <c r="B17" s="1072"/>
      <c r="C17" s="1073"/>
      <c r="D17" s="1073"/>
      <c r="E17" s="1349">
        <f t="shared" si="1"/>
        <v>0</v>
      </c>
      <c r="F17" s="1073"/>
      <c r="G17" s="1349">
        <f t="shared" si="2"/>
        <v>0</v>
      </c>
      <c r="H17" s="1073"/>
      <c r="I17" s="1349">
        <f t="shared" si="3"/>
        <v>0</v>
      </c>
      <c r="J17" s="1073"/>
      <c r="K17" s="1073"/>
      <c r="L17" s="1073"/>
      <c r="M17" s="1073"/>
      <c r="N17" s="1073"/>
      <c r="O17" s="1073"/>
      <c r="P17" s="1073"/>
      <c r="Q17" s="1073"/>
      <c r="R17" s="1073"/>
      <c r="S17" s="1073"/>
      <c r="T17" s="1073"/>
      <c r="U17" s="1073"/>
      <c r="V17" s="1073"/>
      <c r="W17" s="1352">
        <f t="shared" si="4"/>
        <v>0</v>
      </c>
      <c r="X17" s="1076"/>
      <c r="Y17" s="1352">
        <f t="shared" si="5"/>
        <v>0</v>
      </c>
      <c r="Z17" s="1355">
        <f t="shared" si="6"/>
        <v>0</v>
      </c>
      <c r="AA17" s="1073"/>
      <c r="AB17" s="1077"/>
      <c r="AC17" s="1059"/>
      <c r="AD17" s="1059"/>
    </row>
    <row r="18" spans="1:30" ht="15.6">
      <c r="A18" s="1066" t="s">
        <v>416</v>
      </c>
      <c r="B18" s="1072"/>
      <c r="C18" s="1073"/>
      <c r="D18" s="1073"/>
      <c r="E18" s="1349">
        <f t="shared" si="1"/>
        <v>0</v>
      </c>
      <c r="F18" s="1073"/>
      <c r="G18" s="1349">
        <f t="shared" si="2"/>
        <v>0</v>
      </c>
      <c r="H18" s="1073"/>
      <c r="I18" s="1349">
        <f t="shared" si="3"/>
        <v>0</v>
      </c>
      <c r="J18" s="1073"/>
      <c r="K18" s="1073"/>
      <c r="L18" s="1073"/>
      <c r="M18" s="1073"/>
      <c r="N18" s="1073"/>
      <c r="O18" s="1073"/>
      <c r="P18" s="1073"/>
      <c r="Q18" s="1073"/>
      <c r="R18" s="1073"/>
      <c r="S18" s="1073"/>
      <c r="T18" s="1073"/>
      <c r="U18" s="1073"/>
      <c r="V18" s="1073"/>
      <c r="W18" s="1352">
        <f t="shared" si="4"/>
        <v>0</v>
      </c>
      <c r="X18" s="1076"/>
      <c r="Y18" s="1352">
        <f t="shared" si="5"/>
        <v>0</v>
      </c>
      <c r="Z18" s="1355">
        <f t="shared" si="6"/>
        <v>0</v>
      </c>
      <c r="AA18" s="1073"/>
      <c r="AB18" s="1077"/>
      <c r="AC18" s="1059"/>
      <c r="AD18" s="1059"/>
    </row>
    <row r="19" spans="1:30" ht="15.6">
      <c r="A19" s="1066"/>
      <c r="B19" s="1072"/>
      <c r="C19" s="1073"/>
      <c r="D19" s="1073"/>
      <c r="E19" s="1349">
        <f t="shared" si="1"/>
        <v>0</v>
      </c>
      <c r="F19" s="1073"/>
      <c r="G19" s="1349">
        <f t="shared" si="2"/>
        <v>0</v>
      </c>
      <c r="H19" s="1073"/>
      <c r="I19" s="1349">
        <f t="shared" si="3"/>
        <v>0</v>
      </c>
      <c r="J19" s="1073"/>
      <c r="K19" s="1073"/>
      <c r="L19" s="1073"/>
      <c r="M19" s="1073"/>
      <c r="N19" s="1073"/>
      <c r="O19" s="1073"/>
      <c r="P19" s="1073"/>
      <c r="Q19" s="1073"/>
      <c r="R19" s="1073"/>
      <c r="S19" s="1073"/>
      <c r="T19" s="1073"/>
      <c r="U19" s="1073"/>
      <c r="V19" s="1073"/>
      <c r="W19" s="1352">
        <f t="shared" si="4"/>
        <v>0</v>
      </c>
      <c r="X19" s="1076"/>
      <c r="Y19" s="1352">
        <f t="shared" si="5"/>
        <v>0</v>
      </c>
      <c r="Z19" s="1355">
        <f t="shared" si="6"/>
        <v>0</v>
      </c>
      <c r="AA19" s="1073"/>
      <c r="AB19" s="1077"/>
      <c r="AC19" s="1059"/>
      <c r="AD19" s="1059"/>
    </row>
    <row r="20" spans="1:30" ht="15.6">
      <c r="A20" s="1066" t="s">
        <v>340</v>
      </c>
      <c r="B20" s="1079"/>
      <c r="C20" s="1080"/>
      <c r="D20" s="1080"/>
      <c r="E20" s="1358">
        <f t="shared" si="1"/>
        <v>0</v>
      </c>
      <c r="F20" s="1080"/>
      <c r="G20" s="1358">
        <f t="shared" si="2"/>
        <v>0</v>
      </c>
      <c r="H20" s="1080"/>
      <c r="I20" s="1358">
        <f t="shared" si="3"/>
        <v>0</v>
      </c>
      <c r="J20" s="1080"/>
      <c r="K20" s="1080"/>
      <c r="L20" s="1080"/>
      <c r="M20" s="1080"/>
      <c r="N20" s="1080"/>
      <c r="O20" s="1080"/>
      <c r="P20" s="1080"/>
      <c r="Q20" s="1080"/>
      <c r="R20" s="1080"/>
      <c r="S20" s="1080"/>
      <c r="T20" s="1080"/>
      <c r="U20" s="1080"/>
      <c r="V20" s="1080"/>
      <c r="W20" s="1359">
        <f t="shared" si="4"/>
        <v>0</v>
      </c>
      <c r="X20" s="1081"/>
      <c r="Y20" s="1359">
        <f t="shared" si="5"/>
        <v>0</v>
      </c>
      <c r="Z20" s="1360">
        <f t="shared" si="6"/>
        <v>0</v>
      </c>
      <c r="AA20" s="1081"/>
      <c r="AB20" s="1082"/>
      <c r="AC20" s="1059"/>
      <c r="AD20" s="1059"/>
    </row>
    <row r="21" spans="1:30" ht="15.6">
      <c r="A21" s="1083">
        <v>2</v>
      </c>
      <c r="B21" s="1074" t="s">
        <v>902</v>
      </c>
      <c r="C21" s="1074"/>
      <c r="D21" s="1074"/>
      <c r="E21" s="1074"/>
      <c r="F21" s="1074"/>
      <c r="G21" s="1074"/>
      <c r="H21" s="1074"/>
      <c r="I21" s="1350">
        <f>SUM(I10:I20)</f>
        <v>943416.01666666672</v>
      </c>
      <c r="J21" s="1074"/>
      <c r="K21" s="1074"/>
      <c r="L21" s="1074"/>
      <c r="M21" s="1074"/>
      <c r="N21" s="1074"/>
      <c r="O21" s="1074"/>
      <c r="P21" s="1074"/>
      <c r="Q21" s="1074"/>
      <c r="R21" s="1074"/>
      <c r="S21" s="1074"/>
      <c r="T21" s="1074"/>
      <c r="U21" s="1059"/>
      <c r="V21" s="1074"/>
      <c r="W21" s="1074"/>
      <c r="X21" s="1074"/>
      <c r="Y21" s="1075"/>
      <c r="Z21" s="1354">
        <f>SUM(Z10:Z20)</f>
        <v>4603042.7846153844</v>
      </c>
      <c r="AA21" s="1075"/>
      <c r="AB21" s="1075"/>
      <c r="AC21" s="1059"/>
      <c r="AD21" s="1059"/>
    </row>
    <row r="22" spans="1:30" ht="15.6">
      <c r="A22" s="1061"/>
      <c r="B22" s="1061"/>
      <c r="C22" s="1061"/>
      <c r="D22" s="1061"/>
      <c r="E22" s="1061"/>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1"/>
      <c r="AB22" s="1061"/>
      <c r="AC22" s="1059"/>
      <c r="AD22" s="1059"/>
    </row>
    <row r="23" spans="1:30" ht="15.6">
      <c r="A23" s="1061" t="s">
        <v>630</v>
      </c>
      <c r="B23" s="1061"/>
      <c r="C23" s="1061"/>
      <c r="D23" s="1061"/>
      <c r="E23" s="1061"/>
      <c r="F23" s="1061"/>
      <c r="L23" s="1059"/>
      <c r="M23" s="1059"/>
      <c r="N23" s="1059"/>
      <c r="O23" s="1059"/>
      <c r="P23" s="1059"/>
      <c r="Q23" s="1059"/>
      <c r="R23" s="1059"/>
      <c r="S23" s="1059"/>
      <c r="T23" s="1059"/>
      <c r="U23" s="1059"/>
      <c r="V23" s="1059"/>
      <c r="W23" s="1061"/>
      <c r="X23" s="1061"/>
      <c r="Y23" s="1061"/>
      <c r="Z23" s="1061"/>
      <c r="AA23" s="1061"/>
      <c r="AB23" s="1061"/>
      <c r="AC23" s="1059"/>
      <c r="AD23" s="1059"/>
    </row>
    <row r="24" spans="1:30" ht="15" customHeight="1">
      <c r="A24" s="875" t="s">
        <v>810</v>
      </c>
      <c r="B24" s="875"/>
      <c r="C24" s="875"/>
      <c r="D24" s="875"/>
      <c r="E24" s="1303"/>
      <c r="F24" s="1061"/>
      <c r="G24" s="1061"/>
      <c r="H24" s="1061"/>
      <c r="I24" s="1061"/>
      <c r="J24" s="1059"/>
      <c r="K24" s="1059"/>
      <c r="L24" s="1059"/>
      <c r="M24" s="1059"/>
      <c r="N24" s="1059"/>
      <c r="O24" s="1059"/>
      <c r="P24" s="1059"/>
      <c r="Q24" s="1059"/>
      <c r="R24" s="1059"/>
      <c r="S24" s="1059"/>
      <c r="T24" s="1059"/>
      <c r="U24" s="1059"/>
      <c r="V24" s="1059"/>
      <c r="W24" s="1061"/>
      <c r="X24" s="1061"/>
      <c r="Y24" s="1061"/>
      <c r="Z24" s="1061"/>
      <c r="AA24" s="1061"/>
      <c r="AB24" s="1061"/>
      <c r="AC24" s="1059"/>
      <c r="AD24" s="1059"/>
    </row>
    <row r="25" spans="1:30" ht="15.6">
      <c r="A25" s="1059"/>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row>
    <row r="26" spans="1:30" ht="15.6">
      <c r="A26" s="1062" t="s">
        <v>638</v>
      </c>
      <c r="B26" s="1061"/>
      <c r="C26" s="1061"/>
      <c r="D26" s="1061"/>
      <c r="E26" s="1061"/>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59"/>
      <c r="AD26" s="1059"/>
    </row>
    <row r="27" spans="1:30" ht="15.6">
      <c r="A27" s="1060"/>
      <c r="B27" s="1063" t="s">
        <v>467</v>
      </c>
      <c r="C27" s="1063" t="s">
        <v>468</v>
      </c>
      <c r="D27" s="1064" t="s">
        <v>494</v>
      </c>
      <c r="E27" s="1063" t="s">
        <v>502</v>
      </c>
      <c r="F27" s="1064" t="s">
        <v>503</v>
      </c>
      <c r="G27" s="1063" t="s">
        <v>504</v>
      </c>
      <c r="H27" s="1064" t="s">
        <v>505</v>
      </c>
      <c r="I27" s="1063" t="s">
        <v>506</v>
      </c>
      <c r="J27" s="1064" t="s">
        <v>538</v>
      </c>
      <c r="K27" s="1063" t="s">
        <v>539</v>
      </c>
      <c r="L27" s="1064" t="s">
        <v>595</v>
      </c>
      <c r="M27" s="1063" t="s">
        <v>596</v>
      </c>
      <c r="N27" s="1064" t="s">
        <v>597</v>
      </c>
      <c r="O27" s="1063" t="s">
        <v>598</v>
      </c>
      <c r="P27" s="1064" t="s">
        <v>599</v>
      </c>
      <c r="Q27" s="1063" t="s">
        <v>600</v>
      </c>
      <c r="R27" s="1063" t="s">
        <v>601</v>
      </c>
      <c r="S27" s="1064" t="s">
        <v>602</v>
      </c>
      <c r="T27" s="1064" t="s">
        <v>603</v>
      </c>
      <c r="U27" s="1064" t="s">
        <v>605</v>
      </c>
      <c r="V27" s="1064" t="s">
        <v>607</v>
      </c>
      <c r="W27" s="1064" t="s">
        <v>618</v>
      </c>
      <c r="X27" s="1064" t="s">
        <v>619</v>
      </c>
      <c r="Y27" s="1064" t="s">
        <v>620</v>
      </c>
      <c r="Z27" s="1064" t="s">
        <v>623</v>
      </c>
      <c r="AA27" s="1064" t="s">
        <v>626</v>
      </c>
      <c r="AB27" s="1064" t="s">
        <v>628</v>
      </c>
      <c r="AC27" s="1059"/>
      <c r="AD27" s="1059"/>
    </row>
    <row r="28" spans="1:30" ht="15.6">
      <c r="A28" s="1061"/>
      <c r="B28" s="1059"/>
      <c r="C28" s="1059"/>
      <c r="D28" s="1059"/>
      <c r="E28" s="1059"/>
      <c r="F28" s="1059"/>
      <c r="G28" s="1059"/>
      <c r="H28" s="1059"/>
      <c r="I28" s="1059"/>
      <c r="J28" s="1087" t="s">
        <v>650</v>
      </c>
      <c r="K28" s="1088" t="s">
        <v>651</v>
      </c>
      <c r="L28" s="1088" t="s">
        <v>652</v>
      </c>
      <c r="M28" s="1088" t="s">
        <v>653</v>
      </c>
      <c r="N28" s="1088" t="s">
        <v>1019</v>
      </c>
      <c r="O28" s="1088" t="s">
        <v>655</v>
      </c>
      <c r="P28" s="1088" t="s">
        <v>654</v>
      </c>
      <c r="Q28" s="1088" t="s">
        <v>656</v>
      </c>
      <c r="R28" s="1088" t="s">
        <v>657</v>
      </c>
      <c r="S28" s="1088" t="s">
        <v>658</v>
      </c>
      <c r="T28" s="1088" t="s">
        <v>659</v>
      </c>
      <c r="U28" s="1088" t="s">
        <v>660</v>
      </c>
      <c r="V28" s="1088" t="s">
        <v>650</v>
      </c>
      <c r="W28" s="1059"/>
      <c r="X28" s="1059"/>
      <c r="Y28" s="1059"/>
      <c r="Z28" s="1059"/>
      <c r="AA28" s="1059"/>
      <c r="AB28" s="1059"/>
      <c r="AC28" s="1059"/>
      <c r="AD28" s="1059"/>
    </row>
    <row r="29" spans="1:30" ht="73.5" customHeight="1">
      <c r="A29" s="1065" t="s">
        <v>38</v>
      </c>
      <c r="B29" s="1309" t="s">
        <v>420</v>
      </c>
      <c r="C29" s="1310" t="s">
        <v>615</v>
      </c>
      <c r="D29" s="1310" t="s">
        <v>771</v>
      </c>
      <c r="E29" s="1310" t="s">
        <v>612</v>
      </c>
      <c r="F29" s="1310" t="s">
        <v>613</v>
      </c>
      <c r="G29" s="1307" t="s">
        <v>614</v>
      </c>
      <c r="H29" s="1307" t="s">
        <v>616</v>
      </c>
      <c r="I29" s="1307" t="s">
        <v>617</v>
      </c>
      <c r="J29" s="1356" t="s">
        <v>661</v>
      </c>
      <c r="K29" s="1357" t="s">
        <v>662</v>
      </c>
      <c r="L29" s="1357" t="s">
        <v>662</v>
      </c>
      <c r="M29" s="1357" t="s">
        <v>662</v>
      </c>
      <c r="N29" s="1357" t="s">
        <v>662</v>
      </c>
      <c r="O29" s="1357" t="s">
        <v>662</v>
      </c>
      <c r="P29" s="1357" t="s">
        <v>662</v>
      </c>
      <c r="Q29" s="1357" t="s">
        <v>662</v>
      </c>
      <c r="R29" s="1357" t="s">
        <v>662</v>
      </c>
      <c r="S29" s="1357" t="s">
        <v>662</v>
      </c>
      <c r="T29" s="1357" t="s">
        <v>662</v>
      </c>
      <c r="U29" s="1357" t="s">
        <v>662</v>
      </c>
      <c r="V29" s="1357" t="s">
        <v>662</v>
      </c>
      <c r="W29" s="1307" t="s">
        <v>621</v>
      </c>
      <c r="X29" s="1307" t="s">
        <v>622</v>
      </c>
      <c r="Y29" s="1307" t="s">
        <v>624</v>
      </c>
      <c r="Z29" s="1307" t="s">
        <v>625</v>
      </c>
      <c r="AA29" s="1307" t="s">
        <v>627</v>
      </c>
      <c r="AB29" s="1308" t="s">
        <v>629</v>
      </c>
      <c r="AC29" s="1059"/>
      <c r="AD29" s="1059"/>
    </row>
    <row r="30" spans="1:30" ht="15.6">
      <c r="A30" s="1066" t="s">
        <v>634</v>
      </c>
      <c r="B30" s="1067"/>
      <c r="C30" s="1068"/>
      <c r="D30" s="1068"/>
      <c r="E30" s="1348">
        <f t="shared" ref="E30:E40" si="7">IF(D30=0,0,C30/D30)</f>
        <v>0</v>
      </c>
      <c r="F30" s="1068"/>
      <c r="G30" s="1348">
        <f>+E30*F30</f>
        <v>0</v>
      </c>
      <c r="H30" s="1068"/>
      <c r="I30" s="1348">
        <f>+G30*H30</f>
        <v>0</v>
      </c>
      <c r="J30" s="1068"/>
      <c r="K30" s="1068"/>
      <c r="L30" s="1068"/>
      <c r="M30" s="1068"/>
      <c r="N30" s="1068"/>
      <c r="O30" s="1068"/>
      <c r="P30" s="1068"/>
      <c r="Q30" s="1068"/>
      <c r="R30" s="1068"/>
      <c r="S30" s="1068"/>
      <c r="T30" s="1068"/>
      <c r="U30" s="1068"/>
      <c r="V30" s="1068"/>
      <c r="W30" s="1351">
        <f>SUM(J30:V30)/13</f>
        <v>0</v>
      </c>
      <c r="X30" s="1070"/>
      <c r="Y30" s="1351">
        <f>+H30</f>
        <v>0</v>
      </c>
      <c r="Z30" s="1353">
        <f>+W30+X30+Y30</f>
        <v>0</v>
      </c>
      <c r="AA30" s="1068"/>
      <c r="AB30" s="1071"/>
      <c r="AC30" s="1059"/>
      <c r="AD30" s="1059"/>
    </row>
    <row r="31" spans="1:30" ht="15.6">
      <c r="A31" s="1066" t="s">
        <v>635</v>
      </c>
      <c r="B31" s="1072"/>
      <c r="C31" s="1073"/>
      <c r="D31" s="1073"/>
      <c r="E31" s="1349">
        <f t="shared" si="7"/>
        <v>0</v>
      </c>
      <c r="F31" s="1073"/>
      <c r="G31" s="1349">
        <f t="shared" ref="G31:G40" si="8">+E31*F31</f>
        <v>0</v>
      </c>
      <c r="H31" s="1073"/>
      <c r="I31" s="1349">
        <f t="shared" ref="I31:I40" si="9">+G31*H31</f>
        <v>0</v>
      </c>
      <c r="J31" s="1073"/>
      <c r="K31" s="1073"/>
      <c r="L31" s="1073"/>
      <c r="M31" s="1073"/>
      <c r="N31" s="1073"/>
      <c r="O31" s="1073"/>
      <c r="P31" s="1073"/>
      <c r="Q31" s="1073"/>
      <c r="R31" s="1073"/>
      <c r="S31" s="1073"/>
      <c r="T31" s="1073"/>
      <c r="U31" s="1073"/>
      <c r="V31" s="1073"/>
      <c r="W31" s="1352">
        <f t="shared" ref="W31:W40" si="10">SUM(J31:V31)/13</f>
        <v>0</v>
      </c>
      <c r="X31" s="1076"/>
      <c r="Y31" s="1352">
        <f t="shared" ref="Y31:Y40" si="11">+H31</f>
        <v>0</v>
      </c>
      <c r="Z31" s="1355">
        <f t="shared" ref="Z31:Z40" si="12">+W31+X31+Y31</f>
        <v>0</v>
      </c>
      <c r="AA31" s="1073"/>
      <c r="AB31" s="1077"/>
      <c r="AC31" s="1059"/>
      <c r="AD31" s="1059"/>
    </row>
    <row r="32" spans="1:30" ht="15.6">
      <c r="A32" s="1066" t="s">
        <v>636</v>
      </c>
      <c r="B32" s="1072"/>
      <c r="C32" s="1073"/>
      <c r="D32" s="1073"/>
      <c r="E32" s="1349">
        <f t="shared" si="7"/>
        <v>0</v>
      </c>
      <c r="F32" s="1073"/>
      <c r="G32" s="1349">
        <f t="shared" si="8"/>
        <v>0</v>
      </c>
      <c r="H32" s="1073"/>
      <c r="I32" s="1349">
        <f t="shared" si="9"/>
        <v>0</v>
      </c>
      <c r="J32" s="1073"/>
      <c r="K32" s="1073"/>
      <c r="L32" s="1073"/>
      <c r="M32" s="1073"/>
      <c r="N32" s="1073"/>
      <c r="O32" s="1073"/>
      <c r="P32" s="1073"/>
      <c r="Q32" s="1073"/>
      <c r="R32" s="1073"/>
      <c r="S32" s="1073"/>
      <c r="T32" s="1073"/>
      <c r="U32" s="1073"/>
      <c r="V32" s="1073"/>
      <c r="W32" s="1352">
        <f t="shared" si="10"/>
        <v>0</v>
      </c>
      <c r="X32" s="1076"/>
      <c r="Y32" s="1352">
        <f t="shared" si="11"/>
        <v>0</v>
      </c>
      <c r="Z32" s="1355">
        <f t="shared" si="12"/>
        <v>0</v>
      </c>
      <c r="AA32" s="1073"/>
      <c r="AB32" s="1077"/>
      <c r="AC32" s="1059"/>
      <c r="AD32" s="1059"/>
    </row>
    <row r="33" spans="1:30" ht="15.6">
      <c r="A33" s="1066"/>
      <c r="B33" s="1072"/>
      <c r="C33" s="1073"/>
      <c r="D33" s="1073"/>
      <c r="E33" s="1349">
        <f t="shared" si="7"/>
        <v>0</v>
      </c>
      <c r="F33" s="1073"/>
      <c r="G33" s="1349">
        <f t="shared" si="8"/>
        <v>0</v>
      </c>
      <c r="H33" s="1073"/>
      <c r="I33" s="1349">
        <f t="shared" si="9"/>
        <v>0</v>
      </c>
      <c r="J33" s="1073"/>
      <c r="K33" s="1073"/>
      <c r="L33" s="1073"/>
      <c r="M33" s="1073"/>
      <c r="N33" s="1073"/>
      <c r="O33" s="1073"/>
      <c r="P33" s="1073"/>
      <c r="Q33" s="1073"/>
      <c r="R33" s="1073"/>
      <c r="S33" s="1073"/>
      <c r="T33" s="1073"/>
      <c r="U33" s="1073"/>
      <c r="V33" s="1073"/>
      <c r="W33" s="1352">
        <f t="shared" si="10"/>
        <v>0</v>
      </c>
      <c r="X33" s="1076"/>
      <c r="Y33" s="1352">
        <f t="shared" si="11"/>
        <v>0</v>
      </c>
      <c r="Z33" s="1355">
        <f t="shared" si="12"/>
        <v>0</v>
      </c>
      <c r="AA33" s="1073"/>
      <c r="AB33" s="1077"/>
      <c r="AC33" s="1059"/>
      <c r="AD33" s="1059"/>
    </row>
    <row r="34" spans="1:30" ht="15.6">
      <c r="A34" s="1066" t="s">
        <v>416</v>
      </c>
      <c r="B34" s="1072"/>
      <c r="C34" s="1073"/>
      <c r="D34" s="1073"/>
      <c r="E34" s="1349">
        <f t="shared" si="7"/>
        <v>0</v>
      </c>
      <c r="F34" s="1073"/>
      <c r="G34" s="1349">
        <f t="shared" si="8"/>
        <v>0</v>
      </c>
      <c r="H34" s="1073"/>
      <c r="I34" s="1349">
        <f t="shared" si="9"/>
        <v>0</v>
      </c>
      <c r="J34" s="1073"/>
      <c r="K34" s="1073"/>
      <c r="L34" s="1073"/>
      <c r="M34" s="1073"/>
      <c r="N34" s="1073"/>
      <c r="O34" s="1073"/>
      <c r="P34" s="1073"/>
      <c r="Q34" s="1073"/>
      <c r="R34" s="1073"/>
      <c r="S34" s="1073"/>
      <c r="T34" s="1073"/>
      <c r="U34" s="1073"/>
      <c r="V34" s="1073"/>
      <c r="W34" s="1352">
        <f t="shared" si="10"/>
        <v>0</v>
      </c>
      <c r="X34" s="1076"/>
      <c r="Y34" s="1352">
        <f t="shared" si="11"/>
        <v>0</v>
      </c>
      <c r="Z34" s="1355">
        <f t="shared" si="12"/>
        <v>0</v>
      </c>
      <c r="AA34" s="1073"/>
      <c r="AB34" s="1077"/>
      <c r="AC34" s="1059"/>
      <c r="AD34" s="1059"/>
    </row>
    <row r="35" spans="1:30" ht="15.6">
      <c r="A35" s="1066"/>
      <c r="B35" s="1072"/>
      <c r="C35" s="1073"/>
      <c r="D35" s="1073"/>
      <c r="E35" s="1349">
        <f t="shared" si="7"/>
        <v>0</v>
      </c>
      <c r="F35" s="1073"/>
      <c r="G35" s="1349">
        <f t="shared" si="8"/>
        <v>0</v>
      </c>
      <c r="H35" s="1073"/>
      <c r="I35" s="1349">
        <f t="shared" si="9"/>
        <v>0</v>
      </c>
      <c r="J35" s="1073"/>
      <c r="K35" s="1073"/>
      <c r="L35" s="1073"/>
      <c r="M35" s="1073"/>
      <c r="N35" s="1073"/>
      <c r="O35" s="1073"/>
      <c r="P35" s="1073"/>
      <c r="Q35" s="1073"/>
      <c r="R35" s="1073"/>
      <c r="S35" s="1073"/>
      <c r="T35" s="1073"/>
      <c r="U35" s="1073"/>
      <c r="V35" s="1073"/>
      <c r="W35" s="1352">
        <f t="shared" si="10"/>
        <v>0</v>
      </c>
      <c r="X35" s="1076"/>
      <c r="Y35" s="1352">
        <f t="shared" si="11"/>
        <v>0</v>
      </c>
      <c r="Z35" s="1355">
        <f t="shared" si="12"/>
        <v>0</v>
      </c>
      <c r="AA35" s="1073"/>
      <c r="AB35" s="1077"/>
      <c r="AC35" s="1059"/>
      <c r="AD35" s="1059"/>
    </row>
    <row r="36" spans="1:30" ht="15.6">
      <c r="A36" s="1066"/>
      <c r="B36" s="1072"/>
      <c r="C36" s="1073"/>
      <c r="D36" s="1073"/>
      <c r="E36" s="1349">
        <f t="shared" si="7"/>
        <v>0</v>
      </c>
      <c r="F36" s="1073"/>
      <c r="G36" s="1349">
        <f t="shared" si="8"/>
        <v>0</v>
      </c>
      <c r="H36" s="1073"/>
      <c r="I36" s="1349">
        <f t="shared" si="9"/>
        <v>0</v>
      </c>
      <c r="J36" s="1073"/>
      <c r="K36" s="1073"/>
      <c r="L36" s="1073"/>
      <c r="M36" s="1073"/>
      <c r="N36" s="1073"/>
      <c r="O36" s="1073"/>
      <c r="P36" s="1073"/>
      <c r="Q36" s="1073"/>
      <c r="R36" s="1073"/>
      <c r="S36" s="1073"/>
      <c r="T36" s="1073"/>
      <c r="U36" s="1073"/>
      <c r="V36" s="1073"/>
      <c r="W36" s="1352">
        <f t="shared" si="10"/>
        <v>0</v>
      </c>
      <c r="X36" s="1076"/>
      <c r="Y36" s="1352">
        <f t="shared" si="11"/>
        <v>0</v>
      </c>
      <c r="Z36" s="1355">
        <f t="shared" si="12"/>
        <v>0</v>
      </c>
      <c r="AA36" s="1073"/>
      <c r="AB36" s="1077"/>
      <c r="AC36" s="1059"/>
      <c r="AD36" s="1059"/>
    </row>
    <row r="37" spans="1:30" ht="15.6">
      <c r="A37" s="1066"/>
      <c r="B37" s="1072"/>
      <c r="C37" s="1073"/>
      <c r="D37" s="1073"/>
      <c r="E37" s="1349">
        <f t="shared" si="7"/>
        <v>0</v>
      </c>
      <c r="F37" s="1073"/>
      <c r="G37" s="1349">
        <f t="shared" si="8"/>
        <v>0</v>
      </c>
      <c r="H37" s="1073"/>
      <c r="I37" s="1349">
        <f t="shared" si="9"/>
        <v>0</v>
      </c>
      <c r="J37" s="1073"/>
      <c r="K37" s="1073"/>
      <c r="L37" s="1073"/>
      <c r="M37" s="1073"/>
      <c r="N37" s="1073"/>
      <c r="O37" s="1073"/>
      <c r="P37" s="1073"/>
      <c r="Q37" s="1073"/>
      <c r="R37" s="1073"/>
      <c r="S37" s="1073"/>
      <c r="T37" s="1073"/>
      <c r="U37" s="1073"/>
      <c r="V37" s="1073"/>
      <c r="W37" s="1352">
        <f t="shared" si="10"/>
        <v>0</v>
      </c>
      <c r="X37" s="1076"/>
      <c r="Y37" s="1352">
        <f t="shared" si="11"/>
        <v>0</v>
      </c>
      <c r="Z37" s="1355">
        <f t="shared" si="12"/>
        <v>0</v>
      </c>
      <c r="AA37" s="1073"/>
      <c r="AB37" s="1077"/>
      <c r="AC37" s="1059"/>
      <c r="AD37" s="1059"/>
    </row>
    <row r="38" spans="1:30" ht="15.6">
      <c r="A38" s="1066" t="s">
        <v>416</v>
      </c>
      <c r="B38" s="1072"/>
      <c r="C38" s="1073"/>
      <c r="D38" s="1073"/>
      <c r="E38" s="1349">
        <f t="shared" si="7"/>
        <v>0</v>
      </c>
      <c r="F38" s="1073"/>
      <c r="G38" s="1349">
        <f t="shared" si="8"/>
        <v>0</v>
      </c>
      <c r="H38" s="1073"/>
      <c r="I38" s="1349">
        <f t="shared" si="9"/>
        <v>0</v>
      </c>
      <c r="J38" s="1073"/>
      <c r="K38" s="1073"/>
      <c r="L38" s="1073"/>
      <c r="M38" s="1073"/>
      <c r="N38" s="1073"/>
      <c r="O38" s="1073"/>
      <c r="P38" s="1073"/>
      <c r="Q38" s="1073"/>
      <c r="R38" s="1073"/>
      <c r="S38" s="1073"/>
      <c r="T38" s="1073"/>
      <c r="U38" s="1073"/>
      <c r="V38" s="1073"/>
      <c r="W38" s="1352">
        <f t="shared" si="10"/>
        <v>0</v>
      </c>
      <c r="X38" s="1076"/>
      <c r="Y38" s="1352">
        <f t="shared" si="11"/>
        <v>0</v>
      </c>
      <c r="Z38" s="1355">
        <f t="shared" si="12"/>
        <v>0</v>
      </c>
      <c r="AA38" s="1073"/>
      <c r="AB38" s="1077"/>
      <c r="AC38" s="1059"/>
      <c r="AD38" s="1059"/>
    </row>
    <row r="39" spans="1:30" ht="15.6">
      <c r="A39" s="1066"/>
      <c r="B39" s="1072"/>
      <c r="C39" s="1073"/>
      <c r="D39" s="1073"/>
      <c r="E39" s="1349">
        <f t="shared" si="7"/>
        <v>0</v>
      </c>
      <c r="F39" s="1073"/>
      <c r="G39" s="1349">
        <f t="shared" si="8"/>
        <v>0</v>
      </c>
      <c r="H39" s="1073"/>
      <c r="I39" s="1349">
        <f t="shared" si="9"/>
        <v>0</v>
      </c>
      <c r="J39" s="1073"/>
      <c r="K39" s="1073"/>
      <c r="L39" s="1073"/>
      <c r="M39" s="1073"/>
      <c r="N39" s="1073"/>
      <c r="O39" s="1073"/>
      <c r="P39" s="1073"/>
      <c r="Q39" s="1073"/>
      <c r="R39" s="1073"/>
      <c r="S39" s="1073"/>
      <c r="T39" s="1073"/>
      <c r="U39" s="1073"/>
      <c r="V39" s="1073"/>
      <c r="W39" s="1352">
        <f t="shared" si="10"/>
        <v>0</v>
      </c>
      <c r="X39" s="1076"/>
      <c r="Y39" s="1352">
        <f t="shared" si="11"/>
        <v>0</v>
      </c>
      <c r="Z39" s="1355">
        <f t="shared" si="12"/>
        <v>0</v>
      </c>
      <c r="AA39" s="1073"/>
      <c r="AB39" s="1077"/>
      <c r="AC39" s="1059"/>
      <c r="AD39" s="1059"/>
    </row>
    <row r="40" spans="1:30" ht="15.6">
      <c r="A40" s="1066" t="s">
        <v>637</v>
      </c>
      <c r="B40" s="1079"/>
      <c r="C40" s="1080"/>
      <c r="D40" s="1080"/>
      <c r="E40" s="1358">
        <f t="shared" si="7"/>
        <v>0</v>
      </c>
      <c r="F40" s="1080"/>
      <c r="G40" s="1358">
        <f t="shared" si="8"/>
        <v>0</v>
      </c>
      <c r="H40" s="1080"/>
      <c r="I40" s="1358">
        <f t="shared" si="9"/>
        <v>0</v>
      </c>
      <c r="J40" s="1080"/>
      <c r="K40" s="1080"/>
      <c r="L40" s="1080"/>
      <c r="M40" s="1080"/>
      <c r="N40" s="1080"/>
      <c r="O40" s="1080"/>
      <c r="P40" s="1080"/>
      <c r="Q40" s="1080"/>
      <c r="R40" s="1080"/>
      <c r="S40" s="1080"/>
      <c r="T40" s="1080"/>
      <c r="U40" s="1080"/>
      <c r="V40" s="1080"/>
      <c r="W40" s="1359">
        <f t="shared" si="10"/>
        <v>0</v>
      </c>
      <c r="X40" s="1081"/>
      <c r="Y40" s="1359">
        <f t="shared" si="11"/>
        <v>0</v>
      </c>
      <c r="Z40" s="1360">
        <f t="shared" si="12"/>
        <v>0</v>
      </c>
      <c r="AA40" s="1081"/>
      <c r="AB40" s="1082"/>
      <c r="AC40" s="1059"/>
      <c r="AD40" s="1059"/>
    </row>
    <row r="41" spans="1:30" ht="15.6">
      <c r="A41" s="1083">
        <v>4</v>
      </c>
      <c r="B41" s="1074" t="s">
        <v>903</v>
      </c>
      <c r="C41" s="1074"/>
      <c r="D41" s="1074"/>
      <c r="E41" s="1074"/>
      <c r="F41" s="1074"/>
      <c r="G41" s="1074"/>
      <c r="H41" s="1074"/>
      <c r="I41" s="1074"/>
      <c r="J41" s="1074"/>
      <c r="K41" s="1074"/>
      <c r="L41" s="1074"/>
      <c r="M41" s="1074"/>
      <c r="N41" s="1074"/>
      <c r="O41" s="1074"/>
      <c r="P41" s="1074"/>
      <c r="Q41" s="1074"/>
      <c r="R41" s="1074"/>
      <c r="S41" s="1074"/>
      <c r="T41" s="1074"/>
      <c r="U41" s="1059"/>
      <c r="V41" s="1074"/>
      <c r="W41" s="1074"/>
      <c r="X41" s="1074"/>
      <c r="Y41" s="1075"/>
      <c r="Z41" s="1361">
        <f>SUM(Z30:Z40)</f>
        <v>0</v>
      </c>
      <c r="AA41" s="1075"/>
      <c r="AB41" s="1075"/>
      <c r="AC41" s="1059"/>
      <c r="AD41" s="1059"/>
    </row>
    <row r="42" spans="1:30" ht="15.6">
      <c r="A42" s="1061"/>
      <c r="B42" s="1061"/>
      <c r="C42" s="1061"/>
      <c r="D42" s="1061"/>
      <c r="E42" s="1061"/>
      <c r="F42" s="1061"/>
      <c r="G42" s="1061"/>
      <c r="H42" s="1061"/>
      <c r="I42" s="1061"/>
      <c r="J42" s="1061"/>
      <c r="K42" s="1061"/>
      <c r="L42" s="1061"/>
      <c r="M42" s="1061"/>
      <c r="N42" s="1061"/>
      <c r="O42" s="1061"/>
      <c r="P42" s="1061"/>
      <c r="Q42" s="1061"/>
      <c r="R42" s="1061"/>
      <c r="S42" s="1061"/>
      <c r="T42" s="1061"/>
      <c r="U42" s="1061"/>
      <c r="V42" s="1061"/>
      <c r="W42" s="1061"/>
      <c r="X42" s="1061"/>
      <c r="Y42" s="1061"/>
      <c r="Z42" s="1061"/>
      <c r="AA42" s="1061"/>
      <c r="AB42" s="1061"/>
      <c r="AC42" s="1059"/>
      <c r="AD42" s="1059"/>
    </row>
    <row r="43" spans="1:30" ht="15.6">
      <c r="A43" s="1061" t="s">
        <v>630</v>
      </c>
      <c r="B43" s="1061"/>
      <c r="C43" s="1061"/>
      <c r="D43" s="1061"/>
      <c r="E43" s="1061"/>
      <c r="F43" s="1061"/>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59"/>
      <c r="AD43" s="1059"/>
    </row>
    <row r="44" spans="1:30" ht="15.6">
      <c r="A44" s="1059"/>
      <c r="B44" s="1061"/>
      <c r="C44" s="1061"/>
      <c r="D44" s="1061"/>
      <c r="E44" s="1061"/>
      <c r="F44" s="1061"/>
      <c r="G44" s="1061"/>
      <c r="H44" s="1061"/>
      <c r="I44" s="1061"/>
      <c r="J44" s="1061"/>
      <c r="K44" s="1061"/>
      <c r="L44" s="1061"/>
      <c r="M44" s="1061"/>
      <c r="N44" s="1061"/>
      <c r="O44" s="1061"/>
      <c r="P44" s="1061"/>
      <c r="Q44" s="1061"/>
      <c r="R44" s="1061"/>
      <c r="S44" s="1061"/>
      <c r="T44" s="1061"/>
      <c r="U44" s="1061"/>
      <c r="V44" s="1061"/>
      <c r="W44" s="1061"/>
      <c r="X44" s="1061"/>
      <c r="Y44" s="1061"/>
      <c r="Z44" s="1061"/>
      <c r="AA44" s="1061"/>
      <c r="AB44" s="1061"/>
      <c r="AC44" s="1059"/>
      <c r="AD44" s="1059"/>
    </row>
    <row r="45" spans="1:30" ht="15.6">
      <c r="F45" s="1564"/>
      <c r="G45" s="1564"/>
      <c r="H45" s="1564"/>
      <c r="I45" s="1564"/>
      <c r="J45" s="1564"/>
      <c r="K45" s="1564"/>
      <c r="L45" s="1564"/>
      <c r="M45" s="1564"/>
      <c r="N45" s="1564"/>
      <c r="O45" s="1564"/>
      <c r="P45" s="1564"/>
      <c r="Q45" s="1564"/>
      <c r="R45" s="1564"/>
      <c r="S45" s="1059"/>
      <c r="T45" s="1059"/>
      <c r="U45" s="1059"/>
      <c r="V45" s="1059"/>
      <c r="W45" s="1059"/>
      <c r="X45" s="1059"/>
      <c r="Y45" s="1059"/>
      <c r="Z45" s="1059"/>
      <c r="AA45" s="1059"/>
      <c r="AB45" s="1059"/>
      <c r="AC45" s="1059"/>
      <c r="AD45" s="1059"/>
    </row>
    <row r="46" spans="1:30" ht="15.6">
      <c r="A46" s="1108" t="s">
        <v>697</v>
      </c>
      <c r="B46" s="1107"/>
      <c r="C46" s="1107"/>
      <c r="D46" s="1107"/>
      <c r="E46" s="1107"/>
      <c r="F46" s="1565"/>
      <c r="G46" s="1565"/>
      <c r="H46" s="1565"/>
      <c r="I46" s="1565"/>
      <c r="J46" s="1565"/>
      <c r="K46" s="1565"/>
      <c r="L46" s="1565"/>
      <c r="M46" s="1565"/>
      <c r="N46" s="1565"/>
      <c r="O46" s="1565"/>
      <c r="P46" s="1565"/>
      <c r="Q46" s="1565"/>
      <c r="R46" s="1565"/>
      <c r="S46" s="1059"/>
      <c r="T46" s="1059"/>
      <c r="U46" s="1059"/>
      <c r="V46" s="1059"/>
      <c r="W46" s="1059"/>
      <c r="X46" s="1059"/>
      <c r="Y46" s="1059"/>
      <c r="Z46" s="1059"/>
      <c r="AA46" s="1059"/>
      <c r="AB46" s="1059"/>
      <c r="AC46" s="1059"/>
      <c r="AD46" s="1059"/>
    </row>
    <row r="47" spans="1:30" ht="15.6">
      <c r="A47" s="1089"/>
      <c r="B47" s="1090"/>
      <c r="C47" s="1090"/>
      <c r="D47" s="1090"/>
      <c r="E47" s="1091"/>
      <c r="F47" s="1090"/>
      <c r="G47" s="1091"/>
      <c r="H47" s="1091"/>
      <c r="I47" s="1091"/>
      <c r="J47" s="1091"/>
      <c r="K47" s="1091"/>
      <c r="L47" s="1091"/>
      <c r="M47" s="1091"/>
      <c r="N47" s="1091"/>
      <c r="O47" s="1091"/>
      <c r="P47" s="1091"/>
      <c r="Q47" s="1091"/>
      <c r="R47" s="1091"/>
      <c r="S47" s="1059"/>
      <c r="T47" s="1059"/>
      <c r="U47" s="1059"/>
      <c r="V47" s="1059"/>
      <c r="W47" s="1059"/>
      <c r="X47" s="1059"/>
      <c r="Y47" s="1059"/>
      <c r="Z47" s="1059"/>
      <c r="AA47" s="1059"/>
      <c r="AB47" s="1059"/>
      <c r="AC47" s="1059"/>
      <c r="AD47" s="1059"/>
    </row>
    <row r="48" spans="1:30" ht="15.6">
      <c r="A48" s="1092"/>
      <c r="B48" s="1093" t="s">
        <v>467</v>
      </c>
      <c r="C48" s="1094" t="s">
        <v>468</v>
      </c>
      <c r="D48" s="1095" t="s">
        <v>646</v>
      </c>
      <c r="E48" s="1095" t="s">
        <v>502</v>
      </c>
      <c r="F48" s="1095" t="s">
        <v>647</v>
      </c>
      <c r="G48" s="1095" t="s">
        <v>504</v>
      </c>
      <c r="H48" s="1095" t="s">
        <v>505</v>
      </c>
      <c r="I48" s="1095" t="s">
        <v>506</v>
      </c>
      <c r="J48" s="1095" t="s">
        <v>538</v>
      </c>
      <c r="K48" s="1095" t="s">
        <v>539</v>
      </c>
      <c r="L48" s="1095" t="s">
        <v>595</v>
      </c>
      <c r="M48" s="1095" t="s">
        <v>596</v>
      </c>
      <c r="N48" s="1095" t="s">
        <v>597</v>
      </c>
      <c r="O48" s="1095" t="s">
        <v>598</v>
      </c>
      <c r="P48" s="1095" t="s">
        <v>599</v>
      </c>
      <c r="Q48" s="1094" t="s">
        <v>600</v>
      </c>
      <c r="R48" s="1092" t="s">
        <v>601</v>
      </c>
      <c r="S48" s="1059"/>
      <c r="T48" s="1059"/>
      <c r="U48" s="1059"/>
      <c r="V48" s="1059"/>
      <c r="W48" s="1059"/>
      <c r="X48" s="1059"/>
      <c r="Y48" s="1059"/>
      <c r="Z48" s="1059"/>
      <c r="AA48" s="1059"/>
      <c r="AB48" s="1059"/>
      <c r="AC48" s="1059"/>
      <c r="AD48" s="1059"/>
    </row>
    <row r="49" spans="1:30" ht="15.6">
      <c r="A49" s="1566" t="s">
        <v>38</v>
      </c>
      <c r="B49" s="1568" t="s">
        <v>648</v>
      </c>
      <c r="C49" s="1569" t="s">
        <v>649</v>
      </c>
      <c r="D49" s="1569" t="s">
        <v>678</v>
      </c>
      <c r="E49" s="1096" t="s">
        <v>650</v>
      </c>
      <c r="F49" s="1097" t="s">
        <v>651</v>
      </c>
      <c r="G49" s="1097" t="s">
        <v>652</v>
      </c>
      <c r="H49" s="1097" t="s">
        <v>653</v>
      </c>
      <c r="I49" s="1097" t="s">
        <v>1019</v>
      </c>
      <c r="J49" s="1097" t="s">
        <v>655</v>
      </c>
      <c r="K49" s="1097" t="s">
        <v>654</v>
      </c>
      <c r="L49" s="1097" t="s">
        <v>656</v>
      </c>
      <c r="M49" s="1097" t="s">
        <v>657</v>
      </c>
      <c r="N49" s="1097" t="s">
        <v>658</v>
      </c>
      <c r="O49" s="1097" t="s">
        <v>659</v>
      </c>
      <c r="P49" s="1097" t="s">
        <v>660</v>
      </c>
      <c r="Q49" s="1097" t="s">
        <v>650</v>
      </c>
      <c r="R49" s="1571" t="s">
        <v>912</v>
      </c>
      <c r="T49" s="1059"/>
      <c r="U49" s="1059"/>
      <c r="V49" s="1059"/>
      <c r="W49" s="1059"/>
      <c r="X49" s="1059"/>
      <c r="Y49" s="1059"/>
      <c r="Z49" s="1059"/>
      <c r="AA49" s="1059"/>
      <c r="AB49" s="1059"/>
      <c r="AC49" s="1059"/>
      <c r="AD49" s="1059"/>
    </row>
    <row r="50" spans="1:30" ht="24" customHeight="1">
      <c r="A50" s="1567"/>
      <c r="B50" s="1567"/>
      <c r="C50" s="1570"/>
      <c r="D50" s="1570"/>
      <c r="E50" s="1098" t="s">
        <v>661</v>
      </c>
      <c r="F50" s="1099" t="s">
        <v>662</v>
      </c>
      <c r="G50" s="1099" t="s">
        <v>662</v>
      </c>
      <c r="H50" s="1099" t="s">
        <v>662</v>
      </c>
      <c r="I50" s="1099" t="s">
        <v>662</v>
      </c>
      <c r="J50" s="1099" t="s">
        <v>662</v>
      </c>
      <c r="K50" s="1099" t="s">
        <v>662</v>
      </c>
      <c r="L50" s="1099" t="s">
        <v>662</v>
      </c>
      <c r="M50" s="1099" t="s">
        <v>662</v>
      </c>
      <c r="N50" s="1099" t="s">
        <v>662</v>
      </c>
      <c r="O50" s="1099" t="s">
        <v>662</v>
      </c>
      <c r="P50" s="1099" t="s">
        <v>662</v>
      </c>
      <c r="Q50" s="1099" t="s">
        <v>662</v>
      </c>
      <c r="R50" s="1572"/>
      <c r="T50" s="1059"/>
      <c r="U50" s="1059"/>
      <c r="V50" s="1059"/>
      <c r="W50" s="1059"/>
      <c r="X50" s="1059"/>
      <c r="Y50" s="1059"/>
      <c r="Z50" s="1059"/>
      <c r="AA50" s="1059"/>
      <c r="AB50" s="1059"/>
      <c r="AC50" s="1059"/>
      <c r="AD50" s="1059"/>
    </row>
    <row r="51" spans="1:30" ht="15.6">
      <c r="A51" s="1362" t="s">
        <v>685</v>
      </c>
      <c r="B51" s="1365"/>
      <c r="C51" s="1100"/>
      <c r="D51" s="1100"/>
      <c r="E51" s="1100"/>
      <c r="F51" s="1100"/>
      <c r="G51" s="1100"/>
      <c r="H51" s="1100"/>
      <c r="I51" s="1100"/>
      <c r="J51" s="1100"/>
      <c r="K51" s="1100"/>
      <c r="L51" s="1100"/>
      <c r="M51" s="1100"/>
      <c r="N51" s="1100"/>
      <c r="O51" s="1100"/>
      <c r="P51" s="1100"/>
      <c r="Q51" s="1100"/>
      <c r="R51" s="1366">
        <f t="shared" ref="R51:R60" si="13">IFERROR(SUM(E51:Q51)/13,0)</f>
        <v>0</v>
      </c>
      <c r="T51" s="1059"/>
      <c r="U51" s="1059"/>
      <c r="V51" s="1059"/>
      <c r="W51" s="1059"/>
      <c r="X51" s="1059"/>
      <c r="Y51" s="1059"/>
      <c r="Z51" s="1059"/>
      <c r="AA51" s="1059"/>
      <c r="AB51" s="1059"/>
      <c r="AC51" s="1059"/>
      <c r="AD51" s="1059"/>
    </row>
    <row r="52" spans="1:30" ht="15.6">
      <c r="A52" s="1363" t="s">
        <v>686</v>
      </c>
      <c r="B52" s="1367"/>
      <c r="C52" s="1100"/>
      <c r="D52" s="1100"/>
      <c r="E52" s="1100"/>
      <c r="F52" s="1100"/>
      <c r="G52" s="1100"/>
      <c r="H52" s="1100"/>
      <c r="I52" s="1100"/>
      <c r="J52" s="1100"/>
      <c r="K52" s="1100"/>
      <c r="L52" s="1100"/>
      <c r="M52" s="1100"/>
      <c r="N52" s="1100"/>
      <c r="O52" s="1100"/>
      <c r="P52" s="1100"/>
      <c r="Q52" s="1100"/>
      <c r="R52" s="1366">
        <f t="shared" si="13"/>
        <v>0</v>
      </c>
      <c r="T52" s="1059"/>
      <c r="U52" s="1059"/>
      <c r="V52" s="1059"/>
      <c r="W52" s="1059"/>
      <c r="X52" s="1059"/>
      <c r="Y52" s="1059"/>
      <c r="Z52" s="1059"/>
      <c r="AA52" s="1059"/>
      <c r="AB52" s="1059"/>
      <c r="AC52" s="1059"/>
      <c r="AD52" s="1059"/>
    </row>
    <row r="53" spans="1:30" ht="15.6">
      <c r="A53" s="1363" t="s">
        <v>687</v>
      </c>
      <c r="B53" s="1367"/>
      <c r="C53" s="1100"/>
      <c r="D53" s="1100"/>
      <c r="E53" s="1100"/>
      <c r="F53" s="1100"/>
      <c r="G53" s="1100"/>
      <c r="H53" s="1100"/>
      <c r="I53" s="1100"/>
      <c r="J53" s="1100"/>
      <c r="K53" s="1100"/>
      <c r="L53" s="1100"/>
      <c r="M53" s="1100"/>
      <c r="N53" s="1100"/>
      <c r="O53" s="1100"/>
      <c r="P53" s="1100"/>
      <c r="Q53" s="1100"/>
      <c r="R53" s="1366">
        <f t="shared" si="13"/>
        <v>0</v>
      </c>
      <c r="T53" s="1059"/>
      <c r="U53" s="1059"/>
      <c r="V53" s="1059"/>
      <c r="W53" s="1059"/>
      <c r="X53" s="1059"/>
      <c r="Y53" s="1059"/>
      <c r="Z53" s="1059"/>
      <c r="AA53" s="1059"/>
      <c r="AB53" s="1059"/>
      <c r="AC53" s="1059"/>
      <c r="AD53" s="1059"/>
    </row>
    <row r="54" spans="1:30" ht="15.6">
      <c r="A54" s="1363" t="s">
        <v>416</v>
      </c>
      <c r="B54" s="1367"/>
      <c r="C54" s="1100"/>
      <c r="D54" s="1100"/>
      <c r="E54" s="1100"/>
      <c r="F54" s="1100"/>
      <c r="G54" s="1100"/>
      <c r="H54" s="1100"/>
      <c r="I54" s="1100"/>
      <c r="J54" s="1100"/>
      <c r="K54" s="1100"/>
      <c r="L54" s="1100"/>
      <c r="M54" s="1100"/>
      <c r="N54" s="1100"/>
      <c r="O54" s="1100"/>
      <c r="P54" s="1100"/>
      <c r="Q54" s="1100"/>
      <c r="R54" s="1366">
        <f t="shared" si="13"/>
        <v>0</v>
      </c>
      <c r="T54" s="1059"/>
      <c r="U54" s="1059"/>
      <c r="V54" s="1059"/>
      <c r="W54" s="1059"/>
      <c r="X54" s="1059"/>
      <c r="Y54" s="1059"/>
      <c r="Z54" s="1059"/>
      <c r="AA54" s="1059"/>
      <c r="AB54" s="1059"/>
      <c r="AC54" s="1059"/>
      <c r="AD54" s="1059"/>
    </row>
    <row r="55" spans="1:30" ht="15.6">
      <c r="A55" s="1363" t="s">
        <v>416</v>
      </c>
      <c r="B55" s="1367"/>
      <c r="C55" s="1100"/>
      <c r="D55" s="1100"/>
      <c r="E55" s="1100"/>
      <c r="F55" s="1100"/>
      <c r="G55" s="1100"/>
      <c r="H55" s="1100"/>
      <c r="I55" s="1100"/>
      <c r="J55" s="1100"/>
      <c r="K55" s="1100"/>
      <c r="L55" s="1100"/>
      <c r="M55" s="1100"/>
      <c r="N55" s="1100"/>
      <c r="O55" s="1100"/>
      <c r="P55" s="1100"/>
      <c r="Q55" s="1100"/>
      <c r="R55" s="1366">
        <f t="shared" si="13"/>
        <v>0</v>
      </c>
      <c r="T55" s="1059"/>
      <c r="U55" s="1059"/>
      <c r="V55" s="1059"/>
      <c r="W55" s="1059"/>
      <c r="X55" s="1059"/>
      <c r="Y55" s="1059"/>
      <c r="Z55" s="1059"/>
      <c r="AA55" s="1059"/>
      <c r="AB55" s="1059"/>
      <c r="AC55" s="1059"/>
      <c r="AD55" s="1059"/>
    </row>
    <row r="56" spans="1:30" ht="15.6">
      <c r="A56" s="1363" t="s">
        <v>416</v>
      </c>
      <c r="B56" s="1367"/>
      <c r="C56" s="1100"/>
      <c r="D56" s="1100"/>
      <c r="E56" s="1100"/>
      <c r="F56" s="1100"/>
      <c r="G56" s="1100"/>
      <c r="H56" s="1100"/>
      <c r="I56" s="1100"/>
      <c r="J56" s="1100"/>
      <c r="K56" s="1100"/>
      <c r="L56" s="1100"/>
      <c r="M56" s="1100"/>
      <c r="N56" s="1100"/>
      <c r="O56" s="1100"/>
      <c r="P56" s="1100"/>
      <c r="Q56" s="1100"/>
      <c r="R56" s="1366">
        <f t="shared" si="13"/>
        <v>0</v>
      </c>
      <c r="T56" s="1059"/>
      <c r="U56" s="1059"/>
      <c r="V56" s="1059"/>
      <c r="W56" s="1059"/>
      <c r="X56" s="1059"/>
      <c r="Y56" s="1059"/>
      <c r="Z56" s="1059"/>
      <c r="AA56" s="1059"/>
      <c r="AB56" s="1059"/>
      <c r="AC56" s="1059"/>
      <c r="AD56" s="1059"/>
    </row>
    <row r="57" spans="1:30" ht="15.6">
      <c r="A57" s="1363" t="s">
        <v>416</v>
      </c>
      <c r="B57" s="1367"/>
      <c r="C57" s="1100"/>
      <c r="D57" s="1100"/>
      <c r="E57" s="1100"/>
      <c r="F57" s="1100"/>
      <c r="G57" s="1100"/>
      <c r="H57" s="1100"/>
      <c r="I57" s="1100"/>
      <c r="J57" s="1100"/>
      <c r="K57" s="1100"/>
      <c r="L57" s="1100"/>
      <c r="M57" s="1100"/>
      <c r="N57" s="1100"/>
      <c r="O57" s="1100"/>
      <c r="P57" s="1100"/>
      <c r="Q57" s="1100"/>
      <c r="R57" s="1366">
        <f t="shared" si="13"/>
        <v>0</v>
      </c>
      <c r="T57" s="1059"/>
      <c r="U57" s="1059"/>
      <c r="V57" s="1059"/>
      <c r="W57" s="1059"/>
      <c r="X57" s="1059"/>
      <c r="Y57" s="1059"/>
      <c r="Z57" s="1059"/>
      <c r="AA57" s="1059"/>
      <c r="AB57" s="1059"/>
      <c r="AC57" s="1059"/>
      <c r="AD57" s="1059"/>
    </row>
    <row r="58" spans="1:30" ht="15.6">
      <c r="A58" s="1363" t="s">
        <v>416</v>
      </c>
      <c r="B58" s="1367"/>
      <c r="C58" s="1100"/>
      <c r="D58" s="1100"/>
      <c r="E58" s="1100"/>
      <c r="F58" s="1100"/>
      <c r="G58" s="1100"/>
      <c r="H58" s="1100"/>
      <c r="I58" s="1100"/>
      <c r="J58" s="1100"/>
      <c r="K58" s="1100"/>
      <c r="L58" s="1100"/>
      <c r="M58" s="1100"/>
      <c r="N58" s="1100"/>
      <c r="O58" s="1100"/>
      <c r="P58" s="1100"/>
      <c r="Q58" s="1100"/>
      <c r="R58" s="1366">
        <f>IFERROR(SUM(E58:Q58)/13,0)</f>
        <v>0</v>
      </c>
      <c r="T58" s="1059"/>
      <c r="U58" s="1059"/>
      <c r="V58" s="1059"/>
      <c r="W58" s="1059"/>
      <c r="X58" s="1059"/>
      <c r="Y58" s="1059"/>
      <c r="Z58" s="1059"/>
      <c r="AA58" s="1059"/>
      <c r="AB58" s="1059"/>
      <c r="AC58" s="1059"/>
      <c r="AD58" s="1059"/>
    </row>
    <row r="59" spans="1:30" ht="15.6">
      <c r="A59" s="1363" t="s">
        <v>416</v>
      </c>
      <c r="B59" s="1367"/>
      <c r="C59" s="1100"/>
      <c r="D59" s="1100"/>
      <c r="E59" s="1100"/>
      <c r="F59" s="1100"/>
      <c r="G59" s="1100"/>
      <c r="H59" s="1100"/>
      <c r="I59" s="1100"/>
      <c r="J59" s="1100"/>
      <c r="K59" s="1100"/>
      <c r="L59" s="1100"/>
      <c r="M59" s="1100"/>
      <c r="N59" s="1100"/>
      <c r="O59" s="1100"/>
      <c r="P59" s="1100"/>
      <c r="Q59" s="1100"/>
      <c r="R59" s="1366">
        <f t="shared" si="13"/>
        <v>0</v>
      </c>
      <c r="T59" s="1059"/>
      <c r="U59" s="1059"/>
      <c r="V59" s="1059"/>
      <c r="W59" s="1059"/>
      <c r="X59" s="1059"/>
      <c r="Y59" s="1059"/>
      <c r="Z59" s="1059"/>
      <c r="AA59" s="1059"/>
      <c r="AB59" s="1059"/>
      <c r="AC59" s="1059"/>
      <c r="AD59" s="1059"/>
    </row>
    <row r="60" spans="1:30" ht="15.6">
      <c r="A60" s="1364" t="s">
        <v>688</v>
      </c>
      <c r="B60" s="1368"/>
      <c r="C60" s="1101"/>
      <c r="D60" s="1101"/>
      <c r="E60" s="1101"/>
      <c r="F60" s="1101"/>
      <c r="G60" s="1101"/>
      <c r="H60" s="1101"/>
      <c r="I60" s="1101"/>
      <c r="J60" s="1101"/>
      <c r="K60" s="1101"/>
      <c r="L60" s="1101"/>
      <c r="M60" s="1101"/>
      <c r="N60" s="1101"/>
      <c r="O60" s="1101"/>
      <c r="P60" s="1101"/>
      <c r="Q60" s="1101"/>
      <c r="R60" s="1369">
        <f t="shared" si="13"/>
        <v>0</v>
      </c>
      <c r="T60" s="1059"/>
      <c r="U60" s="1059"/>
      <c r="V60" s="1059"/>
      <c r="W60" s="1059"/>
      <c r="X60" s="1059"/>
      <c r="Y60" s="1059"/>
      <c r="Z60" s="1059"/>
      <c r="AA60" s="1059"/>
      <c r="AB60" s="1059"/>
      <c r="AC60" s="1059"/>
      <c r="AD60" s="1059"/>
    </row>
    <row r="61" spans="1:30" ht="15.6">
      <c r="A61" s="1115">
        <v>6</v>
      </c>
      <c r="B61" s="1120"/>
      <c r="C61" s="1102"/>
      <c r="D61" s="1102" t="s">
        <v>904</v>
      </c>
      <c r="F61" s="1103"/>
      <c r="G61" s="1103"/>
      <c r="H61" s="1103"/>
      <c r="I61" s="1103"/>
      <c r="J61" s="1103"/>
      <c r="K61" s="1103"/>
      <c r="L61" s="1103"/>
      <c r="M61" s="1103"/>
      <c r="N61" s="1104"/>
      <c r="O61" s="1104"/>
      <c r="P61" s="1104"/>
      <c r="Q61" s="1104"/>
      <c r="R61" s="1104"/>
      <c r="S61" s="1305">
        <f>SUM(R51:R60)</f>
        <v>0</v>
      </c>
      <c r="T61" s="1059"/>
      <c r="U61" s="1059"/>
      <c r="V61" s="1059"/>
      <c r="W61" s="1059"/>
      <c r="X61" s="1059"/>
      <c r="Y61" s="1059"/>
      <c r="Z61" s="1059"/>
      <c r="AA61" s="1059"/>
      <c r="AB61" s="1059"/>
      <c r="AC61" s="1059"/>
      <c r="AD61" s="1059"/>
    </row>
    <row r="62" spans="1:30" ht="15.6">
      <c r="A62" s="1059"/>
      <c r="B62" s="1059"/>
      <c r="C62" s="1059"/>
      <c r="D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row>
    <row r="63" spans="1:30" ht="15.6">
      <c r="A63" s="1061"/>
      <c r="B63" s="1061"/>
      <c r="C63" s="1061"/>
      <c r="D63" s="1061"/>
      <c r="E63" s="1061"/>
      <c r="F63" s="1061"/>
      <c r="G63" s="1061"/>
      <c r="H63" s="1061"/>
      <c r="I63" s="1061"/>
      <c r="J63" s="1061"/>
      <c r="K63" s="1061"/>
      <c r="L63" s="1061"/>
      <c r="M63" s="1061"/>
      <c r="N63" s="1061"/>
      <c r="O63" s="1061"/>
      <c r="P63" s="1061"/>
      <c r="Q63" s="1061"/>
      <c r="R63" s="1061"/>
      <c r="S63" s="1061"/>
      <c r="T63" s="1061"/>
      <c r="U63" s="1061"/>
      <c r="V63" s="1061"/>
      <c r="W63" s="1059"/>
      <c r="X63" s="1059"/>
      <c r="Y63" s="1059"/>
      <c r="Z63" s="1059"/>
      <c r="AA63" s="1059"/>
      <c r="AB63" s="1059"/>
      <c r="AC63" s="1059"/>
      <c r="AD63" s="1059"/>
    </row>
    <row r="64" spans="1:30" ht="15.6">
      <c r="A64" s="1060"/>
      <c r="B64" s="1061"/>
      <c r="C64" s="1061"/>
      <c r="D64" s="1061"/>
      <c r="E64" s="1061"/>
      <c r="F64" s="1061"/>
      <c r="G64" s="1061"/>
      <c r="H64" s="1061"/>
      <c r="I64" s="1061"/>
      <c r="J64" s="1061"/>
      <c r="K64" s="1061"/>
      <c r="L64" s="1061"/>
      <c r="M64" s="1061"/>
      <c r="N64" s="1061"/>
      <c r="O64" s="1061"/>
      <c r="P64" s="1061"/>
      <c r="Q64" s="1061"/>
      <c r="R64" s="1061"/>
      <c r="S64" s="1061"/>
      <c r="T64" s="1061"/>
      <c r="U64" s="1061"/>
      <c r="V64" s="1061"/>
      <c r="W64" s="1059"/>
      <c r="X64" s="1059"/>
      <c r="Y64" s="1059"/>
      <c r="Z64" s="1059"/>
      <c r="AA64" s="1059"/>
      <c r="AB64" s="1059"/>
      <c r="AC64" s="1059"/>
      <c r="AD64" s="1059"/>
    </row>
    <row r="65" spans="1:30" ht="15.6">
      <c r="A65" s="1062" t="s">
        <v>532</v>
      </c>
      <c r="B65" s="1061"/>
      <c r="C65" s="1061"/>
      <c r="D65" s="1061"/>
      <c r="E65" s="1061"/>
      <c r="F65" s="1061"/>
      <c r="G65" s="1059"/>
      <c r="H65" s="1059"/>
      <c r="I65" s="1059"/>
      <c r="J65" s="1059"/>
      <c r="K65" s="1059"/>
      <c r="L65" s="1059"/>
      <c r="M65" s="1059"/>
      <c r="N65" s="1059"/>
      <c r="O65" s="1059"/>
      <c r="P65" s="1059"/>
      <c r="Q65" s="1059"/>
      <c r="R65" s="1059"/>
      <c r="S65" s="1059"/>
      <c r="T65" s="1061"/>
      <c r="U65" s="1061"/>
      <c r="V65" s="1061"/>
      <c r="W65" s="1059"/>
      <c r="X65" s="1059"/>
      <c r="Y65" s="1059"/>
      <c r="Z65" s="1059"/>
      <c r="AA65" s="1059"/>
      <c r="AB65" s="1059"/>
      <c r="AC65" s="1059"/>
      <c r="AD65" s="1059"/>
    </row>
    <row r="66" spans="1:30" ht="15.6">
      <c r="A66" s="1060"/>
      <c r="B66" s="1061"/>
      <c r="C66" s="1061"/>
      <c r="D66" s="1061"/>
      <c r="E66" s="1061"/>
      <c r="F66" s="1061"/>
      <c r="G66" s="1059"/>
      <c r="H66" s="1059"/>
      <c r="I66" s="1059"/>
      <c r="J66" s="1059"/>
      <c r="K66" s="1059"/>
      <c r="L66" s="1059"/>
      <c r="M66" s="1059"/>
      <c r="N66" s="1059"/>
      <c r="O66" s="1059"/>
      <c r="P66" s="1059"/>
      <c r="Q66" s="1059"/>
      <c r="R66" s="1059"/>
      <c r="S66" s="1059"/>
      <c r="T66" s="1061"/>
      <c r="U66" s="1061"/>
      <c r="V66" s="1061"/>
      <c r="W66" s="1059"/>
      <c r="X66" s="1059"/>
      <c r="Y66" s="1059"/>
      <c r="Z66" s="1059"/>
      <c r="AA66" s="1059"/>
      <c r="AB66" s="1059"/>
      <c r="AC66" s="1059"/>
      <c r="AD66" s="1059"/>
    </row>
    <row r="67" spans="1:30" ht="15.6">
      <c r="A67" s="1060"/>
      <c r="B67" s="1063" t="s">
        <v>467</v>
      </c>
      <c r="C67" s="1063" t="s">
        <v>468</v>
      </c>
      <c r="D67" s="1064" t="s">
        <v>494</v>
      </c>
      <c r="E67" s="1063" t="s">
        <v>502</v>
      </c>
      <c r="F67" s="1064" t="s">
        <v>503</v>
      </c>
      <c r="G67" s="1063" t="s">
        <v>504</v>
      </c>
      <c r="H67" s="1064" t="s">
        <v>505</v>
      </c>
      <c r="I67" s="1063" t="s">
        <v>506</v>
      </c>
      <c r="J67" s="1064" t="s">
        <v>538</v>
      </c>
      <c r="K67" s="1063" t="s">
        <v>539</v>
      </c>
      <c r="L67" s="1064" t="s">
        <v>595</v>
      </c>
      <c r="M67" s="1063" t="s">
        <v>596</v>
      </c>
      <c r="N67" s="1064" t="s">
        <v>597</v>
      </c>
      <c r="O67" s="1063" t="s">
        <v>598</v>
      </c>
      <c r="P67" s="1064" t="s">
        <v>599</v>
      </c>
      <c r="Q67" s="1063" t="s">
        <v>600</v>
      </c>
      <c r="R67" s="1063" t="s">
        <v>601</v>
      </c>
      <c r="S67" s="1064" t="s">
        <v>602</v>
      </c>
      <c r="T67" s="1064" t="s">
        <v>603</v>
      </c>
      <c r="U67" s="1064" t="s">
        <v>605</v>
      </c>
      <c r="V67" s="1064" t="s">
        <v>607</v>
      </c>
      <c r="W67" s="1059"/>
      <c r="X67" s="1059"/>
      <c r="Y67" s="1059"/>
      <c r="Z67" s="1059"/>
      <c r="AA67" s="1059"/>
      <c r="AB67" s="1059"/>
      <c r="AC67" s="1059"/>
      <c r="AD67" s="1059"/>
    </row>
    <row r="68" spans="1:30" ht="15.6">
      <c r="A68" s="1105"/>
      <c r="B68" s="1579" t="s">
        <v>420</v>
      </c>
      <c r="C68" s="1581" t="s">
        <v>591</v>
      </c>
      <c r="D68" s="1581" t="s">
        <v>592</v>
      </c>
      <c r="E68" s="1581" t="s">
        <v>593</v>
      </c>
      <c r="F68" s="1581" t="s">
        <v>594</v>
      </c>
      <c r="G68" s="1096" t="s">
        <v>650</v>
      </c>
      <c r="H68" s="1097" t="s">
        <v>651</v>
      </c>
      <c r="I68" s="1097" t="s">
        <v>652</v>
      </c>
      <c r="J68" s="1097" t="s">
        <v>653</v>
      </c>
      <c r="K68" s="1097" t="s">
        <v>1019</v>
      </c>
      <c r="L68" s="1097" t="s">
        <v>655</v>
      </c>
      <c r="M68" s="1097" t="s">
        <v>654</v>
      </c>
      <c r="N68" s="1097" t="s">
        <v>656</v>
      </c>
      <c r="O68" s="1097" t="s">
        <v>657</v>
      </c>
      <c r="P68" s="1097" t="s">
        <v>658</v>
      </c>
      <c r="Q68" s="1097" t="s">
        <v>659</v>
      </c>
      <c r="R68" s="1097" t="s">
        <v>660</v>
      </c>
      <c r="S68" s="1097" t="s">
        <v>650</v>
      </c>
      <c r="T68" s="1575" t="s">
        <v>604</v>
      </c>
      <c r="U68" s="1575" t="s">
        <v>606</v>
      </c>
      <c r="V68" s="1577" t="s">
        <v>608</v>
      </c>
      <c r="W68" s="1059"/>
      <c r="X68" s="1059"/>
      <c r="Y68" s="1059"/>
      <c r="Z68" s="1059"/>
      <c r="AA68" s="1059"/>
      <c r="AB68" s="1059"/>
      <c r="AC68" s="1059"/>
      <c r="AD68" s="1059"/>
    </row>
    <row r="69" spans="1:30" ht="25.5" customHeight="1">
      <c r="A69" s="1106" t="s">
        <v>38</v>
      </c>
      <c r="B69" s="1580"/>
      <c r="C69" s="1582"/>
      <c r="D69" s="1582"/>
      <c r="E69" s="1582"/>
      <c r="F69" s="1582"/>
      <c r="G69" s="1098" t="s">
        <v>662</v>
      </c>
      <c r="H69" s="1099" t="s">
        <v>1017</v>
      </c>
      <c r="I69" s="1099" t="s">
        <v>1017</v>
      </c>
      <c r="J69" s="1099" t="s">
        <v>1017</v>
      </c>
      <c r="K69" s="1099" t="s">
        <v>1018</v>
      </c>
      <c r="L69" s="1099" t="s">
        <v>1017</v>
      </c>
      <c r="M69" s="1099" t="s">
        <v>1017</v>
      </c>
      <c r="N69" s="1099" t="s">
        <v>1017</v>
      </c>
      <c r="O69" s="1099" t="s">
        <v>1017</v>
      </c>
      <c r="P69" s="1099" t="s">
        <v>1017</v>
      </c>
      <c r="Q69" s="1099" t="s">
        <v>1017</v>
      </c>
      <c r="R69" s="1099" t="s">
        <v>1017</v>
      </c>
      <c r="S69" s="1099" t="s">
        <v>1017</v>
      </c>
      <c r="T69" s="1576"/>
      <c r="U69" s="1576"/>
      <c r="V69" s="1578"/>
      <c r="W69" s="1059"/>
      <c r="X69" s="1059"/>
      <c r="Y69" s="1059"/>
      <c r="Z69" s="1059"/>
      <c r="AA69" s="1059"/>
      <c r="AB69" s="1059"/>
      <c r="AC69" s="1059"/>
      <c r="AD69" s="1059"/>
    </row>
    <row r="70" spans="1:30" ht="15.6">
      <c r="A70" s="1066" t="s">
        <v>689</v>
      </c>
      <c r="B70" s="1068"/>
      <c r="C70" s="1068"/>
      <c r="D70" s="1068"/>
      <c r="E70" s="1068"/>
      <c r="F70" s="1068"/>
      <c r="G70" s="1068"/>
      <c r="H70" s="1068"/>
      <c r="I70" s="1068"/>
      <c r="J70" s="1068"/>
      <c r="K70" s="1068"/>
      <c r="L70" s="1441">
        <f>ROUND(244000000*0.9,0)</f>
        <v>219600000</v>
      </c>
      <c r="M70" s="1068">
        <v>0</v>
      </c>
      <c r="N70" s="1068">
        <v>0</v>
      </c>
      <c r="O70" s="1068">
        <v>0</v>
      </c>
      <c r="P70" s="1068">
        <v>0</v>
      </c>
      <c r="Q70" s="1068">
        <v>0</v>
      </c>
      <c r="R70" s="1068">
        <v>0</v>
      </c>
      <c r="S70" s="1068">
        <v>0</v>
      </c>
      <c r="T70" s="1428">
        <f>SUM(G70:S70)/13</f>
        <v>16892307.692307692</v>
      </c>
      <c r="U70" s="1431">
        <v>0</v>
      </c>
      <c r="V70" s="1434">
        <f>T70*U70</f>
        <v>0</v>
      </c>
      <c r="W70" s="1059"/>
      <c r="X70" s="1059"/>
      <c r="Y70" s="1059"/>
      <c r="Z70" s="1059"/>
      <c r="AA70" s="1059"/>
      <c r="AB70" s="1059"/>
      <c r="AC70" s="1059"/>
      <c r="AD70" s="1059"/>
    </row>
    <row r="71" spans="1:30" ht="15.6">
      <c r="A71" s="1066" t="s">
        <v>690</v>
      </c>
      <c r="B71" s="1073"/>
      <c r="C71" s="1073"/>
      <c r="D71" s="1073"/>
      <c r="E71" s="1073"/>
      <c r="F71" s="1073"/>
      <c r="G71" s="1073"/>
      <c r="H71" s="1073"/>
      <c r="I71" s="1073"/>
      <c r="J71" s="1073"/>
      <c r="K71" s="1073"/>
      <c r="L71" s="1073"/>
      <c r="M71" s="1073"/>
      <c r="N71" s="1073"/>
      <c r="O71" s="1073"/>
      <c r="P71" s="1073"/>
      <c r="Q71" s="1073"/>
      <c r="R71" s="1073"/>
      <c r="S71" s="1073"/>
      <c r="T71" s="1429">
        <f t="shared" ref="T71:T80" si="14">SUM(G71:S71)/13</f>
        <v>0</v>
      </c>
      <c r="U71" s="1432">
        <v>0</v>
      </c>
      <c r="V71" s="1435">
        <f t="shared" ref="V71:V80" si="15">T71*U71</f>
        <v>0</v>
      </c>
      <c r="W71" s="1059"/>
      <c r="X71" s="1059"/>
      <c r="Y71" s="1059"/>
      <c r="Z71" s="1059"/>
      <c r="AA71" s="1059"/>
      <c r="AB71" s="1059"/>
      <c r="AC71" s="1059"/>
      <c r="AD71" s="1059"/>
    </row>
    <row r="72" spans="1:30" ht="15.6">
      <c r="A72" s="1066" t="s">
        <v>691</v>
      </c>
      <c r="B72" s="1073"/>
      <c r="C72" s="1073"/>
      <c r="D72" s="1073"/>
      <c r="E72" s="1073"/>
      <c r="F72" s="1073"/>
      <c r="G72" s="1073"/>
      <c r="H72" s="1073"/>
      <c r="I72" s="1073"/>
      <c r="J72" s="1073"/>
      <c r="K72" s="1073"/>
      <c r="L72" s="1073"/>
      <c r="M72" s="1073"/>
      <c r="N72" s="1073"/>
      <c r="O72" s="1073"/>
      <c r="P72" s="1073"/>
      <c r="Q72" s="1073"/>
      <c r="R72" s="1073"/>
      <c r="S72" s="1073"/>
      <c r="T72" s="1429">
        <f t="shared" si="14"/>
        <v>0</v>
      </c>
      <c r="U72" s="1432">
        <v>0</v>
      </c>
      <c r="V72" s="1435">
        <f t="shared" si="15"/>
        <v>0</v>
      </c>
      <c r="W72" s="1059"/>
      <c r="X72" s="1059"/>
      <c r="Y72" s="1059"/>
      <c r="Z72" s="1059"/>
      <c r="AA72" s="1059"/>
      <c r="AB72" s="1059"/>
      <c r="AC72" s="1059"/>
      <c r="AD72" s="1059"/>
    </row>
    <row r="73" spans="1:30" ht="15.6">
      <c r="A73" s="1066"/>
      <c r="B73" s="1073"/>
      <c r="C73" s="1073"/>
      <c r="D73" s="1073"/>
      <c r="E73" s="1073"/>
      <c r="F73" s="1073"/>
      <c r="G73" s="1073"/>
      <c r="H73" s="1073"/>
      <c r="I73" s="1073"/>
      <c r="J73" s="1073"/>
      <c r="K73" s="1073"/>
      <c r="L73" s="1073"/>
      <c r="M73" s="1073"/>
      <c r="N73" s="1073"/>
      <c r="O73" s="1073"/>
      <c r="P73" s="1073"/>
      <c r="Q73" s="1073"/>
      <c r="R73" s="1073"/>
      <c r="S73" s="1073"/>
      <c r="T73" s="1429">
        <f t="shared" si="14"/>
        <v>0</v>
      </c>
      <c r="U73" s="1432">
        <v>0</v>
      </c>
      <c r="V73" s="1435">
        <f t="shared" si="15"/>
        <v>0</v>
      </c>
      <c r="W73" s="1059"/>
      <c r="X73" s="1059"/>
      <c r="Y73" s="1059"/>
      <c r="Z73" s="1059"/>
      <c r="AA73" s="1059"/>
      <c r="AB73" s="1059"/>
      <c r="AC73" s="1059"/>
      <c r="AD73" s="1059"/>
    </row>
    <row r="74" spans="1:30" ht="15.6">
      <c r="A74" s="1066" t="s">
        <v>416</v>
      </c>
      <c r="B74" s="1073"/>
      <c r="C74" s="1073"/>
      <c r="D74" s="1073"/>
      <c r="E74" s="1073"/>
      <c r="F74" s="1073"/>
      <c r="G74" s="1073"/>
      <c r="H74" s="1073"/>
      <c r="I74" s="1073"/>
      <c r="J74" s="1073"/>
      <c r="K74" s="1073"/>
      <c r="L74" s="1073"/>
      <c r="M74" s="1073"/>
      <c r="N74" s="1073"/>
      <c r="O74" s="1073"/>
      <c r="P74" s="1073"/>
      <c r="Q74" s="1073"/>
      <c r="R74" s="1073"/>
      <c r="S74" s="1073"/>
      <c r="T74" s="1429">
        <f t="shared" si="14"/>
        <v>0</v>
      </c>
      <c r="U74" s="1432">
        <v>0</v>
      </c>
      <c r="V74" s="1435">
        <f t="shared" si="15"/>
        <v>0</v>
      </c>
      <c r="W74" s="1059"/>
      <c r="X74" s="1059"/>
      <c r="Y74" s="1059"/>
      <c r="Z74" s="1059"/>
      <c r="AA74" s="1059"/>
      <c r="AB74" s="1059"/>
      <c r="AC74" s="1059"/>
      <c r="AD74" s="1059"/>
    </row>
    <row r="75" spans="1:30" ht="15.6">
      <c r="A75" s="1066"/>
      <c r="B75" s="1073"/>
      <c r="C75" s="1073"/>
      <c r="D75" s="1073"/>
      <c r="E75" s="1073"/>
      <c r="F75" s="1073"/>
      <c r="G75" s="1073"/>
      <c r="H75" s="1073"/>
      <c r="I75" s="1073"/>
      <c r="J75" s="1073"/>
      <c r="K75" s="1073"/>
      <c r="L75" s="1073"/>
      <c r="M75" s="1073"/>
      <c r="N75" s="1073"/>
      <c r="O75" s="1073"/>
      <c r="P75" s="1073"/>
      <c r="Q75" s="1073"/>
      <c r="R75" s="1073"/>
      <c r="S75" s="1073"/>
      <c r="T75" s="1429">
        <f t="shared" si="14"/>
        <v>0</v>
      </c>
      <c r="U75" s="1432">
        <v>0</v>
      </c>
      <c r="V75" s="1435">
        <f t="shared" si="15"/>
        <v>0</v>
      </c>
      <c r="W75" s="1059"/>
      <c r="X75" s="1059"/>
      <c r="Y75" s="1059"/>
      <c r="Z75" s="1059"/>
      <c r="AA75" s="1059"/>
      <c r="AB75" s="1059"/>
      <c r="AC75" s="1059"/>
      <c r="AD75" s="1059"/>
    </row>
    <row r="76" spans="1:30" ht="15.6">
      <c r="A76" s="1066"/>
      <c r="B76" s="1073"/>
      <c r="C76" s="1073"/>
      <c r="D76" s="1073"/>
      <c r="E76" s="1073"/>
      <c r="F76" s="1073"/>
      <c r="G76" s="1073"/>
      <c r="H76" s="1073"/>
      <c r="I76" s="1073"/>
      <c r="J76" s="1073"/>
      <c r="K76" s="1073"/>
      <c r="L76" s="1073"/>
      <c r="M76" s="1073"/>
      <c r="N76" s="1073"/>
      <c r="O76" s="1073"/>
      <c r="P76" s="1073"/>
      <c r="Q76" s="1073"/>
      <c r="R76" s="1073"/>
      <c r="S76" s="1073"/>
      <c r="T76" s="1429">
        <f t="shared" si="14"/>
        <v>0</v>
      </c>
      <c r="U76" s="1432">
        <v>0</v>
      </c>
      <c r="V76" s="1435">
        <f t="shared" si="15"/>
        <v>0</v>
      </c>
      <c r="W76" s="1059"/>
      <c r="X76" s="1059"/>
      <c r="Y76" s="1059"/>
      <c r="Z76" s="1059"/>
      <c r="AA76" s="1059"/>
      <c r="AB76" s="1059"/>
      <c r="AC76" s="1059"/>
      <c r="AD76" s="1059"/>
    </row>
    <row r="77" spans="1:30" ht="15.6">
      <c r="A77" s="1066"/>
      <c r="B77" s="1073"/>
      <c r="C77" s="1073"/>
      <c r="D77" s="1073"/>
      <c r="E77" s="1073"/>
      <c r="F77" s="1073"/>
      <c r="G77" s="1073"/>
      <c r="H77" s="1073"/>
      <c r="I77" s="1073"/>
      <c r="J77" s="1073"/>
      <c r="K77" s="1073"/>
      <c r="L77" s="1073"/>
      <c r="M77" s="1073"/>
      <c r="N77" s="1073"/>
      <c r="O77" s="1073"/>
      <c r="P77" s="1073"/>
      <c r="Q77" s="1073"/>
      <c r="R77" s="1073"/>
      <c r="S77" s="1073"/>
      <c r="T77" s="1429">
        <f t="shared" si="14"/>
        <v>0</v>
      </c>
      <c r="U77" s="1432">
        <v>0</v>
      </c>
      <c r="V77" s="1435">
        <f t="shared" si="15"/>
        <v>0</v>
      </c>
      <c r="W77" s="1059"/>
      <c r="X77" s="1059"/>
      <c r="Y77" s="1059"/>
      <c r="Z77" s="1059"/>
      <c r="AA77" s="1059"/>
      <c r="AB77" s="1059"/>
      <c r="AC77" s="1059"/>
      <c r="AD77" s="1059"/>
    </row>
    <row r="78" spans="1:30" ht="15.6">
      <c r="A78" s="1066" t="s">
        <v>416</v>
      </c>
      <c r="B78" s="1073"/>
      <c r="C78" s="1073"/>
      <c r="D78" s="1073"/>
      <c r="E78" s="1073"/>
      <c r="F78" s="1073"/>
      <c r="G78" s="1073"/>
      <c r="H78" s="1073"/>
      <c r="I78" s="1073"/>
      <c r="J78" s="1073"/>
      <c r="K78" s="1073"/>
      <c r="L78" s="1073"/>
      <c r="M78" s="1073"/>
      <c r="N78" s="1073"/>
      <c r="O78" s="1073"/>
      <c r="P78" s="1073"/>
      <c r="Q78" s="1073"/>
      <c r="R78" s="1073"/>
      <c r="S78" s="1073"/>
      <c r="T78" s="1429">
        <f t="shared" si="14"/>
        <v>0</v>
      </c>
      <c r="U78" s="1432">
        <v>0</v>
      </c>
      <c r="V78" s="1435">
        <f t="shared" si="15"/>
        <v>0</v>
      </c>
      <c r="W78" s="1059"/>
      <c r="X78" s="1059"/>
      <c r="Y78" s="1059"/>
      <c r="Z78" s="1059"/>
      <c r="AA78" s="1059"/>
      <c r="AB78" s="1059"/>
      <c r="AC78" s="1059"/>
      <c r="AD78" s="1059"/>
    </row>
    <row r="79" spans="1:30" ht="15.6">
      <c r="A79" s="1066"/>
      <c r="B79" s="1073"/>
      <c r="C79" s="1073"/>
      <c r="D79" s="1073"/>
      <c r="E79" s="1073"/>
      <c r="F79" s="1073"/>
      <c r="G79" s="1073"/>
      <c r="H79" s="1073"/>
      <c r="I79" s="1073"/>
      <c r="J79" s="1073"/>
      <c r="K79" s="1073"/>
      <c r="L79" s="1073"/>
      <c r="M79" s="1073"/>
      <c r="N79" s="1073"/>
      <c r="O79" s="1073"/>
      <c r="P79" s="1073"/>
      <c r="Q79" s="1073"/>
      <c r="R79" s="1073"/>
      <c r="S79" s="1073"/>
      <c r="T79" s="1429">
        <f t="shared" si="14"/>
        <v>0</v>
      </c>
      <c r="U79" s="1432">
        <v>0</v>
      </c>
      <c r="V79" s="1435">
        <f t="shared" si="15"/>
        <v>0</v>
      </c>
      <c r="W79" s="1059"/>
      <c r="X79" s="1059"/>
      <c r="Y79" s="1059"/>
      <c r="Z79" s="1059"/>
      <c r="AA79" s="1059"/>
      <c r="AB79" s="1059"/>
      <c r="AC79" s="1059"/>
      <c r="AD79" s="1059"/>
    </row>
    <row r="80" spans="1:30" ht="15.6">
      <c r="A80" s="1078" t="s">
        <v>692</v>
      </c>
      <c r="B80" s="1080"/>
      <c r="C80" s="1080"/>
      <c r="D80" s="1080"/>
      <c r="E80" s="1080"/>
      <c r="F80" s="1080"/>
      <c r="G80" s="1080"/>
      <c r="H80" s="1080"/>
      <c r="I80" s="1080"/>
      <c r="J80" s="1080"/>
      <c r="K80" s="1080"/>
      <c r="L80" s="1080"/>
      <c r="M80" s="1080"/>
      <c r="N80" s="1080"/>
      <c r="O80" s="1080"/>
      <c r="P80" s="1080"/>
      <c r="Q80" s="1080"/>
      <c r="R80" s="1080"/>
      <c r="S80" s="1080"/>
      <c r="T80" s="1430">
        <f t="shared" si="14"/>
        <v>0</v>
      </c>
      <c r="U80" s="1433">
        <v>0</v>
      </c>
      <c r="V80" s="1436">
        <f t="shared" si="15"/>
        <v>0</v>
      </c>
      <c r="W80" s="1059"/>
      <c r="X80" s="1059"/>
      <c r="Y80" s="1059"/>
      <c r="Z80" s="1059"/>
      <c r="AA80" s="1059"/>
      <c r="AB80" s="1059"/>
      <c r="AC80" s="1059"/>
      <c r="AD80" s="1059"/>
    </row>
    <row r="81" spans="1:30" ht="15.6">
      <c r="A81" s="1083">
        <v>8</v>
      </c>
      <c r="B81" s="1038" t="s">
        <v>905</v>
      </c>
      <c r="C81" s="1069"/>
      <c r="D81" s="1069"/>
      <c r="E81" s="1069"/>
      <c r="F81" s="1069"/>
      <c r="G81" s="1069"/>
      <c r="H81" s="1069"/>
      <c r="I81" s="1069"/>
      <c r="J81" s="1069"/>
      <c r="K81" s="1069"/>
      <c r="L81" s="1069"/>
      <c r="M81" s="1069"/>
      <c r="N81" s="1069"/>
      <c r="O81" s="1069"/>
      <c r="P81" s="1069"/>
      <c r="Q81" s="1069"/>
      <c r="R81" s="1069"/>
      <c r="S81" s="1069"/>
      <c r="T81" s="1069" t="s">
        <v>611</v>
      </c>
      <c r="U81" s="1069"/>
      <c r="V81" s="1301">
        <f>SUM(V70:V80)</f>
        <v>0</v>
      </c>
      <c r="W81" s="1059"/>
      <c r="X81" s="1059"/>
      <c r="Y81" s="1059"/>
      <c r="Z81" s="1059"/>
      <c r="AA81" s="1059"/>
      <c r="AB81" s="1059"/>
      <c r="AC81" s="1059"/>
      <c r="AD81" s="1059"/>
    </row>
    <row r="82" spans="1:30" ht="15.6">
      <c r="A82" s="1061"/>
      <c r="B82" s="1061"/>
      <c r="C82" s="1061"/>
      <c r="D82" s="1061"/>
      <c r="E82" s="1061"/>
      <c r="F82" s="1061"/>
      <c r="G82" s="1061"/>
      <c r="H82" s="1061"/>
      <c r="I82" s="1061"/>
      <c r="J82" s="1061"/>
      <c r="K82" s="1061"/>
      <c r="L82" s="1061"/>
      <c r="M82" s="1061"/>
      <c r="N82" s="1061"/>
      <c r="O82" s="1061"/>
      <c r="P82" s="1061"/>
      <c r="Q82" s="1061"/>
      <c r="R82" s="1061"/>
      <c r="S82" s="1061"/>
      <c r="T82" s="1061"/>
      <c r="U82" s="1061"/>
      <c r="V82" s="1061"/>
      <c r="W82" s="1059"/>
      <c r="X82" s="1059"/>
      <c r="Y82" s="1059"/>
      <c r="Z82" s="1059"/>
      <c r="AA82" s="1059"/>
      <c r="AB82" s="1059"/>
      <c r="AC82" s="1059"/>
      <c r="AD82" s="1059"/>
    </row>
    <row r="83" spans="1:30" ht="15.6">
      <c r="A83" s="1061" t="s">
        <v>675</v>
      </c>
      <c r="B83" s="1061"/>
      <c r="C83" s="1061"/>
      <c r="D83" s="1061"/>
      <c r="E83" s="1061"/>
      <c r="F83" s="1061"/>
      <c r="G83" s="1061"/>
      <c r="H83" s="1061"/>
      <c r="I83" s="1061"/>
      <c r="J83" s="1061"/>
      <c r="K83" s="1061"/>
      <c r="L83" s="1061"/>
      <c r="M83" s="1061"/>
      <c r="N83" s="1061"/>
      <c r="O83" s="1061"/>
      <c r="P83" s="1061"/>
      <c r="Q83" s="1061"/>
      <c r="R83" s="1061"/>
      <c r="S83" s="1061"/>
      <c r="T83" s="1061"/>
      <c r="U83" s="1061"/>
      <c r="V83" s="1061"/>
      <c r="W83" s="1059"/>
      <c r="X83" s="1059"/>
      <c r="Y83" s="1059"/>
      <c r="Z83" s="1059"/>
      <c r="AA83" s="1059"/>
      <c r="AB83" s="1059"/>
      <c r="AC83" s="1059"/>
      <c r="AD83" s="1059"/>
    </row>
    <row r="84" spans="1:30" ht="15.6">
      <c r="A84" s="1061"/>
      <c r="B84" s="1061"/>
      <c r="C84" s="1061"/>
      <c r="D84" s="1061"/>
      <c r="E84" s="1061"/>
      <c r="F84" s="1061"/>
      <c r="G84" s="1061"/>
      <c r="H84" s="1061"/>
      <c r="I84" s="1061"/>
      <c r="J84" s="1061"/>
      <c r="K84" s="1061"/>
      <c r="L84" s="1061"/>
      <c r="M84" s="1061"/>
      <c r="N84" s="1061"/>
      <c r="O84" s="1061"/>
      <c r="P84" s="1061"/>
      <c r="Q84" s="1061"/>
      <c r="R84" s="1061"/>
      <c r="S84" s="1061"/>
      <c r="T84" s="1061"/>
      <c r="U84" s="1061"/>
      <c r="V84" s="1061"/>
      <c r="W84" s="1059"/>
      <c r="X84" s="1059"/>
      <c r="Y84" s="1059"/>
      <c r="Z84" s="1059"/>
      <c r="AA84" s="1059"/>
      <c r="AB84" s="1059"/>
      <c r="AC84" s="1059"/>
      <c r="AD84" s="1059"/>
    </row>
    <row r="85" spans="1:30" ht="15.6">
      <c r="A85" s="1057"/>
      <c r="B85" s="1084"/>
      <c r="C85" s="1084"/>
      <c r="D85" s="1085"/>
      <c r="E85" s="1085"/>
      <c r="F85" s="1085"/>
      <c r="G85" s="1086"/>
      <c r="H85" s="1086"/>
      <c r="I85" s="1085"/>
      <c r="J85" s="1085"/>
      <c r="K85" s="1085"/>
      <c r="L85" s="1085"/>
      <c r="M85" s="1085"/>
      <c r="N85" s="1059"/>
      <c r="O85" s="1059"/>
      <c r="P85" s="1059"/>
      <c r="Q85" s="1059"/>
      <c r="R85" s="1059"/>
      <c r="S85" s="1059"/>
      <c r="T85" s="1059"/>
      <c r="U85" s="1059"/>
      <c r="V85" s="1059"/>
      <c r="W85" s="1059"/>
      <c r="X85" s="1059"/>
      <c r="Y85" s="1059"/>
      <c r="Z85" s="1059"/>
      <c r="AA85" s="1059"/>
      <c r="AB85" s="1059"/>
      <c r="AC85" s="1059"/>
      <c r="AD85" s="1059"/>
    </row>
    <row r="86" spans="1:30" ht="15.6">
      <c r="A86" s="1057"/>
      <c r="B86" s="1084"/>
      <c r="C86" s="1084"/>
      <c r="D86" s="1084"/>
      <c r="E86" s="1084"/>
      <c r="F86" s="1084"/>
      <c r="G86" s="1084"/>
      <c r="H86" s="1084"/>
      <c r="I86" s="1084"/>
      <c r="J86" s="1084"/>
      <c r="K86" s="1084"/>
      <c r="L86" s="1084"/>
      <c r="M86" s="1084"/>
      <c r="N86" s="1059"/>
      <c r="O86" s="1059"/>
      <c r="P86" s="1059"/>
      <c r="Q86" s="1059"/>
      <c r="R86" s="1059"/>
      <c r="S86" s="1059"/>
      <c r="T86" s="1059"/>
      <c r="U86" s="1059"/>
      <c r="V86" s="1059"/>
      <c r="W86" s="1059"/>
      <c r="X86" s="1059"/>
      <c r="Y86" s="1059"/>
      <c r="Z86" s="1059"/>
      <c r="AA86" s="1059"/>
      <c r="AB86" s="1059"/>
      <c r="AC86" s="1059"/>
      <c r="AD86" s="1059"/>
    </row>
    <row r="87" spans="1:30" ht="15.6">
      <c r="A87" s="1374" t="s">
        <v>664</v>
      </c>
      <c r="B87" s="1374"/>
      <c r="C87" s="1374"/>
      <c r="D87" s="1084"/>
      <c r="E87" s="1084"/>
      <c r="F87" s="1084"/>
      <c r="G87" s="1084"/>
      <c r="H87" s="1084"/>
      <c r="I87" s="1084"/>
      <c r="J87" s="1084"/>
      <c r="K87" s="1084"/>
      <c r="L87" s="1084"/>
      <c r="M87" s="1084"/>
      <c r="N87" s="1059"/>
      <c r="O87" s="1059"/>
      <c r="P87" s="1059"/>
      <c r="Q87" s="1059"/>
      <c r="R87" s="1059"/>
      <c r="S87" s="1059"/>
      <c r="T87" s="1059"/>
      <c r="U87" s="1059"/>
      <c r="V87" s="1059"/>
      <c r="W87" s="1059"/>
      <c r="X87" s="1059"/>
      <c r="Y87" s="1059"/>
      <c r="Z87" s="1059"/>
      <c r="AA87" s="1059"/>
      <c r="AB87" s="1059"/>
      <c r="AC87" s="1059"/>
      <c r="AD87" s="1059"/>
    </row>
    <row r="88" spans="1:30" ht="15.6">
      <c r="A88" s="1057"/>
      <c r="B88" s="1084" t="s">
        <v>969</v>
      </c>
      <c r="C88" s="1084"/>
      <c r="D88" s="1084"/>
      <c r="E88" s="1084"/>
      <c r="F88" s="1084"/>
      <c r="G88" s="1084"/>
      <c r="H88" s="1084"/>
      <c r="I88" s="1084"/>
      <c r="J88" s="1084"/>
      <c r="K88" s="1084"/>
      <c r="L88" s="1084"/>
      <c r="M88" s="1084"/>
      <c r="N88" s="1059"/>
      <c r="O88" s="1059"/>
      <c r="P88" s="1059"/>
      <c r="Q88" s="1059"/>
      <c r="R88" s="1059"/>
      <c r="S88" s="1059"/>
      <c r="T88" s="1059"/>
      <c r="U88" s="1059"/>
      <c r="V88" s="1059"/>
      <c r="W88" s="1059"/>
      <c r="X88" s="1059"/>
      <c r="Y88" s="1059"/>
      <c r="Z88" s="1059"/>
      <c r="AA88" s="1059"/>
      <c r="AB88" s="1059"/>
      <c r="AC88" s="1059"/>
      <c r="AD88" s="1059"/>
    </row>
    <row r="89" spans="1:30" ht="15.6">
      <c r="A89" s="1057"/>
      <c r="B89" s="1084"/>
      <c r="C89" s="1084"/>
      <c r="D89" s="1084"/>
      <c r="E89" s="1084"/>
      <c r="F89" s="1084"/>
      <c r="G89" s="1084"/>
      <c r="H89" s="1084"/>
      <c r="I89" s="1084"/>
      <c r="J89" s="1084"/>
      <c r="K89" s="1084"/>
      <c r="L89" s="1084"/>
      <c r="M89" s="1084"/>
      <c r="N89" s="1059"/>
      <c r="O89" s="1059"/>
      <c r="P89" s="1059"/>
      <c r="Q89" s="1059"/>
      <c r="R89" s="1059"/>
      <c r="S89" s="1059"/>
      <c r="T89" s="1059"/>
      <c r="U89" s="1059"/>
      <c r="V89" s="1059"/>
      <c r="W89" s="1059"/>
      <c r="X89" s="1059"/>
      <c r="Y89" s="1059"/>
      <c r="Z89" s="1059"/>
      <c r="AA89" s="1059"/>
      <c r="AB89" s="1059"/>
      <c r="AC89" s="1059"/>
      <c r="AD89" s="1059"/>
    </row>
    <row r="90" spans="1:30" ht="15.6">
      <c r="A90" s="1040"/>
      <c r="B90" s="1041" t="s">
        <v>663</v>
      </c>
      <c r="C90" s="1042">
        <v>350</v>
      </c>
      <c r="D90" s="1042">
        <v>352</v>
      </c>
      <c r="E90" s="1042">
        <v>352</v>
      </c>
      <c r="F90" s="1042">
        <v>353</v>
      </c>
      <c r="G90" s="1042">
        <v>354</v>
      </c>
      <c r="H90" s="1042">
        <v>355</v>
      </c>
      <c r="I90" s="1042">
        <v>356</v>
      </c>
      <c r="J90" s="1042">
        <v>357</v>
      </c>
      <c r="K90" s="1042">
        <v>358</v>
      </c>
      <c r="L90" s="1042">
        <v>359</v>
      </c>
      <c r="M90" s="1043"/>
      <c r="N90" s="1059"/>
      <c r="O90" s="1059"/>
      <c r="P90" s="1059"/>
      <c r="Q90" s="1059"/>
      <c r="R90" s="1059"/>
      <c r="S90" s="1059"/>
      <c r="T90" s="1059"/>
      <c r="U90" s="1059"/>
      <c r="V90" s="1059"/>
      <c r="W90" s="1059"/>
      <c r="X90" s="1059"/>
      <c r="Y90" s="1059"/>
      <c r="Z90" s="1059"/>
      <c r="AA90" s="1059"/>
      <c r="AB90" s="1059"/>
      <c r="AC90" s="1059"/>
      <c r="AD90" s="1059"/>
    </row>
    <row r="91" spans="1:30" ht="58.5" customHeight="1">
      <c r="A91" s="1044"/>
      <c r="B91" s="1045"/>
      <c r="C91" s="1046" t="s">
        <v>665</v>
      </c>
      <c r="D91" s="1046" t="s">
        <v>666</v>
      </c>
      <c r="E91" s="1046" t="s">
        <v>667</v>
      </c>
      <c r="F91" s="1046" t="s">
        <v>668</v>
      </c>
      <c r="G91" s="1046" t="s">
        <v>669</v>
      </c>
      <c r="H91" s="1046" t="s">
        <v>670</v>
      </c>
      <c r="I91" s="1046" t="s">
        <v>671</v>
      </c>
      <c r="J91" s="1046" t="s">
        <v>672</v>
      </c>
      <c r="K91" s="1046" t="s">
        <v>673</v>
      </c>
      <c r="L91" s="1046" t="s">
        <v>674</v>
      </c>
      <c r="M91" s="1047" t="s">
        <v>42</v>
      </c>
      <c r="N91" s="1059"/>
      <c r="O91" s="1059"/>
      <c r="P91" s="1059"/>
      <c r="Q91" s="1059"/>
      <c r="R91" s="1059"/>
      <c r="S91" s="1059"/>
      <c r="T91" s="1059"/>
      <c r="U91" s="1059"/>
      <c r="V91" s="1059"/>
      <c r="W91" s="1059"/>
      <c r="X91" s="1059"/>
      <c r="Y91" s="1059"/>
      <c r="Z91" s="1059"/>
      <c r="AA91" s="1059"/>
      <c r="AB91" s="1059"/>
      <c r="AC91" s="1059"/>
      <c r="AD91" s="1059"/>
    </row>
    <row r="92" spans="1:30" ht="15.6">
      <c r="A92" s="1116" t="s">
        <v>341</v>
      </c>
      <c r="B92" s="1048" t="s">
        <v>676</v>
      </c>
      <c r="C92" s="1049"/>
      <c r="D92" s="1049"/>
      <c r="E92" s="1049"/>
      <c r="F92" s="1049"/>
      <c r="G92" s="1049"/>
      <c r="H92" s="1049"/>
      <c r="I92" s="1049"/>
      <c r="J92" s="1049"/>
      <c r="K92" s="1049"/>
      <c r="L92" s="1049"/>
      <c r="M92" s="1050">
        <f t="shared" ref="M92:M108" si="16">SUM(C92:L92)</f>
        <v>0</v>
      </c>
      <c r="N92" s="1059"/>
      <c r="O92" s="1059"/>
      <c r="P92" s="1059"/>
      <c r="Q92" s="1059"/>
      <c r="R92" s="1059"/>
      <c r="S92" s="1059"/>
      <c r="T92" s="1059"/>
      <c r="U92" s="1059"/>
      <c r="V92" s="1059"/>
      <c r="W92" s="1059"/>
      <c r="X92" s="1059"/>
      <c r="Y92" s="1059"/>
      <c r="Z92" s="1059"/>
      <c r="AA92" s="1059"/>
      <c r="AB92" s="1059"/>
      <c r="AC92" s="1059"/>
      <c r="AD92" s="1059"/>
    </row>
    <row r="93" spans="1:30" ht="15.6">
      <c r="A93" s="1117" t="s">
        <v>342</v>
      </c>
      <c r="B93" s="1051" t="s">
        <v>677</v>
      </c>
      <c r="C93" s="1052"/>
      <c r="D93" s="1052"/>
      <c r="E93" s="1052"/>
      <c r="F93" s="1052"/>
      <c r="G93" s="1052"/>
      <c r="H93" s="1052"/>
      <c r="I93" s="1052"/>
      <c r="J93" s="1052"/>
      <c r="K93" s="1052"/>
      <c r="L93" s="1052"/>
      <c r="M93" s="1053">
        <f t="shared" si="16"/>
        <v>0</v>
      </c>
      <c r="N93" s="1059"/>
      <c r="O93" s="1059"/>
      <c r="P93" s="1059"/>
      <c r="Q93" s="1059"/>
      <c r="R93" s="1059"/>
      <c r="S93" s="1059"/>
      <c r="T93" s="1059"/>
      <c r="U93" s="1059"/>
      <c r="V93" s="1059"/>
      <c r="W93" s="1059"/>
      <c r="X93" s="1059"/>
      <c r="Y93" s="1059"/>
      <c r="Z93" s="1059"/>
      <c r="AA93" s="1059"/>
      <c r="AB93" s="1059"/>
      <c r="AC93" s="1059"/>
      <c r="AD93" s="1059"/>
    </row>
    <row r="94" spans="1:30" ht="15.6">
      <c r="A94" s="1117" t="s">
        <v>343</v>
      </c>
      <c r="B94" s="1051"/>
      <c r="C94" s="1052"/>
      <c r="D94" s="1052"/>
      <c r="E94" s="1052"/>
      <c r="F94" s="1052"/>
      <c r="G94" s="1052"/>
      <c r="H94" s="1052"/>
      <c r="I94" s="1052"/>
      <c r="J94" s="1052"/>
      <c r="K94" s="1052"/>
      <c r="L94" s="1052"/>
      <c r="M94" s="1053">
        <f t="shared" si="16"/>
        <v>0</v>
      </c>
      <c r="N94" s="1059"/>
      <c r="O94" s="1059"/>
      <c r="P94" s="1059"/>
      <c r="Q94" s="1059"/>
      <c r="R94" s="1059"/>
      <c r="S94" s="1059"/>
      <c r="T94" s="1059"/>
      <c r="U94" s="1059"/>
      <c r="V94" s="1059"/>
      <c r="W94" s="1059"/>
      <c r="X94" s="1059"/>
      <c r="Y94" s="1059"/>
      <c r="Z94" s="1059"/>
      <c r="AA94" s="1059"/>
      <c r="AB94" s="1059"/>
      <c r="AC94" s="1059"/>
      <c r="AD94" s="1059"/>
    </row>
    <row r="95" spans="1:30" ht="15.6">
      <c r="A95" s="1117" t="s">
        <v>416</v>
      </c>
      <c r="B95" s="1051"/>
      <c r="C95" s="1052"/>
      <c r="D95" s="1052"/>
      <c r="E95" s="1052"/>
      <c r="F95" s="1052"/>
      <c r="G95" s="1052"/>
      <c r="H95" s="1052"/>
      <c r="I95" s="1052"/>
      <c r="J95" s="1052"/>
      <c r="K95" s="1052"/>
      <c r="L95" s="1052"/>
      <c r="M95" s="1053">
        <f t="shared" si="16"/>
        <v>0</v>
      </c>
      <c r="N95" s="1059"/>
      <c r="O95" s="1059"/>
      <c r="P95" s="1059"/>
      <c r="Q95" s="1059"/>
      <c r="R95" s="1059"/>
      <c r="S95" s="1059"/>
      <c r="T95" s="1059"/>
      <c r="U95" s="1059"/>
      <c r="V95" s="1059"/>
      <c r="W95" s="1059"/>
      <c r="X95" s="1059"/>
      <c r="Y95" s="1059"/>
      <c r="Z95" s="1059"/>
      <c r="AA95" s="1059"/>
      <c r="AB95" s="1059"/>
      <c r="AC95" s="1059"/>
      <c r="AD95" s="1059"/>
    </row>
    <row r="96" spans="1:30" ht="15.6">
      <c r="A96" s="1117" t="s">
        <v>416</v>
      </c>
      <c r="B96" s="1051"/>
      <c r="C96" s="1052"/>
      <c r="D96" s="1052"/>
      <c r="E96" s="1052"/>
      <c r="F96" s="1052"/>
      <c r="G96" s="1052"/>
      <c r="H96" s="1052"/>
      <c r="I96" s="1052"/>
      <c r="J96" s="1052"/>
      <c r="K96" s="1052"/>
      <c r="L96" s="1052"/>
      <c r="M96" s="1053">
        <f t="shared" si="16"/>
        <v>0</v>
      </c>
      <c r="N96" s="1059"/>
      <c r="O96" s="1059"/>
      <c r="P96" s="1059"/>
      <c r="Q96" s="1059"/>
      <c r="R96" s="1059"/>
      <c r="S96" s="1059"/>
      <c r="T96" s="1059"/>
      <c r="U96" s="1059"/>
      <c r="V96" s="1059"/>
      <c r="W96" s="1059"/>
      <c r="X96" s="1059"/>
      <c r="Y96" s="1059"/>
      <c r="Z96" s="1059"/>
      <c r="AA96" s="1059"/>
      <c r="AB96" s="1059"/>
      <c r="AC96" s="1059"/>
      <c r="AD96" s="1059"/>
    </row>
    <row r="97" spans="1:30" ht="15.6">
      <c r="A97" s="1117" t="s">
        <v>416</v>
      </c>
      <c r="B97" s="1051"/>
      <c r="C97" s="1052"/>
      <c r="D97" s="1052"/>
      <c r="E97" s="1052"/>
      <c r="F97" s="1052"/>
      <c r="G97" s="1052"/>
      <c r="H97" s="1052"/>
      <c r="I97" s="1052"/>
      <c r="J97" s="1052"/>
      <c r="K97" s="1052"/>
      <c r="L97" s="1052"/>
      <c r="M97" s="1053">
        <f t="shared" si="16"/>
        <v>0</v>
      </c>
      <c r="N97" s="1059"/>
      <c r="O97" s="1059"/>
      <c r="P97" s="1059"/>
      <c r="Q97" s="1059"/>
      <c r="R97" s="1059"/>
      <c r="S97" s="1059"/>
      <c r="T97" s="1059"/>
      <c r="U97" s="1059"/>
      <c r="V97" s="1059"/>
      <c r="W97" s="1059"/>
      <c r="X97" s="1059"/>
      <c r="Y97" s="1059"/>
      <c r="Z97" s="1059"/>
      <c r="AA97" s="1059"/>
      <c r="AB97" s="1059"/>
      <c r="AC97" s="1059"/>
      <c r="AD97" s="1059"/>
    </row>
    <row r="98" spans="1:30" ht="15.6">
      <c r="A98" s="1117" t="s">
        <v>416</v>
      </c>
      <c r="B98" s="1051"/>
      <c r="C98" s="1052"/>
      <c r="D98" s="1052"/>
      <c r="E98" s="1052"/>
      <c r="F98" s="1052"/>
      <c r="G98" s="1052"/>
      <c r="H98" s="1052"/>
      <c r="I98" s="1052"/>
      <c r="J98" s="1052"/>
      <c r="K98" s="1052"/>
      <c r="L98" s="1052"/>
      <c r="M98" s="1053">
        <f t="shared" si="16"/>
        <v>0</v>
      </c>
      <c r="N98" s="1059"/>
      <c r="O98" s="1059"/>
      <c r="P98" s="1059"/>
      <c r="Q98" s="1059"/>
      <c r="R98" s="1059"/>
      <c r="S98" s="1059"/>
      <c r="T98" s="1059"/>
      <c r="U98" s="1059"/>
      <c r="V98" s="1059"/>
      <c r="W98" s="1059"/>
      <c r="X98" s="1059"/>
      <c r="Y98" s="1059"/>
      <c r="Z98" s="1059"/>
      <c r="AA98" s="1059"/>
      <c r="AB98" s="1059"/>
      <c r="AC98" s="1059"/>
      <c r="AD98" s="1059"/>
    </row>
    <row r="99" spans="1:30" ht="15.6">
      <c r="A99" s="1117" t="s">
        <v>416</v>
      </c>
      <c r="B99" s="1051"/>
      <c r="C99" s="1052"/>
      <c r="D99" s="1052"/>
      <c r="E99" s="1052"/>
      <c r="F99" s="1052"/>
      <c r="G99" s="1052"/>
      <c r="H99" s="1052"/>
      <c r="I99" s="1052"/>
      <c r="J99" s="1052"/>
      <c r="K99" s="1052"/>
      <c r="L99" s="1052"/>
      <c r="M99" s="1053">
        <f t="shared" si="16"/>
        <v>0</v>
      </c>
      <c r="N99" s="1059"/>
      <c r="O99" s="1059"/>
      <c r="P99" s="1059"/>
      <c r="Q99" s="1059"/>
      <c r="R99" s="1059"/>
      <c r="S99" s="1059"/>
      <c r="T99" s="1059"/>
      <c r="U99" s="1059"/>
      <c r="V99" s="1059"/>
      <c r="W99" s="1059"/>
      <c r="X99" s="1059"/>
      <c r="Y99" s="1059"/>
      <c r="Z99" s="1059"/>
      <c r="AA99" s="1059"/>
      <c r="AB99" s="1059"/>
      <c r="AC99" s="1059"/>
      <c r="AD99" s="1059"/>
    </row>
    <row r="100" spans="1:30" ht="15.6">
      <c r="A100" s="1117" t="s">
        <v>416</v>
      </c>
      <c r="B100" s="1051"/>
      <c r="C100" s="1052"/>
      <c r="D100" s="1052"/>
      <c r="E100" s="1052"/>
      <c r="F100" s="1052"/>
      <c r="G100" s="1052"/>
      <c r="H100" s="1052"/>
      <c r="I100" s="1052"/>
      <c r="J100" s="1052"/>
      <c r="K100" s="1052"/>
      <c r="L100" s="1052"/>
      <c r="M100" s="1053">
        <f t="shared" si="16"/>
        <v>0</v>
      </c>
      <c r="N100" s="1059"/>
      <c r="O100" s="1059"/>
      <c r="P100" s="1059"/>
      <c r="Q100" s="1059"/>
      <c r="R100" s="1059"/>
      <c r="S100" s="1059"/>
      <c r="T100" s="1059"/>
      <c r="U100" s="1059"/>
      <c r="V100" s="1059"/>
      <c r="W100" s="1059"/>
      <c r="X100" s="1059"/>
      <c r="Y100" s="1059"/>
      <c r="Z100" s="1059"/>
      <c r="AA100" s="1059"/>
      <c r="AB100" s="1059"/>
      <c r="AC100" s="1059"/>
      <c r="AD100" s="1059"/>
    </row>
    <row r="101" spans="1:30" ht="15.6">
      <c r="A101" s="1117" t="s">
        <v>416</v>
      </c>
      <c r="B101" s="1051"/>
      <c r="C101" s="1052"/>
      <c r="D101" s="1052"/>
      <c r="E101" s="1052"/>
      <c r="F101" s="1052"/>
      <c r="G101" s="1052"/>
      <c r="H101" s="1052"/>
      <c r="I101" s="1052"/>
      <c r="J101" s="1052"/>
      <c r="K101" s="1052"/>
      <c r="L101" s="1052"/>
      <c r="M101" s="1053">
        <f>SUM(C101:L101)</f>
        <v>0</v>
      </c>
      <c r="N101" s="1059"/>
      <c r="O101" s="1059"/>
      <c r="P101" s="1059"/>
      <c r="Q101" s="1059"/>
      <c r="R101" s="1059"/>
      <c r="S101" s="1059"/>
      <c r="T101" s="1059"/>
      <c r="U101" s="1059"/>
      <c r="V101" s="1059"/>
      <c r="W101" s="1059"/>
      <c r="X101" s="1059"/>
      <c r="Y101" s="1059"/>
      <c r="Z101" s="1059"/>
      <c r="AA101" s="1059"/>
      <c r="AB101" s="1059"/>
      <c r="AC101" s="1059"/>
      <c r="AD101" s="1059"/>
    </row>
    <row r="102" spans="1:30" ht="15.6">
      <c r="A102" s="1117" t="s">
        <v>416</v>
      </c>
      <c r="B102" s="1051"/>
      <c r="C102" s="1052"/>
      <c r="D102" s="1052"/>
      <c r="E102" s="1052"/>
      <c r="F102" s="1052"/>
      <c r="G102" s="1052"/>
      <c r="H102" s="1052"/>
      <c r="I102" s="1052"/>
      <c r="J102" s="1052"/>
      <c r="K102" s="1052"/>
      <c r="L102" s="1052"/>
      <c r="M102" s="1053">
        <f t="shared" si="16"/>
        <v>0</v>
      </c>
      <c r="N102" s="1059"/>
      <c r="O102" s="1059"/>
      <c r="P102" s="1059"/>
      <c r="Q102" s="1059"/>
      <c r="R102" s="1059"/>
      <c r="S102" s="1059"/>
      <c r="T102" s="1059"/>
      <c r="U102" s="1059"/>
      <c r="V102" s="1059"/>
      <c r="W102" s="1059"/>
      <c r="X102" s="1059"/>
      <c r="Y102" s="1059"/>
      <c r="Z102" s="1059"/>
      <c r="AA102" s="1059"/>
      <c r="AB102" s="1059"/>
      <c r="AC102" s="1059"/>
      <c r="AD102" s="1059"/>
    </row>
    <row r="103" spans="1:30" ht="15.6">
      <c r="A103" s="1117" t="s">
        <v>416</v>
      </c>
      <c r="B103" s="1051"/>
      <c r="C103" s="1052"/>
      <c r="D103" s="1052"/>
      <c r="E103" s="1052"/>
      <c r="F103" s="1052"/>
      <c r="G103" s="1052"/>
      <c r="H103" s="1052"/>
      <c r="I103" s="1052"/>
      <c r="J103" s="1052"/>
      <c r="K103" s="1052"/>
      <c r="L103" s="1052"/>
      <c r="M103" s="1053">
        <f t="shared" si="16"/>
        <v>0</v>
      </c>
      <c r="N103" s="1059"/>
      <c r="O103" s="1059"/>
      <c r="P103" s="1059"/>
      <c r="Q103" s="1059"/>
      <c r="R103" s="1059"/>
      <c r="S103" s="1059"/>
      <c r="T103" s="1059"/>
      <c r="U103" s="1059"/>
      <c r="V103" s="1059"/>
      <c r="W103" s="1059"/>
      <c r="X103" s="1059"/>
      <c r="Y103" s="1059"/>
      <c r="Z103" s="1059"/>
      <c r="AA103" s="1059"/>
      <c r="AB103" s="1059"/>
      <c r="AC103" s="1059"/>
      <c r="AD103" s="1059"/>
    </row>
    <row r="104" spans="1:30" ht="15.6">
      <c r="A104" s="1117" t="s">
        <v>416</v>
      </c>
      <c r="B104" s="1051"/>
      <c r="C104" s="1052"/>
      <c r="D104" s="1052"/>
      <c r="E104" s="1052"/>
      <c r="F104" s="1052"/>
      <c r="G104" s="1052"/>
      <c r="H104" s="1052"/>
      <c r="I104" s="1052"/>
      <c r="J104" s="1052"/>
      <c r="K104" s="1052"/>
      <c r="L104" s="1052"/>
      <c r="M104" s="1053">
        <f t="shared" si="16"/>
        <v>0</v>
      </c>
      <c r="N104" s="1059"/>
      <c r="O104" s="1059"/>
      <c r="P104" s="1059"/>
      <c r="Q104" s="1059"/>
      <c r="R104" s="1059"/>
      <c r="S104" s="1059"/>
      <c r="T104" s="1059"/>
      <c r="U104" s="1059"/>
      <c r="V104" s="1059"/>
      <c r="W104" s="1059"/>
      <c r="X104" s="1059"/>
      <c r="Y104" s="1059"/>
      <c r="Z104" s="1059"/>
      <c r="AA104" s="1059"/>
      <c r="AB104" s="1059"/>
      <c r="AC104" s="1059"/>
      <c r="AD104" s="1059"/>
    </row>
    <row r="105" spans="1:30" ht="15.6">
      <c r="A105" s="1117"/>
      <c r="B105" s="1051"/>
      <c r="C105" s="1052"/>
      <c r="D105" s="1052"/>
      <c r="E105" s="1052"/>
      <c r="F105" s="1052"/>
      <c r="G105" s="1052"/>
      <c r="H105" s="1052"/>
      <c r="I105" s="1052"/>
      <c r="J105" s="1052"/>
      <c r="K105" s="1052"/>
      <c r="L105" s="1052"/>
      <c r="M105" s="1053">
        <f t="shared" si="16"/>
        <v>0</v>
      </c>
      <c r="N105" s="1059"/>
      <c r="O105" s="1059"/>
      <c r="P105" s="1059"/>
      <c r="Q105" s="1059"/>
      <c r="R105" s="1059"/>
      <c r="S105" s="1059"/>
      <c r="T105" s="1059"/>
      <c r="U105" s="1059"/>
      <c r="V105" s="1059"/>
      <c r="W105" s="1059"/>
      <c r="X105" s="1059"/>
      <c r="Y105" s="1059"/>
      <c r="Z105" s="1059"/>
      <c r="AA105" s="1059"/>
      <c r="AB105" s="1059"/>
      <c r="AC105" s="1059"/>
      <c r="AD105" s="1059"/>
    </row>
    <row r="106" spans="1:30" ht="15.6">
      <c r="A106" s="1117"/>
      <c r="B106" s="1051"/>
      <c r="C106" s="1052"/>
      <c r="D106" s="1052"/>
      <c r="E106" s="1052"/>
      <c r="F106" s="1052"/>
      <c r="G106" s="1052"/>
      <c r="H106" s="1052"/>
      <c r="I106" s="1052"/>
      <c r="J106" s="1052"/>
      <c r="K106" s="1052"/>
      <c r="L106" s="1052"/>
      <c r="M106" s="1053">
        <f t="shared" si="16"/>
        <v>0</v>
      </c>
      <c r="N106" s="1059"/>
      <c r="O106" s="1059"/>
      <c r="P106" s="1059"/>
      <c r="Q106" s="1059"/>
      <c r="R106" s="1059"/>
      <c r="S106" s="1059"/>
      <c r="T106" s="1059"/>
      <c r="U106" s="1059"/>
      <c r="V106" s="1059"/>
      <c r="W106" s="1059"/>
      <c r="X106" s="1059"/>
      <c r="Y106" s="1059"/>
      <c r="Z106" s="1059"/>
      <c r="AA106" s="1059"/>
      <c r="AB106" s="1059"/>
      <c r="AC106" s="1059"/>
      <c r="AD106" s="1059"/>
    </row>
    <row r="107" spans="1:30" ht="15.6">
      <c r="A107" s="1117"/>
      <c r="B107" s="1051"/>
      <c r="C107" s="1052"/>
      <c r="D107" s="1052"/>
      <c r="E107" s="1052"/>
      <c r="F107" s="1052"/>
      <c r="G107" s="1052"/>
      <c r="H107" s="1052"/>
      <c r="I107" s="1052"/>
      <c r="J107" s="1052"/>
      <c r="K107" s="1052"/>
      <c r="L107" s="1052"/>
      <c r="M107" s="1053">
        <f t="shared" si="16"/>
        <v>0</v>
      </c>
      <c r="N107" s="1059"/>
      <c r="O107" s="1059"/>
      <c r="P107" s="1059"/>
      <c r="Q107" s="1059"/>
      <c r="R107" s="1059"/>
      <c r="S107" s="1059"/>
      <c r="T107" s="1059"/>
      <c r="U107" s="1059"/>
      <c r="V107" s="1059"/>
      <c r="W107" s="1059"/>
      <c r="X107" s="1059"/>
      <c r="Y107" s="1059"/>
      <c r="Z107" s="1059"/>
      <c r="AA107" s="1059"/>
      <c r="AB107" s="1059"/>
      <c r="AC107" s="1059"/>
      <c r="AD107" s="1059"/>
    </row>
    <row r="108" spans="1:30" ht="15.6">
      <c r="A108" s="1118" t="s">
        <v>348</v>
      </c>
      <c r="B108" s="1054"/>
      <c r="C108" s="1055"/>
      <c r="D108" s="1055"/>
      <c r="E108" s="1055"/>
      <c r="F108" s="1055"/>
      <c r="G108" s="1055"/>
      <c r="H108" s="1055"/>
      <c r="I108" s="1055"/>
      <c r="J108" s="1055"/>
      <c r="K108" s="1055"/>
      <c r="L108" s="1055"/>
      <c r="M108" s="1056">
        <f t="shared" si="16"/>
        <v>0</v>
      </c>
      <c r="N108" s="1059"/>
      <c r="O108" s="1059"/>
      <c r="P108" s="1059"/>
      <c r="Q108" s="1059"/>
      <c r="R108" s="1059"/>
      <c r="S108" s="1059"/>
      <c r="T108" s="1059"/>
      <c r="U108" s="1059"/>
      <c r="V108" s="1059"/>
      <c r="W108" s="1059"/>
      <c r="X108" s="1059"/>
      <c r="Y108" s="1059"/>
      <c r="Z108" s="1059"/>
      <c r="AA108" s="1059"/>
      <c r="AB108" s="1059"/>
      <c r="AC108" s="1059"/>
      <c r="AD108" s="1059"/>
    </row>
    <row r="109" spans="1:30" ht="15.6">
      <c r="A109" s="1119">
        <v>10</v>
      </c>
      <c r="B109" s="1038" t="s">
        <v>906</v>
      </c>
      <c r="C109" s="1058"/>
      <c r="D109" s="1058"/>
      <c r="E109" s="1058"/>
      <c r="F109" s="1058"/>
      <c r="G109" s="1058"/>
      <c r="H109" s="1058"/>
      <c r="I109" s="1058"/>
      <c r="J109" s="1058"/>
      <c r="K109" s="1058"/>
      <c r="L109" s="1058"/>
      <c r="M109" s="1058">
        <f>SUM(M92:M108)</f>
        <v>0</v>
      </c>
      <c r="N109" s="1059"/>
      <c r="O109" s="1059"/>
      <c r="P109" s="1059"/>
      <c r="Q109" s="1059"/>
      <c r="R109" s="1059"/>
      <c r="S109" s="1059"/>
      <c r="T109" s="1059"/>
      <c r="U109" s="1059"/>
      <c r="V109" s="1059"/>
      <c r="W109" s="1059"/>
      <c r="X109" s="1059"/>
      <c r="Y109" s="1059"/>
      <c r="Z109" s="1059"/>
      <c r="AA109" s="1059"/>
      <c r="AB109" s="1059"/>
      <c r="AC109" s="1059"/>
      <c r="AD109" s="1059"/>
    </row>
    <row r="110" spans="1:30" ht="15.6">
      <c r="A110" s="1059"/>
      <c r="B110" s="1059"/>
      <c r="C110" s="1059"/>
      <c r="D110" s="1059"/>
      <c r="E110" s="1059"/>
      <c r="F110" s="1059"/>
      <c r="G110" s="1059"/>
      <c r="H110" s="1059"/>
      <c r="I110" s="1059"/>
      <c r="J110" s="1059"/>
      <c r="K110" s="1059"/>
      <c r="L110" s="1059"/>
      <c r="M110" s="1059"/>
      <c r="N110" s="1059"/>
      <c r="O110" s="1059"/>
      <c r="P110" s="1059"/>
      <c r="Q110" s="1059"/>
      <c r="R110" s="1059"/>
      <c r="S110" s="1059"/>
      <c r="T110" s="1059"/>
      <c r="U110" s="1059"/>
      <c r="V110" s="1059"/>
      <c r="W110" s="1059"/>
      <c r="X110" s="1059"/>
      <c r="Y110" s="1059"/>
      <c r="Z110" s="1059"/>
      <c r="AA110" s="1059"/>
      <c r="AB110" s="1059"/>
      <c r="AC110" s="1059"/>
      <c r="AD110" s="1059"/>
    </row>
    <row r="111" spans="1:30" ht="15.6">
      <c r="A111" s="1059"/>
      <c r="B111" s="1059"/>
      <c r="C111" s="1059"/>
      <c r="D111" s="1059"/>
      <c r="E111" s="1059"/>
      <c r="F111" s="1059"/>
      <c r="G111" s="1059"/>
      <c r="H111" s="1059"/>
      <c r="I111" s="1059"/>
      <c r="J111" s="1059"/>
      <c r="K111" s="1059"/>
      <c r="L111" s="1059"/>
      <c r="M111" s="1059"/>
    </row>
    <row r="112" spans="1:30" ht="15.6">
      <c r="A112" s="1574" t="s">
        <v>679</v>
      </c>
      <c r="B112" s="1574"/>
      <c r="C112" s="1574"/>
      <c r="D112" s="1084"/>
      <c r="E112" s="1084"/>
      <c r="F112" s="1084"/>
      <c r="G112" s="1084"/>
      <c r="H112" s="1084"/>
      <c r="I112" s="1084"/>
      <c r="J112" s="1084"/>
      <c r="K112" s="1084"/>
      <c r="L112" s="1084"/>
      <c r="M112" s="1084"/>
      <c r="N112" s="1059"/>
    </row>
    <row r="113" spans="1:14" ht="15.6">
      <c r="A113" s="1057"/>
      <c r="B113" s="1084" t="s">
        <v>942</v>
      </c>
      <c r="C113" s="1084"/>
      <c r="D113" s="1084"/>
      <c r="E113" s="1084"/>
      <c r="F113" s="1084"/>
      <c r="G113" s="1084"/>
      <c r="H113" s="1084"/>
      <c r="I113" s="1084"/>
      <c r="J113" s="1084"/>
      <c r="K113" s="1084"/>
      <c r="L113" s="1084"/>
      <c r="M113" s="1084"/>
      <c r="N113" s="1059"/>
    </row>
    <row r="114" spans="1:14" ht="15.6">
      <c r="A114" s="1121"/>
      <c r="B114" s="1122"/>
      <c r="C114" s="1084"/>
      <c r="D114" s="1084"/>
      <c r="E114" s="1084"/>
      <c r="F114" s="1084"/>
      <c r="G114" s="1084"/>
      <c r="H114" s="1084"/>
      <c r="I114" s="1084"/>
      <c r="J114" s="1084"/>
      <c r="K114" s="1084"/>
      <c r="L114" s="1084"/>
      <c r="M114" s="1084"/>
      <c r="N114" s="1059"/>
    </row>
    <row r="115" spans="1:14" ht="15.6">
      <c r="A115" s="1121"/>
      <c r="B115" s="1122"/>
      <c r="C115" s="1109"/>
      <c r="D115" s="1109"/>
      <c r="E115" s="1109"/>
      <c r="F115" s="1109"/>
      <c r="G115" s="1109"/>
      <c r="H115" s="1109"/>
      <c r="I115" s="1109"/>
      <c r="J115" s="1109"/>
      <c r="K115" s="1109"/>
      <c r="L115" s="1109"/>
      <c r="M115" s="1110"/>
      <c r="N115" s="1059"/>
    </row>
    <row r="116" spans="1:14" ht="15.6">
      <c r="A116" s="1126"/>
      <c r="B116" s="1041" t="s">
        <v>284</v>
      </c>
      <c r="C116" s="1376" t="s">
        <v>500</v>
      </c>
      <c r="D116" s="1376"/>
      <c r="E116" s="1375" t="s">
        <v>941</v>
      </c>
      <c r="F116" s="1375"/>
      <c r="G116" s="1375" t="s">
        <v>680</v>
      </c>
      <c r="H116" s="1377" t="s">
        <v>39</v>
      </c>
      <c r="I116" s="1111"/>
      <c r="J116" s="1111"/>
      <c r="K116" s="1111"/>
      <c r="L116" s="1111"/>
      <c r="M116" s="1111"/>
      <c r="N116" s="1059"/>
    </row>
    <row r="117" spans="1:14" ht="25.5" customHeight="1">
      <c r="A117" s="1117" t="s">
        <v>693</v>
      </c>
      <c r="B117" s="1127"/>
      <c r="C117" s="1049"/>
      <c r="D117" s="1049"/>
      <c r="E117" s="1573" t="s">
        <v>808</v>
      </c>
      <c r="F117" s="1573"/>
      <c r="G117" s="1049"/>
      <c r="H117" s="1128"/>
      <c r="I117" s="1112"/>
      <c r="J117" s="1112"/>
      <c r="K117" s="1112"/>
      <c r="L117" s="1112"/>
      <c r="M117" s="1112"/>
      <c r="N117" s="1059"/>
    </row>
    <row r="118" spans="1:14" ht="15.6">
      <c r="A118" s="1117" t="s">
        <v>694</v>
      </c>
      <c r="B118" s="1129"/>
      <c r="C118" s="1052"/>
      <c r="D118" s="1052"/>
      <c r="E118" s="1561" t="s">
        <v>808</v>
      </c>
      <c r="F118" s="1561"/>
      <c r="G118" s="1052"/>
      <c r="H118" s="1130"/>
      <c r="I118" s="1113"/>
      <c r="J118" s="1113"/>
      <c r="K118" s="1113"/>
      <c r="L118" s="1113"/>
      <c r="M118" s="1112"/>
      <c r="N118" s="1059"/>
    </row>
    <row r="119" spans="1:14" ht="15.6">
      <c r="A119" s="1117" t="s">
        <v>695</v>
      </c>
      <c r="B119" s="1129"/>
      <c r="C119" s="1052"/>
      <c r="D119" s="1052"/>
      <c r="E119" s="1561" t="s">
        <v>808</v>
      </c>
      <c r="F119" s="1561"/>
      <c r="G119" s="1052"/>
      <c r="H119" s="1130"/>
      <c r="I119" s="1113"/>
      <c r="J119" s="1113"/>
      <c r="K119" s="1113"/>
      <c r="L119" s="1113"/>
      <c r="M119" s="1112"/>
      <c r="N119" s="1059"/>
    </row>
    <row r="120" spans="1:14" ht="15.6">
      <c r="A120" s="1117" t="s">
        <v>416</v>
      </c>
      <c r="B120" s="1129"/>
      <c r="C120" s="1052"/>
      <c r="D120" s="1052"/>
      <c r="E120" s="1561" t="s">
        <v>808</v>
      </c>
      <c r="F120" s="1561"/>
      <c r="G120" s="1052"/>
      <c r="H120" s="1130"/>
      <c r="I120" s="1113"/>
      <c r="J120" s="1113"/>
      <c r="K120" s="1113"/>
      <c r="L120" s="1113"/>
      <c r="M120" s="1112"/>
      <c r="N120" s="1059"/>
    </row>
    <row r="121" spans="1:14" ht="15.6">
      <c r="A121" s="1117" t="s">
        <v>416</v>
      </c>
      <c r="B121" s="1129"/>
      <c r="C121" s="1052"/>
      <c r="D121" s="1052"/>
      <c r="E121" s="1561" t="s">
        <v>808</v>
      </c>
      <c r="F121" s="1561"/>
      <c r="G121" s="1052"/>
      <c r="H121" s="1130"/>
      <c r="I121" s="1113"/>
      <c r="J121" s="1113"/>
      <c r="K121" s="1113"/>
      <c r="L121" s="1113"/>
      <c r="M121" s="1112"/>
      <c r="N121" s="1059"/>
    </row>
    <row r="122" spans="1:14" ht="15.6">
      <c r="A122" s="1117" t="s">
        <v>416</v>
      </c>
      <c r="B122" s="1129"/>
      <c r="C122" s="1052"/>
      <c r="D122" s="1052"/>
      <c r="E122" s="1561" t="s">
        <v>808</v>
      </c>
      <c r="F122" s="1561"/>
      <c r="G122" s="1052"/>
      <c r="H122" s="1130"/>
      <c r="I122" s="1113"/>
      <c r="J122" s="1113"/>
      <c r="K122" s="1113"/>
      <c r="L122" s="1113"/>
      <c r="M122" s="1112"/>
      <c r="N122" s="1059"/>
    </row>
    <row r="123" spans="1:14" ht="15.6">
      <c r="A123" s="1117" t="s">
        <v>416</v>
      </c>
      <c r="B123" s="1129"/>
      <c r="C123" s="1052"/>
      <c r="D123" s="1052"/>
      <c r="E123" s="1561" t="s">
        <v>808</v>
      </c>
      <c r="F123" s="1561"/>
      <c r="G123" s="1052"/>
      <c r="H123" s="1130"/>
      <c r="I123" s="1113"/>
      <c r="J123" s="1113"/>
      <c r="K123" s="1113"/>
      <c r="L123" s="1113"/>
      <c r="M123" s="1112"/>
      <c r="N123" s="1059"/>
    </row>
    <row r="124" spans="1:14" ht="15.6">
      <c r="A124" s="1117" t="s">
        <v>416</v>
      </c>
      <c r="B124" s="1129"/>
      <c r="C124" s="1052"/>
      <c r="D124" s="1052"/>
      <c r="E124" s="1561" t="s">
        <v>808</v>
      </c>
      <c r="F124" s="1561"/>
      <c r="G124" s="1052"/>
      <c r="H124" s="1130"/>
      <c r="I124" s="1113"/>
      <c r="J124" s="1113"/>
      <c r="K124" s="1113"/>
      <c r="L124" s="1113"/>
      <c r="M124" s="1112"/>
      <c r="N124" s="1059"/>
    </row>
    <row r="125" spans="1:14" ht="15.6">
      <c r="A125" s="1117" t="s">
        <v>416</v>
      </c>
      <c r="B125" s="1129"/>
      <c r="C125" s="1052"/>
      <c r="D125" s="1052"/>
      <c r="E125" s="1561" t="s">
        <v>808</v>
      </c>
      <c r="F125" s="1561"/>
      <c r="G125" s="1052"/>
      <c r="H125" s="1130"/>
      <c r="I125" s="1113"/>
      <c r="J125" s="1113"/>
      <c r="K125" s="1113"/>
      <c r="L125" s="1113"/>
      <c r="M125" s="1112"/>
      <c r="N125" s="1059"/>
    </row>
    <row r="126" spans="1:14" ht="15.6">
      <c r="A126" s="1117" t="s">
        <v>416</v>
      </c>
      <c r="B126" s="1129"/>
      <c r="C126" s="1052"/>
      <c r="D126" s="1052"/>
      <c r="E126" s="1561" t="s">
        <v>808</v>
      </c>
      <c r="F126" s="1561"/>
      <c r="G126" s="1052"/>
      <c r="H126" s="1130"/>
      <c r="I126" s="1113"/>
      <c r="J126" s="1113"/>
      <c r="K126" s="1113"/>
      <c r="L126" s="1113"/>
      <c r="M126" s="1112"/>
      <c r="N126" s="1059"/>
    </row>
    <row r="127" spans="1:14" ht="15.6">
      <c r="A127" s="1117" t="s">
        <v>416</v>
      </c>
      <c r="B127" s="1129"/>
      <c r="C127" s="1052"/>
      <c r="D127" s="1052"/>
      <c r="E127" s="1561" t="s">
        <v>808</v>
      </c>
      <c r="F127" s="1561"/>
      <c r="G127" s="1052"/>
      <c r="H127" s="1130"/>
      <c r="I127" s="1113"/>
      <c r="J127" s="1113"/>
      <c r="K127" s="1113"/>
      <c r="L127" s="1113"/>
      <c r="M127" s="1112"/>
      <c r="N127" s="1059"/>
    </row>
    <row r="128" spans="1:14" ht="15.6">
      <c r="A128" s="1117" t="s">
        <v>416</v>
      </c>
      <c r="B128" s="1129"/>
      <c r="C128" s="1052"/>
      <c r="D128" s="1052"/>
      <c r="E128" s="1561" t="s">
        <v>808</v>
      </c>
      <c r="F128" s="1561"/>
      <c r="G128" s="1052"/>
      <c r="H128" s="1130"/>
      <c r="I128" s="1113"/>
      <c r="J128" s="1113"/>
      <c r="K128" s="1113"/>
      <c r="L128" s="1113"/>
      <c r="M128" s="1112"/>
      <c r="N128" s="1059"/>
    </row>
    <row r="129" spans="1:14" ht="15.6">
      <c r="A129" s="1117" t="s">
        <v>416</v>
      </c>
      <c r="B129" s="1129"/>
      <c r="C129" s="1052"/>
      <c r="D129" s="1052"/>
      <c r="E129" s="1561" t="s">
        <v>808</v>
      </c>
      <c r="F129" s="1561"/>
      <c r="G129" s="1052"/>
      <c r="H129" s="1130"/>
      <c r="I129" s="1113"/>
      <c r="J129" s="1113"/>
      <c r="K129" s="1113"/>
      <c r="L129" s="1113"/>
      <c r="M129" s="1112"/>
      <c r="N129" s="1059"/>
    </row>
    <row r="130" spans="1:14" ht="15.6">
      <c r="A130" s="1117"/>
      <c r="B130" s="1129"/>
      <c r="C130" s="1052"/>
      <c r="D130" s="1052"/>
      <c r="E130" s="1561" t="s">
        <v>808</v>
      </c>
      <c r="F130" s="1561"/>
      <c r="G130" s="1052"/>
      <c r="H130" s="1130"/>
      <c r="I130" s="1113"/>
      <c r="J130" s="1113"/>
      <c r="K130" s="1113"/>
      <c r="L130" s="1113"/>
      <c r="M130" s="1112"/>
      <c r="N130" s="1059"/>
    </row>
    <row r="131" spans="1:14" ht="15.6">
      <c r="A131" s="1117"/>
      <c r="B131" s="1129"/>
      <c r="C131" s="1052"/>
      <c r="D131" s="1052"/>
      <c r="E131" s="1561" t="s">
        <v>808</v>
      </c>
      <c r="F131" s="1561"/>
      <c r="G131" s="1052"/>
      <c r="H131" s="1130"/>
      <c r="I131" s="1113"/>
      <c r="J131" s="1113"/>
      <c r="K131" s="1113"/>
      <c r="L131" s="1113"/>
      <c r="M131" s="1112"/>
      <c r="N131" s="1059"/>
    </row>
    <row r="132" spans="1:14" ht="15.6">
      <c r="A132" s="1117"/>
      <c r="B132" s="1129"/>
      <c r="C132" s="1052"/>
      <c r="D132" s="1052"/>
      <c r="E132" s="1561" t="s">
        <v>808</v>
      </c>
      <c r="F132" s="1561"/>
      <c r="G132" s="1052"/>
      <c r="H132" s="1130"/>
      <c r="I132" s="1113"/>
      <c r="J132" s="1113"/>
      <c r="K132" s="1113"/>
      <c r="L132" s="1113"/>
      <c r="M132" s="1112"/>
      <c r="N132" s="1059"/>
    </row>
    <row r="133" spans="1:14" ht="15.6">
      <c r="A133" s="1118" t="s">
        <v>696</v>
      </c>
      <c r="B133" s="1131"/>
      <c r="C133" s="1055"/>
      <c r="D133" s="1055"/>
      <c r="E133" s="1560" t="s">
        <v>808</v>
      </c>
      <c r="F133" s="1560"/>
      <c r="G133" s="1055"/>
      <c r="H133" s="1132"/>
      <c r="I133" s="1113"/>
      <c r="J133" s="1113"/>
      <c r="K133" s="1113"/>
      <c r="L133" s="1113"/>
      <c r="M133" s="1112"/>
      <c r="N133" s="1059"/>
    </row>
    <row r="134" spans="1:14" ht="15.6">
      <c r="A134" s="1119">
        <v>12</v>
      </c>
      <c r="B134" s="1038" t="s">
        <v>943</v>
      </c>
      <c r="C134" s="1113"/>
      <c r="D134" s="1113"/>
      <c r="E134" s="1113"/>
      <c r="F134" s="1113"/>
      <c r="G134" s="1113"/>
      <c r="H134" s="1113">
        <f>SUM(H117:H133)</f>
        <v>0</v>
      </c>
      <c r="I134" s="1113"/>
      <c r="J134" s="1113"/>
      <c r="K134" s="1113"/>
      <c r="L134" s="1113"/>
      <c r="M134" s="1113"/>
      <c r="N134" s="1059"/>
    </row>
    <row r="135" spans="1:14">
      <c r="A135" s="1123"/>
      <c r="C135" s="1114"/>
      <c r="D135" s="1114"/>
      <c r="E135" s="1114"/>
      <c r="F135" s="1114"/>
      <c r="G135" s="1114"/>
      <c r="H135" s="1114"/>
      <c r="I135" s="1114"/>
      <c r="J135" s="1114"/>
      <c r="K135" s="1114"/>
      <c r="L135" s="1114"/>
      <c r="M135" s="1114"/>
    </row>
    <row r="137" spans="1:14" ht="15.6">
      <c r="A137" s="1417" t="s">
        <v>976</v>
      </c>
      <c r="B137" s="1417"/>
      <c r="C137" s="1417"/>
      <c r="D137" s="1084"/>
      <c r="E137" s="1084"/>
      <c r="F137" s="1084"/>
      <c r="G137" s="1084"/>
      <c r="H137" s="1084"/>
    </row>
    <row r="138" spans="1:14" ht="15.6">
      <c r="A138" s="1057"/>
      <c r="B138" s="1084"/>
      <c r="C138" s="1084"/>
      <c r="D138" s="1084"/>
      <c r="E138" s="1084"/>
      <c r="F138" s="1084"/>
      <c r="G138" s="1084"/>
      <c r="H138" s="1084"/>
    </row>
    <row r="139" spans="1:14" ht="15.6">
      <c r="A139" s="1285" t="s">
        <v>1008</v>
      </c>
      <c r="B139" s="1122"/>
      <c r="C139" s="1084"/>
      <c r="D139" s="1084"/>
      <c r="E139" s="1084"/>
      <c r="F139" s="1084"/>
      <c r="G139" s="1084"/>
      <c r="H139" s="1084"/>
    </row>
    <row r="140" spans="1:14" ht="15.6">
      <c r="A140" s="1121"/>
      <c r="B140" s="1122"/>
      <c r="C140" s="1109"/>
      <c r="D140" s="1109"/>
      <c r="E140" s="1109"/>
      <c r="F140" s="1109"/>
      <c r="G140" s="1109"/>
      <c r="H140" s="1109"/>
    </row>
    <row r="141" spans="1:14" ht="27.6">
      <c r="A141" s="1121"/>
      <c r="B141" s="1282" t="s">
        <v>324</v>
      </c>
      <c r="C141" s="1124" t="s">
        <v>787</v>
      </c>
      <c r="D141" s="1124" t="s">
        <v>788</v>
      </c>
      <c r="E141" s="1124" t="s">
        <v>944</v>
      </c>
      <c r="F141" s="1124" t="s">
        <v>789</v>
      </c>
      <c r="G141" s="1125" t="s">
        <v>790</v>
      </c>
      <c r="H141" s="1283" t="s">
        <v>42</v>
      </c>
    </row>
    <row r="142" spans="1:14" ht="15.6">
      <c r="A142" s="1117" t="s">
        <v>907</v>
      </c>
      <c r="B142" s="1278">
        <v>101</v>
      </c>
      <c r="C142" s="1280"/>
      <c r="D142" s="1280"/>
      <c r="E142" s="1280"/>
      <c r="F142" s="1280"/>
      <c r="G142" s="1281"/>
      <c r="H142" s="1284">
        <f>SUM(C142:G142)</f>
        <v>0</v>
      </c>
    </row>
    <row r="143" spans="1:14" ht="15.6">
      <c r="A143" s="1117" t="s">
        <v>908</v>
      </c>
      <c r="B143" s="1278" t="s">
        <v>791</v>
      </c>
      <c r="C143" s="1052"/>
      <c r="D143" s="1052"/>
      <c r="E143" s="1052"/>
      <c r="F143" s="1052"/>
      <c r="G143" s="1130"/>
      <c r="H143" s="1284">
        <f t="shared" ref="H143:H158" si="17">SUM(C143:G143)</f>
        <v>0</v>
      </c>
    </row>
    <row r="144" spans="1:14" ht="15.6">
      <c r="A144" s="1117" t="s">
        <v>909</v>
      </c>
      <c r="B144" s="1278" t="s">
        <v>791</v>
      </c>
      <c r="C144" s="1052"/>
      <c r="D144" s="1052"/>
      <c r="E144" s="1052"/>
      <c r="F144" s="1052"/>
      <c r="G144" s="1130"/>
      <c r="H144" s="1284">
        <f t="shared" si="17"/>
        <v>0</v>
      </c>
    </row>
    <row r="145" spans="1:10" ht="15.6">
      <c r="A145" s="1117" t="s">
        <v>791</v>
      </c>
      <c r="B145" s="1278" t="s">
        <v>791</v>
      </c>
      <c r="C145" s="1052"/>
      <c r="D145" s="1052"/>
      <c r="E145" s="1052"/>
      <c r="F145" s="1052"/>
      <c r="G145" s="1130"/>
      <c r="H145" s="1284">
        <f t="shared" si="17"/>
        <v>0</v>
      </c>
    </row>
    <row r="146" spans="1:10" ht="15.6">
      <c r="A146" s="1117" t="s">
        <v>416</v>
      </c>
      <c r="B146" s="1278" t="s">
        <v>791</v>
      </c>
      <c r="C146" s="1052"/>
      <c r="D146" s="1052"/>
      <c r="E146" s="1052"/>
      <c r="F146" s="1052"/>
      <c r="G146" s="1130"/>
      <c r="H146" s="1284">
        <f t="shared" si="17"/>
        <v>0</v>
      </c>
    </row>
    <row r="147" spans="1:10" ht="15.6">
      <c r="A147" s="1117" t="s">
        <v>416</v>
      </c>
      <c r="B147" s="1278">
        <v>350</v>
      </c>
      <c r="C147" s="1052"/>
      <c r="D147" s="1052"/>
      <c r="E147" s="1052"/>
      <c r="F147" s="1052"/>
      <c r="G147" s="1130"/>
      <c r="H147" s="1284">
        <f t="shared" si="17"/>
        <v>0</v>
      </c>
    </row>
    <row r="148" spans="1:10" ht="15.6">
      <c r="A148" s="1117" t="s">
        <v>416</v>
      </c>
      <c r="B148" s="1278" t="s">
        <v>791</v>
      </c>
      <c r="C148" s="1052"/>
      <c r="D148" s="1052"/>
      <c r="E148" s="1052"/>
      <c r="F148" s="1052"/>
      <c r="G148" s="1130"/>
      <c r="H148" s="1284">
        <f t="shared" si="17"/>
        <v>0</v>
      </c>
    </row>
    <row r="149" spans="1:10" ht="15.6">
      <c r="A149" s="1117" t="s">
        <v>416</v>
      </c>
      <c r="B149" s="1278" t="s">
        <v>791</v>
      </c>
      <c r="C149" s="1052"/>
      <c r="D149" s="1052"/>
      <c r="E149" s="1052"/>
      <c r="F149" s="1052"/>
      <c r="G149" s="1130"/>
      <c r="H149" s="1284">
        <f t="shared" si="17"/>
        <v>0</v>
      </c>
    </row>
    <row r="150" spans="1:10" ht="15.6">
      <c r="A150" s="1117" t="s">
        <v>416</v>
      </c>
      <c r="B150" s="1278" t="s">
        <v>791</v>
      </c>
      <c r="C150" s="1052"/>
      <c r="D150" s="1052"/>
      <c r="E150" s="1052"/>
      <c r="F150" s="1052"/>
      <c r="G150" s="1130"/>
      <c r="H150" s="1284">
        <f t="shared" si="17"/>
        <v>0</v>
      </c>
    </row>
    <row r="151" spans="1:10" ht="15.6">
      <c r="A151" s="1117" t="s">
        <v>416</v>
      </c>
      <c r="B151" s="1278" t="s">
        <v>791</v>
      </c>
      <c r="C151" s="1052"/>
      <c r="D151" s="1052"/>
      <c r="E151" s="1052"/>
      <c r="F151" s="1052"/>
      <c r="G151" s="1130"/>
      <c r="H151" s="1284">
        <f t="shared" si="17"/>
        <v>0</v>
      </c>
    </row>
    <row r="152" spans="1:10" ht="15.6">
      <c r="A152" s="1117" t="s">
        <v>416</v>
      </c>
      <c r="B152" s="1278" t="s">
        <v>791</v>
      </c>
      <c r="C152" s="1052"/>
      <c r="D152" s="1052"/>
      <c r="E152" s="1052"/>
      <c r="F152" s="1052"/>
      <c r="G152" s="1130"/>
      <c r="H152" s="1284">
        <f t="shared" si="17"/>
        <v>0</v>
      </c>
    </row>
    <row r="153" spans="1:10" ht="15.6">
      <c r="A153" s="1117" t="s">
        <v>416</v>
      </c>
      <c r="B153" s="1278" t="s">
        <v>791</v>
      </c>
      <c r="C153" s="1052"/>
      <c r="D153" s="1052"/>
      <c r="E153" s="1052"/>
      <c r="F153" s="1052"/>
      <c r="G153" s="1130"/>
      <c r="H153" s="1284">
        <f t="shared" si="17"/>
        <v>0</v>
      </c>
    </row>
    <row r="154" spans="1:10" ht="15.6">
      <c r="A154" s="1117" t="s">
        <v>416</v>
      </c>
      <c r="B154" s="1278">
        <v>920</v>
      </c>
      <c r="C154" s="1052"/>
      <c r="D154" s="1052"/>
      <c r="E154" s="1052"/>
      <c r="F154" s="1052"/>
      <c r="G154" s="1130"/>
      <c r="H154" s="1284">
        <f t="shared" si="17"/>
        <v>0</v>
      </c>
    </row>
    <row r="155" spans="1:10" ht="15.6">
      <c r="A155" s="1117"/>
      <c r="B155" s="1278" t="s">
        <v>791</v>
      </c>
      <c r="C155" s="1052"/>
      <c r="D155" s="1052"/>
      <c r="E155" s="1052"/>
      <c r="F155" s="1052"/>
      <c r="G155" s="1130"/>
      <c r="H155" s="1284">
        <f t="shared" si="17"/>
        <v>0</v>
      </c>
    </row>
    <row r="156" spans="1:10" ht="15.6">
      <c r="A156" s="1117"/>
      <c r="B156" s="1278" t="s">
        <v>791</v>
      </c>
      <c r="C156" s="1052"/>
      <c r="D156" s="1052"/>
      <c r="E156" s="1052"/>
      <c r="F156" s="1052"/>
      <c r="G156" s="1130"/>
      <c r="H156" s="1284">
        <f t="shared" si="17"/>
        <v>0</v>
      </c>
    </row>
    <row r="157" spans="1:10" ht="15.6">
      <c r="A157" s="1117"/>
      <c r="B157" s="1278" t="s">
        <v>791</v>
      </c>
      <c r="C157" s="1052"/>
      <c r="D157" s="1052"/>
      <c r="E157" s="1052"/>
      <c r="F157" s="1052"/>
      <c r="G157" s="1130"/>
      <c r="H157" s="1284">
        <f t="shared" si="17"/>
        <v>0</v>
      </c>
    </row>
    <row r="158" spans="1:10" ht="15.6">
      <c r="A158" s="1118" t="s">
        <v>910</v>
      </c>
      <c r="B158" s="1279">
        <v>935</v>
      </c>
      <c r="C158" s="1055"/>
      <c r="D158" s="1055"/>
      <c r="E158" s="1055"/>
      <c r="F158" s="1055"/>
      <c r="G158" s="1132"/>
      <c r="H158" s="1284">
        <f t="shared" si="17"/>
        <v>0</v>
      </c>
    </row>
    <row r="159" spans="1:10" ht="15.6">
      <c r="A159" s="1119">
        <v>14</v>
      </c>
      <c r="B159" s="1038" t="s">
        <v>792</v>
      </c>
      <c r="C159" s="1113">
        <f t="shared" ref="C159:H159" si="18">SUM(C142:C158)</f>
        <v>0</v>
      </c>
      <c r="D159" s="1113">
        <f t="shared" si="18"/>
        <v>0</v>
      </c>
      <c r="E159" s="1113">
        <f t="shared" si="18"/>
        <v>0</v>
      </c>
      <c r="F159" s="1113">
        <f t="shared" si="18"/>
        <v>0</v>
      </c>
      <c r="G159" s="1113">
        <f t="shared" si="18"/>
        <v>0</v>
      </c>
      <c r="H159" s="1113">
        <f t="shared" si="18"/>
        <v>0</v>
      </c>
      <c r="J159" s="1021" t="s">
        <v>911</v>
      </c>
    </row>
    <row r="160" spans="1:10" ht="15.6">
      <c r="B160" s="1059"/>
      <c r="C160" s="1059"/>
      <c r="D160" s="1059"/>
      <c r="E160" s="1059"/>
      <c r="F160" s="1059"/>
      <c r="G160" s="1059"/>
      <c r="H160" s="1059"/>
      <c r="I160" s="1059"/>
    </row>
    <row r="161" spans="2:9" ht="15.6">
      <c r="B161" s="1059"/>
      <c r="C161" s="1059"/>
      <c r="D161" s="1059"/>
      <c r="E161" s="1059"/>
      <c r="F161" s="1059"/>
      <c r="G161" s="1059"/>
      <c r="H161" s="1059"/>
      <c r="I161" s="1059"/>
    </row>
    <row r="162" spans="2:9" ht="15.6">
      <c r="B162" s="1059"/>
      <c r="C162" s="1059"/>
      <c r="D162" s="1059"/>
      <c r="E162" s="1059"/>
      <c r="F162" s="1059"/>
      <c r="G162" s="1059"/>
      <c r="H162" s="1059"/>
      <c r="I162" s="1059"/>
    </row>
  </sheetData>
  <mergeCells count="35">
    <mergeCell ref="U68:U69"/>
    <mergeCell ref="V68:V69"/>
    <mergeCell ref="T68:T69"/>
    <mergeCell ref="B68:B69"/>
    <mergeCell ref="C68:C69"/>
    <mergeCell ref="D68:D69"/>
    <mergeCell ref="E68:E69"/>
    <mergeCell ref="F68:F69"/>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E123:F123"/>
    <mergeCell ref="E124:F124"/>
    <mergeCell ref="E125:F125"/>
    <mergeCell ref="E126:F126"/>
    <mergeCell ref="E132:F132"/>
    <mergeCell ref="E133:F133"/>
    <mergeCell ref="E127:F127"/>
    <mergeCell ref="E128:F128"/>
    <mergeCell ref="E129:F129"/>
    <mergeCell ref="E130:F130"/>
    <mergeCell ref="E131:F131"/>
  </mergeCells>
  <pageMargins left="0.7" right="0.7" top="0.75" bottom="0.75" header="0.3" footer="0.3"/>
  <pageSetup scale="39" fitToHeight="2" orientation="landscape" r:id="rId1"/>
  <rowBreaks count="2" manualBreakCount="2">
    <brk id="63" max="16383" man="1"/>
    <brk id="1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Name xmlns="bc9193fa-da7c-4f7e-bc3a-c361af9cbbfe">2015-12-01T05:00:00+00:00</PubName>
    <ChildDocFolderPath xmlns="bc9193fa-da7c-4f7e-bc3a-c361af9cbbfe" xsi:nil="true"/>
    <IconOverlay xmlns="http://schemas.microsoft.com/sharepoint/v4" xsi:nil="true"/>
    <LeftPane xmlns="bc9193fa-da7c-4f7e-bc3a-c361af9cbbfe">false</LeftPane>
    <DocType xmlns="bc9193fa-da7c-4f7e-bc3a-c361af9cbbfe" xsi:nil="true"/>
    <LongTitle xmlns="bc9193fa-da7c-4f7e-bc3a-c361af9cbbfe">NY Transco test</LongTitle>
    <Updated xmlns="bc9193fa-da7c-4f7e-bc3a-c361af9cbbfe" xsi:nil="true"/>
    <SubTitle xmlns="bc9193fa-da7c-4f7e-bc3a-c361af9cbbfe" xsi:nil="true"/>
    <SortOrder xmlns="bc9193fa-da7c-4f7e-bc3a-c361af9cbbfe" xsi:nil="true"/>
    <Key_x0020_Topics xmlns="bc9193fa-da7c-4f7e-bc3a-c361af9cbbfe"/>
  </documentManagement>
</p:properties>
</file>

<file path=customXml/item2.xml><?xml version="1.0" encoding="utf-8"?>
<ct:contentTypeSchema xmlns:ct="http://schemas.microsoft.com/office/2006/metadata/contentType" xmlns:ma="http://schemas.microsoft.com/office/2006/metadata/properties/metaAttributes" ct:_="" ma:_="" ma:contentTypeName="CT_Web Doc" ma:contentTypeID="0x0101007B730CA0CBE4314FA7F12FDC8A63269A00D58D8D1D26BC8845969EDFAA399DD42F" ma:contentTypeVersion="54" ma:contentTypeDescription="" ma:contentTypeScope="" ma:versionID="a1e20369726f905295d6a6180452b121">
  <xsd:schema xmlns:xsd="http://www.w3.org/2001/XMLSchema" xmlns:xs="http://www.w3.org/2001/XMLSchema" xmlns:p="http://schemas.microsoft.com/office/2006/metadata/properties" xmlns:ns1="bc9193fa-da7c-4f7e-bc3a-c361af9cbbfe" xmlns:ns3="http://schemas.microsoft.com/sharepoint/v4" targetNamespace="http://schemas.microsoft.com/office/2006/metadata/properties" ma:root="true" ma:fieldsID="253a858827cd1a07cdaf6fe2cfe836f9" ns1:_="" ns3:_="">
    <xsd:import namespace="bc9193fa-da7c-4f7e-bc3a-c361af9cbbfe"/>
    <xsd:import namespace="http://schemas.microsoft.com/sharepoint/v4"/>
    <xsd:element name="properties">
      <xsd:complexType>
        <xsd:sequence>
          <xsd:element name="documentManagement">
            <xsd:complexType>
              <xsd:all>
                <xsd:element ref="ns1:LongTitle"/>
                <xsd:element ref="ns1:PubName"/>
                <xsd:element ref="ns1:DocType" minOccurs="0"/>
                <xsd:element ref="ns1:SubTitle" minOccurs="0"/>
                <xsd:element ref="ns1:ChildDocFolderPath" minOccurs="0"/>
                <xsd:element ref="ns1:LeftPane" minOccurs="0"/>
                <xsd:element ref="ns1:Updated" minOccurs="0"/>
                <xsd:element ref="ns1:SortOrder" minOccurs="0"/>
                <xsd:element ref="ns3:IconOverlay" minOccurs="0"/>
                <xsd:element ref="ns1:Key_x0020_Topic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193fa-da7c-4f7e-bc3a-c361af9cbbfe" elementFormDefault="qualified">
    <xsd:import namespace="http://schemas.microsoft.com/office/2006/documentManagement/types"/>
    <xsd:import namespace="http://schemas.microsoft.com/office/infopath/2007/PartnerControls"/>
    <xsd:element name="LongTitle" ma:index="0" ma:displayName="LongTitle" ma:internalName="LongTitle" ma:readOnly="false">
      <xsd:simpleType>
        <xsd:restriction base="dms:Note"/>
      </xsd:simpleType>
    </xsd:element>
    <xsd:element name="PubName" ma:index="2" ma:displayName="PubDate" ma:default="[today]" ma:format="DateOnly" ma:internalName="PubName" ma:readOnly="false">
      <xsd:simpleType>
        <xsd:restriction base="dms:DateTime"/>
      </xsd:simpleType>
    </xsd:element>
    <xsd:element name="DocType" ma:index="3" nillable="true" ma:displayName="Doc Type" ma:internalName="DocType" ma:readOnly="false">
      <xsd:simpleType>
        <xsd:restriction base="dms:Text">
          <xsd:maxLength value="255"/>
        </xsd:restriction>
      </xsd:simpleType>
    </xsd:element>
    <xsd:element name="SubTitle" ma:index="4" nillable="true" ma:displayName="SubTitle" ma:internalName="SubTitle">
      <xsd:simpleType>
        <xsd:restriction base="dms:Note"/>
      </xsd:simpleType>
    </xsd:element>
    <xsd:element name="ChildDocFolderPath" ma:index="5" nillable="true" ma:displayName="ChildDocFolderPath" ma:description="Enter the path to the folder containing child documents." ma:internalName="ChildDocFolderPath">
      <xsd:simpleType>
        <xsd:restriction base="dms:Text">
          <xsd:maxLength value="255"/>
        </xsd:restriction>
      </xsd:simpleType>
    </xsd:element>
    <xsd:element name="LeftPane" ma:index="6" nillable="true" ma:displayName="LeftPane" ma:default="0" ma:internalName="LeftPane" ma:readOnly="false">
      <xsd:simpleType>
        <xsd:restriction base="dms:Boolean"/>
      </xsd:simpleType>
    </xsd:element>
    <xsd:element name="Updated" ma:index="7" nillable="true" ma:displayName="Updated" ma:hidden="true" ma:internalName="Updated" ma:readOnly="false">
      <xsd:simpleType>
        <xsd:restriction base="dms:Number"/>
      </xsd:simpleType>
    </xsd:element>
    <xsd:element name="SortOrder" ma:index="8" nillable="true" ma:displayName="Sort Order" ma:internalName="SortOrder" ma:readOnly="false" ma:percentage="FALSE">
      <xsd:simpleType>
        <xsd:restriction base="dms:Number"/>
      </xsd:simpleType>
    </xsd:element>
    <xsd:element name="Key_x0020_Topics" ma:index="17" nillable="true" ma:displayName="Key Topics" ma:description="This column is used to add documents to the Key Topics page on nyiso.com" ma:list="{20a2d980-0beb-4ea0-bc27-0bd98d7f6c44}" ma:internalName="Key_x0020_Topics" ma:showField="Short_x0020_Title" ma:web="bc9193fa-da7c-4f7e-bc3a-c361af9cbb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CAD32-D007-41BF-BE29-B172742235B4}"/>
</file>

<file path=customXml/itemProps2.xml><?xml version="1.0" encoding="utf-8"?>
<ds:datastoreItem xmlns:ds="http://schemas.openxmlformats.org/officeDocument/2006/customXml" ds:itemID="{9EAB3BDD-475E-44E8-AA59-9C84B35B062C}"/>
</file>

<file path=customXml/itemProps3.xml><?xml version="1.0" encoding="utf-8"?>
<ds:datastoreItem xmlns:ds="http://schemas.openxmlformats.org/officeDocument/2006/customXml" ds:itemID="{D9E43529-0183-450D-BFDC-EFBB1B20DE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 Const Loan True-up</vt:lpstr>
      <vt:lpstr>9- Depreciation Rates</vt:lpstr>
      <vt:lpstr>10 - Workpaper</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'8 - Const Loan True-up'!Print_Area</vt:lpstr>
      <vt:lpstr>'9- Depreciation Rates'!Print_Area</vt:lpstr>
      <vt:lpstr>'Appendix A'!Print_Area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2015-10-27T11:18:37Z</dcterms:created>
  <dcterms:modified xsi:type="dcterms:W3CDTF">2015-11-30T14:35:59Z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0x0101007B730CA0CBE4314FA7F12FDC8A63269A00D58D8D1D26BC8845969EDFAA399DD42F</vt:lpwstr>
  </property>
</Properties>
</file>